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6.xml" ContentType="application/vnd.openxmlformats-officedocument.drawing+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harts/chartEx1.xml" ContentType="application/vnd.ms-office.chartex+xml"/>
  <Override PartName="/xl/charts/colors50.xml" ContentType="application/vnd.ms-office.chartcolorstyle+xml"/>
  <Override PartName="/xl/charts/style5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hidePivotFieldList="1"/>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05 (Mafalda Bento)/"/>
    </mc:Choice>
  </mc:AlternateContent>
  <xr:revisionPtr revIDLastSave="2232" documentId="14_{BA1611A7-C95A-4E64-8072-CF7884F5B4A6}" xr6:coauthVersionLast="47" xr6:coauthVersionMax="47" xr10:uidLastSave="{16CD805E-1623-4527-A005-8DA2913C5982}"/>
  <bookViews>
    <workbookView xWindow="-110" yWindow="-110" windowWidth="19420" windowHeight="10300" tabRatio="777" firstSheet="2" activeTab="2" xr2:uid="{00000000-000D-0000-FFFF-FFFF00000000}"/>
  </bookViews>
  <sheets>
    <sheet name="Summary" sheetId="19" r:id="rId1"/>
    <sheet name="Segments" sheetId="4" r:id="rId2"/>
    <sheet name="Industry" sheetId="3" r:id="rId3"/>
    <sheet name="Peers" sheetId="17" r:id="rId4"/>
    <sheet name="ESG" sheetId="2" r:id="rId5"/>
    <sheet name="ESG Inputs" sheetId="28" r:id="rId6"/>
    <sheet name="DCF" sheetId="8" r:id="rId7"/>
    <sheet name="Inputs" sheetId="9" r:id="rId8"/>
    <sheet name="WACC" sheetId="6" r:id="rId9"/>
    <sheet name="Multiples" sheetId="11" r:id="rId10"/>
    <sheet name="Sensitivity" sheetId="27" r:id="rId11"/>
    <sheet name="IS" sheetId="30" r:id="rId12"/>
    <sheet name="BS" sheetId="29" r:id="rId13"/>
    <sheet name="CS" sheetId="31" r:id="rId14"/>
    <sheet name="DDIS" sheetId="32" r:id="rId15"/>
  </sheets>
  <definedNames>
    <definedName name="_xlchart.v1.0" hidden="1">Sensitivity!$B$56:$B$10055</definedName>
    <definedName name="_xlchart.v5.0" hidden="1">Segments!$B$5</definedName>
    <definedName name="_xlchart.v5.1" hidden="1">Segments!$B$6:$B$10</definedName>
    <definedName name="_xlchart.v5.2" hidden="1">Segments!$D$6:$D$10</definedName>
    <definedName name="COOLFUCNTION" comment="No description available" localSheetId="6">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1">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6" hidden="1">{"'Sheet1'!$A$1:$H$145"}</definedName>
    <definedName name="HTML_Control" localSheetId="4" hidden="1">{"'Sheet1'!$A$1:$H$145"}</definedName>
    <definedName name="HTML_Control" localSheetId="2" hidden="1">{"'Sheet1'!$A$1:$H$145"}</definedName>
    <definedName name="HTML_Control" localSheetId="7" hidden="1">{"'Sheet1'!$A$1:$H$145"}</definedName>
    <definedName name="HTML_Control" localSheetId="9" hidden="1">{"'Sheet1'!$A$1:$H$145"}</definedName>
    <definedName name="HTML_Control" localSheetId="3" hidden="1">{"'Sheet1'!$A$1:$H$145"}</definedName>
    <definedName name="HTML_Control" localSheetId="1" hidden="1">{"'Sheet1'!$A$1:$H$145"}</definedName>
    <definedName name="HTML_Control" localSheetId="8"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4">#REF!</definedName>
    <definedName name="Sectors" localSheetId="3">#REF!</definedName>
    <definedName name="Sectors">#REF!</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9" i="8" l="1"/>
  <c r="R8" i="3"/>
  <c r="B8" i="3"/>
  <c r="B7" i="3"/>
  <c r="B6" i="3"/>
  <c r="U9" i="19" a="1"/>
  <c r="U9" i="19" s="1"/>
  <c r="H108" i="9"/>
  <c r="M108" i="9"/>
  <c r="L108" i="9"/>
  <c r="K108" i="9"/>
  <c r="J108" i="9"/>
  <c r="I108" i="9"/>
  <c r="Q108" i="9"/>
  <c r="P108" i="9"/>
  <c r="O108" i="9"/>
  <c r="N108" i="9"/>
  <c r="G138" i="8"/>
  <c r="H138" i="8" s="1"/>
  <c r="F138" i="8"/>
  <c r="AQ290" i="8"/>
  <c r="K91" i="9"/>
  <c r="H73" i="17"/>
  <c r="G74" i="17" a="1"/>
  <c r="G74" i="17" s="1"/>
  <c r="G75" i="17" s="1"/>
  <c r="N11" i="6" s="1"/>
  <c r="F73" i="17"/>
  <c r="E73" i="17"/>
  <c r="Q207" i="8"/>
  <c r="G19" i="19"/>
  <c r="H19" i="19"/>
  <c r="I19" i="19"/>
  <c r="G20" i="19"/>
  <c r="H20" i="19"/>
  <c r="I20" i="19"/>
  <c r="G21" i="19"/>
  <c r="H26" i="8"/>
  <c r="H21" i="19"/>
  <c r="I26" i="8"/>
  <c r="I21" i="19"/>
  <c r="G18" i="19"/>
  <c r="H18" i="19"/>
  <c r="I18" i="19"/>
  <c r="F21" i="19"/>
  <c r="F20" i="19"/>
  <c r="F19" i="19"/>
  <c r="F18" i="19"/>
  <c r="D21" i="19"/>
  <c r="D19" i="19"/>
  <c r="D20" i="19"/>
  <c r="D91" i="17"/>
  <c r="A6" i="17" s="1"/>
  <c r="G9" i="6" a="1"/>
  <c r="G9" i="6" s="1"/>
  <c r="G23" i="6" s="1"/>
  <c r="G10" i="6" s="1"/>
  <c r="E74" i="17" a="1"/>
  <c r="E74" i="17" s="1"/>
  <c r="E75" i="17" s="1"/>
  <c r="N9" i="6" s="1"/>
  <c r="F74" i="17" a="1"/>
  <c r="F74" i="17" s="1"/>
  <c r="F75" i="17" s="1"/>
  <c r="N10" i="6" s="1"/>
  <c r="H74" i="17" a="1"/>
  <c r="H74" i="17" s="1"/>
  <c r="H75" i="17" s="1"/>
  <c r="N12" i="6" s="1"/>
  <c r="AS290" i="8"/>
  <c r="G20" i="6"/>
  <c r="D18" i="19"/>
  <c r="G35" i="8"/>
  <c r="G32" i="8"/>
  <c r="G173" i="8" s="1"/>
  <c r="F35" i="8"/>
  <c r="F32" i="8"/>
  <c r="E27" i="19" s="1"/>
  <c r="J26" i="8"/>
  <c r="K26" i="8"/>
  <c r="L26" i="8"/>
  <c r="M26" i="8"/>
  <c r="N26" i="8"/>
  <c r="O26" i="8"/>
  <c r="P26" i="8"/>
  <c r="Q26" i="8"/>
  <c r="Q32" i="8"/>
  <c r="Q35" i="8"/>
  <c r="Q38" i="8"/>
  <c r="G41" i="8"/>
  <c r="H32" i="8"/>
  <c r="I32" i="8"/>
  <c r="I33" i="8"/>
  <c r="J32" i="8"/>
  <c r="J33" i="8"/>
  <c r="K32" i="8"/>
  <c r="K33" i="8"/>
  <c r="L32" i="8"/>
  <c r="L33" i="8"/>
  <c r="M32" i="8"/>
  <c r="M33" i="8"/>
  <c r="N32" i="8"/>
  <c r="N33" i="8"/>
  <c r="O32" i="8"/>
  <c r="O33" i="8"/>
  <c r="P32" i="8"/>
  <c r="P33" i="8"/>
  <c r="Q33" i="8"/>
  <c r="E47" i="8"/>
  <c r="F47" i="8"/>
  <c r="G47" i="8"/>
  <c r="Q44" i="8"/>
  <c r="I176" i="8"/>
  <c r="I174" i="8"/>
  <c r="J176" i="8"/>
  <c r="J174" i="8"/>
  <c r="K176" i="8"/>
  <c r="K174" i="8"/>
  <c r="L176" i="8"/>
  <c r="L174" i="8"/>
  <c r="M176" i="8"/>
  <c r="M174" i="8"/>
  <c r="N176" i="8"/>
  <c r="N174" i="8"/>
  <c r="O176" i="8"/>
  <c r="O174" i="8"/>
  <c r="P176" i="8"/>
  <c r="P174" i="8"/>
  <c r="Q176" i="8"/>
  <c r="Q174" i="8"/>
  <c r="E80" i="8"/>
  <c r="E78" i="8"/>
  <c r="F80" i="8"/>
  <c r="F78" i="8"/>
  <c r="G80" i="8"/>
  <c r="G78" i="8"/>
  <c r="G95" i="8"/>
  <c r="F95" i="8"/>
  <c r="G112" i="8"/>
  <c r="F112" i="8"/>
  <c r="P35" i="8"/>
  <c r="G92" i="8"/>
  <c r="F92" i="8"/>
  <c r="E98" i="8"/>
  <c r="F98" i="8"/>
  <c r="G98" i="8"/>
  <c r="E115" i="8"/>
  <c r="F115" i="8"/>
  <c r="F116" i="8" s="1"/>
  <c r="G115" i="8"/>
  <c r="E55" i="8"/>
  <c r="E56" i="8" s="1"/>
  <c r="F55" i="8"/>
  <c r="F56" i="8" s="1"/>
  <c r="G55" i="8"/>
  <c r="G56" i="8" s="1"/>
  <c r="G102" i="8"/>
  <c r="E141" i="8"/>
  <c r="E102" i="8"/>
  <c r="F141" i="8"/>
  <c r="F102" i="8"/>
  <c r="G141" i="8"/>
  <c r="G103" i="8"/>
  <c r="E103" i="8"/>
  <c r="E32" i="8"/>
  <c r="E26" i="19" s="1"/>
  <c r="F103" i="8"/>
  <c r="G107" i="8"/>
  <c r="H58" i="8" s="1"/>
  <c r="H44" i="8"/>
  <c r="I44" i="8"/>
  <c r="J44" i="8"/>
  <c r="K44" i="8"/>
  <c r="L44" i="8"/>
  <c r="E107" i="8"/>
  <c r="E44" i="8"/>
  <c r="F107" i="8"/>
  <c r="F44" i="8"/>
  <c r="F45" i="8" s="1"/>
  <c r="G44" i="8"/>
  <c r="M44" i="8"/>
  <c r="N44" i="8"/>
  <c r="O44" i="8"/>
  <c r="P44" i="8"/>
  <c r="E127" i="8"/>
  <c r="E239" i="8" s="1"/>
  <c r="E41" i="8"/>
  <c r="F127" i="8"/>
  <c r="F239" i="8" s="1"/>
  <c r="F41" i="8"/>
  <c r="G127" i="8"/>
  <c r="G239" i="8" s="1"/>
  <c r="P199" i="8"/>
  <c r="H199" i="8" s="1"/>
  <c r="H198" i="8" s="1"/>
  <c r="Q204" i="8"/>
  <c r="Q205" i="8"/>
  <c r="G120" i="8"/>
  <c r="D129" i="17"/>
  <c r="E120" i="8"/>
  <c r="F120" i="8"/>
  <c r="E112" i="8"/>
  <c r="E35" i="8"/>
  <c r="I35" i="8"/>
  <c r="I38" i="8"/>
  <c r="H35" i="8"/>
  <c r="H38" i="8"/>
  <c r="P38" i="8"/>
  <c r="O35" i="8"/>
  <c r="O38" i="8"/>
  <c r="N35" i="8"/>
  <c r="N38" i="8"/>
  <c r="M35" i="8"/>
  <c r="M38" i="8"/>
  <c r="L35" i="8"/>
  <c r="L38" i="8"/>
  <c r="K35" i="8"/>
  <c r="K38" i="8"/>
  <c r="J35" i="8"/>
  <c r="J38" i="8"/>
  <c r="G15" i="9"/>
  <c r="G12" i="9"/>
  <c r="G8" i="9"/>
  <c r="E95" i="8"/>
  <c r="G70" i="8"/>
  <c r="G71" i="8" s="1"/>
  <c r="F70" i="8"/>
  <c r="F71" i="8" s="1"/>
  <c r="E76" i="8"/>
  <c r="F76" i="8"/>
  <c r="G76" i="8"/>
  <c r="E92" i="8"/>
  <c r="G58" i="8"/>
  <c r="G59" i="8" s="1"/>
  <c r="J59" i="8" s="1"/>
  <c r="G83" i="8"/>
  <c r="G235" i="8" s="1"/>
  <c r="G52" i="8"/>
  <c r="G125" i="8" s="1"/>
  <c r="G130" i="8"/>
  <c r="G191" i="8" s="1"/>
  <c r="G241" i="8" s="1"/>
  <c r="G136" i="8"/>
  <c r="G243" i="8" s="1"/>
  <c r="G159" i="8"/>
  <c r="G161" i="8"/>
  <c r="E161" i="8"/>
  <c r="E83" i="8"/>
  <c r="E235" i="8" s="1"/>
  <c r="E52" i="8"/>
  <c r="E125" i="8" s="1"/>
  <c r="E130" i="8"/>
  <c r="E191" i="8" s="1"/>
  <c r="E241" i="8" s="1"/>
  <c r="E136" i="8"/>
  <c r="E193" i="8" s="1"/>
  <c r="E159" i="8"/>
  <c r="F161" i="8"/>
  <c r="F83" i="8"/>
  <c r="F235" i="8" s="1"/>
  <c r="F52" i="8"/>
  <c r="F53" i="8" s="1"/>
  <c r="F130" i="8"/>
  <c r="F191" i="8" s="1"/>
  <c r="F241" i="8" s="1"/>
  <c r="F136" i="8"/>
  <c r="I27" i="19" s="1"/>
  <c r="F159" i="8"/>
  <c r="C13" i="8"/>
  <c r="Q210" i="8" a="1"/>
  <c r="Q210" i="8" s="1"/>
  <c r="AP290" i="8"/>
  <c r="AT290" i="8"/>
  <c r="F6" i="27"/>
  <c r="Q213" i="8" a="1"/>
  <c r="Q213" i="8" s="1"/>
  <c r="G90" i="8"/>
  <c r="E132" i="8"/>
  <c r="F132" i="8"/>
  <c r="G132" i="8"/>
  <c r="E146" i="8"/>
  <c r="F146" i="8"/>
  <c r="G146" i="8"/>
  <c r="E164" i="8"/>
  <c r="F164" i="8"/>
  <c r="G164" i="8"/>
  <c r="G105" i="8"/>
  <c r="G118" i="8"/>
  <c r="D130" i="17"/>
  <c r="P22" i="9"/>
  <c r="O22" i="9"/>
  <c r="N22" i="9"/>
  <c r="M22" i="9"/>
  <c r="L22" i="9"/>
  <c r="K22" i="9"/>
  <c r="J22" i="9"/>
  <c r="I22" i="9"/>
  <c r="H22" i="9"/>
  <c r="Q22" i="9"/>
  <c r="P12" i="9"/>
  <c r="O12" i="9"/>
  <c r="N12" i="9"/>
  <c r="M12" i="9"/>
  <c r="L12" i="9"/>
  <c r="K12" i="9"/>
  <c r="J12" i="9"/>
  <c r="I12" i="9"/>
  <c r="H12" i="9"/>
  <c r="Q12" i="9"/>
  <c r="G99" i="9"/>
  <c r="H99" i="9"/>
  <c r="I99" i="9"/>
  <c r="J99" i="9"/>
  <c r="K99" i="9"/>
  <c r="L99" i="9"/>
  <c r="M99" i="9"/>
  <c r="N99" i="9"/>
  <c r="O99" i="9"/>
  <c r="P99" i="9"/>
  <c r="Q99" i="9"/>
  <c r="G100" i="9"/>
  <c r="H100" i="9"/>
  <c r="I100" i="9"/>
  <c r="J100" i="9"/>
  <c r="K100" i="9"/>
  <c r="L100" i="9"/>
  <c r="M100" i="9"/>
  <c r="N100" i="9"/>
  <c r="O100" i="9"/>
  <c r="P100" i="9"/>
  <c r="Q100" i="9"/>
  <c r="G102" i="9"/>
  <c r="H102" i="9"/>
  <c r="I102" i="9"/>
  <c r="J102" i="9"/>
  <c r="K102" i="9"/>
  <c r="L102" i="9"/>
  <c r="M102" i="9"/>
  <c r="N102" i="9"/>
  <c r="O102" i="9"/>
  <c r="P102" i="9"/>
  <c r="Q102" i="9"/>
  <c r="A8" i="17"/>
  <c r="C8" i="17" s="1" a="1"/>
  <c r="C8" i="17" s="1"/>
  <c r="H88" i="9"/>
  <c r="I88" i="9"/>
  <c r="J88" i="9"/>
  <c r="L88" i="9"/>
  <c r="M88" i="9"/>
  <c r="N88" i="9"/>
  <c r="O88" i="9"/>
  <c r="P88" i="9"/>
  <c r="Q88" i="9"/>
  <c r="G88" i="9"/>
  <c r="D73" i="17"/>
  <c r="Q80" i="9"/>
  <c r="N80" i="9"/>
  <c r="P80" i="9"/>
  <c r="O80" i="9"/>
  <c r="M80" i="9"/>
  <c r="L80" i="9"/>
  <c r="K80" i="9"/>
  <c r="J80" i="9"/>
  <c r="I80" i="9"/>
  <c r="H80" i="9"/>
  <c r="G80" i="9"/>
  <c r="K12" i="27"/>
  <c r="H17" i="8"/>
  <c r="I17" i="8"/>
  <c r="E58" i="8"/>
  <c r="E59" i="8" s="1"/>
  <c r="F58" i="8"/>
  <c r="F59" i="8"/>
  <c r="I73" i="8"/>
  <c r="O16" i="9"/>
  <c r="P16" i="9"/>
  <c r="Q16" i="9"/>
  <c r="H73" i="8"/>
  <c r="Q24" i="9"/>
  <c r="O91" i="9"/>
  <c r="P91" i="9"/>
  <c r="Q91" i="9"/>
  <c r="O24" i="9"/>
  <c r="O66" i="9"/>
  <c r="O74" i="9"/>
  <c r="P24" i="9"/>
  <c r="P66" i="9"/>
  <c r="P74" i="9"/>
  <c r="Q66" i="9"/>
  <c r="Q74" i="9"/>
  <c r="O79" i="9"/>
  <c r="O84" i="9"/>
  <c r="P79" i="9"/>
  <c r="P84" i="9"/>
  <c r="Q79" i="9"/>
  <c r="Q84" i="9"/>
  <c r="S41" i="4"/>
  <c r="R41" i="4"/>
  <c r="Q41" i="4"/>
  <c r="P41" i="4"/>
  <c r="O41" i="4"/>
  <c r="N41" i="4"/>
  <c r="M41" i="4"/>
  <c r="L41" i="4"/>
  <c r="K41" i="4"/>
  <c r="S39" i="4"/>
  <c r="R39" i="4"/>
  <c r="Q39" i="4"/>
  <c r="P39" i="4"/>
  <c r="O39" i="4"/>
  <c r="N39" i="4"/>
  <c r="M39" i="4"/>
  <c r="L39" i="4"/>
  <c r="K39" i="4"/>
  <c r="J17" i="8"/>
  <c r="K17" i="8"/>
  <c r="L17" i="8"/>
  <c r="M17" i="8"/>
  <c r="N17" i="8"/>
  <c r="O17" i="8"/>
  <c r="P17" i="8"/>
  <c r="Q17" i="8"/>
  <c r="S38" i="4"/>
  <c r="R38" i="4"/>
  <c r="Q38" i="4"/>
  <c r="P38" i="4"/>
  <c r="O38" i="4"/>
  <c r="N38" i="4"/>
  <c r="M38" i="4"/>
  <c r="L38" i="4"/>
  <c r="K38" i="4"/>
  <c r="J41" i="4"/>
  <c r="J39" i="4"/>
  <c r="J38" i="4"/>
  <c r="Q108" i="8"/>
  <c r="P108" i="8"/>
  <c r="H121" i="17"/>
  <c r="G121" i="17"/>
  <c r="G100" i="17"/>
  <c r="G95" i="17"/>
  <c r="F120" i="17"/>
  <c r="F121" i="17"/>
  <c r="F95" i="17"/>
  <c r="F100" i="17"/>
  <c r="E121" i="17"/>
  <c r="E120" i="17"/>
  <c r="E105" i="17"/>
  <c r="E103" i="17"/>
  <c r="E100" i="17"/>
  <c r="E95" i="17"/>
  <c r="E99" i="17"/>
  <c r="F99" i="17"/>
  <c r="G99" i="17"/>
  <c r="I20" i="8"/>
  <c r="J20" i="8"/>
  <c r="K20" i="8"/>
  <c r="L20" i="8"/>
  <c r="M20" i="8"/>
  <c r="N20" i="8"/>
  <c r="O20" i="8"/>
  <c r="P20" i="8"/>
  <c r="Q20" i="8"/>
  <c r="H20" i="8"/>
  <c r="I23" i="8"/>
  <c r="J23" i="8"/>
  <c r="K23" i="8"/>
  <c r="L23" i="8"/>
  <c r="M23" i="8"/>
  <c r="N23" i="8"/>
  <c r="O23" i="8"/>
  <c r="P23" i="8"/>
  <c r="Q23" i="8"/>
  <c r="H23" i="8"/>
  <c r="E138" i="8"/>
  <c r="G17" i="8"/>
  <c r="G26" i="8"/>
  <c r="H18" i="8"/>
  <c r="Q71" i="9"/>
  <c r="P71" i="9"/>
  <c r="O71" i="9"/>
  <c r="N71" i="9"/>
  <c r="M71" i="9"/>
  <c r="L71" i="9"/>
  <c r="K71" i="9"/>
  <c r="J71" i="9"/>
  <c r="I71" i="9"/>
  <c r="H71" i="9"/>
  <c r="G71" i="9"/>
  <c r="H27" i="8"/>
  <c r="H24" i="8"/>
  <c r="H21" i="8"/>
  <c r="F26" i="8"/>
  <c r="G28" i="8"/>
  <c r="E26" i="8"/>
  <c r="F28" i="8"/>
  <c r="G23" i="8"/>
  <c r="F23" i="8"/>
  <c r="G25" i="8"/>
  <c r="E23" i="8"/>
  <c r="F25" i="8"/>
  <c r="G20" i="8"/>
  <c r="F20" i="8"/>
  <c r="G22" i="8"/>
  <c r="E20" i="8"/>
  <c r="F22" i="8"/>
  <c r="F17" i="8"/>
  <c r="G19" i="8"/>
  <c r="E17" i="8"/>
  <c r="F19" i="8"/>
  <c r="G18" i="6"/>
  <c r="G15" i="6"/>
  <c r="J14" i="6"/>
  <c r="G76" i="9"/>
  <c r="I12" i="6"/>
  <c r="I11" i="6"/>
  <c r="I10" i="6"/>
  <c r="I9" i="6"/>
  <c r="L18" i="4"/>
  <c r="L6" i="4"/>
  <c r="L9" i="4"/>
  <c r="K9" i="4"/>
  <c r="L8" i="4"/>
  <c r="K8" i="4"/>
  <c r="L7" i="4"/>
  <c r="K7" i="4"/>
  <c r="K6" i="4"/>
  <c r="L10" i="4"/>
  <c r="M10" i="4"/>
  <c r="K10" i="4"/>
  <c r="M9" i="4"/>
  <c r="M8" i="4"/>
  <c r="N19" i="4"/>
  <c r="N21" i="4"/>
  <c r="M21" i="4"/>
  <c r="L21" i="4"/>
  <c r="K21" i="4"/>
  <c r="N20" i="4"/>
  <c r="M20" i="4"/>
  <c r="L20" i="4"/>
  <c r="K20" i="4"/>
  <c r="J21" i="4"/>
  <c r="J20" i="4"/>
  <c r="J19" i="4"/>
  <c r="D21" i="4"/>
  <c r="D19" i="4"/>
  <c r="D18" i="4"/>
  <c r="D17" i="4"/>
  <c r="I41" i="4"/>
  <c r="H41" i="4"/>
  <c r="G41" i="4"/>
  <c r="F41" i="4"/>
  <c r="I39" i="4"/>
  <c r="H39" i="4"/>
  <c r="G39" i="4"/>
  <c r="F39" i="4"/>
  <c r="I38" i="4"/>
  <c r="H38" i="4"/>
  <c r="G38" i="4"/>
  <c r="F38" i="4"/>
  <c r="E41" i="4"/>
  <c r="E39" i="4"/>
  <c r="E38" i="4"/>
  <c r="E52" i="4"/>
  <c r="B39" i="4"/>
  <c r="B38" i="4"/>
  <c r="Q21" i="9"/>
  <c r="P21" i="9"/>
  <c r="O21" i="9"/>
  <c r="N21" i="9"/>
  <c r="M21" i="9"/>
  <c r="L21" i="9"/>
  <c r="K21" i="9"/>
  <c r="J21" i="9"/>
  <c r="I21" i="9"/>
  <c r="H21" i="9"/>
  <c r="G21" i="9"/>
  <c r="Q26" i="9"/>
  <c r="P26" i="9"/>
  <c r="O26" i="9"/>
  <c r="N26" i="9"/>
  <c r="M26" i="9"/>
  <c r="L26" i="9"/>
  <c r="K26" i="9"/>
  <c r="J26" i="9"/>
  <c r="I26" i="9"/>
  <c r="H26" i="9"/>
  <c r="Q25" i="9"/>
  <c r="P25" i="9"/>
  <c r="O25" i="9"/>
  <c r="N25" i="9"/>
  <c r="M25" i="9"/>
  <c r="L25" i="9"/>
  <c r="K25" i="9"/>
  <c r="J25" i="9"/>
  <c r="I25" i="9"/>
  <c r="H25" i="9"/>
  <c r="G26" i="9"/>
  <c r="G25" i="9"/>
  <c r="Q28" i="9"/>
  <c r="P28" i="9"/>
  <c r="O28" i="9"/>
  <c r="N28" i="9"/>
  <c r="M28" i="9"/>
  <c r="L28" i="9"/>
  <c r="K28" i="9"/>
  <c r="J28" i="9"/>
  <c r="I28" i="9"/>
  <c r="H28" i="9"/>
  <c r="Q27" i="9"/>
  <c r="P27" i="9"/>
  <c r="O27" i="9"/>
  <c r="N27" i="9"/>
  <c r="M27" i="9"/>
  <c r="L27" i="9"/>
  <c r="K27" i="9"/>
  <c r="J27" i="9"/>
  <c r="I27" i="9"/>
  <c r="H27" i="9"/>
  <c r="G28" i="9"/>
  <c r="G27" i="9"/>
  <c r="G11" i="9"/>
  <c r="Q11" i="9"/>
  <c r="P11" i="9"/>
  <c r="O11" i="9"/>
  <c r="N11" i="9"/>
  <c r="M11" i="9"/>
  <c r="L11" i="9"/>
  <c r="K11" i="9"/>
  <c r="J11" i="9"/>
  <c r="I11" i="9"/>
  <c r="H11" i="9"/>
  <c r="K20" i="9"/>
  <c r="Q23" i="9"/>
  <c r="P23" i="9"/>
  <c r="O23" i="9"/>
  <c r="N23" i="9"/>
  <c r="M23" i="9"/>
  <c r="L23" i="9"/>
  <c r="K23" i="9"/>
  <c r="J23" i="9"/>
  <c r="I23" i="9"/>
  <c r="H23" i="9"/>
  <c r="G23" i="9"/>
  <c r="Q20" i="9"/>
  <c r="P20" i="9"/>
  <c r="O20" i="9"/>
  <c r="N20" i="9"/>
  <c r="M20" i="9"/>
  <c r="L20" i="9"/>
  <c r="J20" i="9"/>
  <c r="I20" i="9"/>
  <c r="H20" i="9"/>
  <c r="G20" i="9"/>
  <c r="P17" i="9"/>
  <c r="Q19" i="9"/>
  <c r="P19" i="9"/>
  <c r="O19" i="9"/>
  <c r="N19" i="9"/>
  <c r="M19" i="9"/>
  <c r="L19" i="9"/>
  <c r="K19" i="9"/>
  <c r="J19" i="9"/>
  <c r="I19" i="9"/>
  <c r="H19" i="9"/>
  <c r="Q18" i="9"/>
  <c r="P18" i="9"/>
  <c r="O18" i="9"/>
  <c r="N18" i="9"/>
  <c r="M18" i="9"/>
  <c r="L18" i="9"/>
  <c r="K18" i="9"/>
  <c r="J18" i="9"/>
  <c r="I18" i="9"/>
  <c r="H18" i="9"/>
  <c r="G19" i="9"/>
  <c r="G18" i="9"/>
  <c r="Q15" i="9"/>
  <c r="P15" i="9"/>
  <c r="O15" i="9"/>
  <c r="N15" i="9"/>
  <c r="M15" i="9"/>
  <c r="L15" i="9"/>
  <c r="K15" i="9"/>
  <c r="J15" i="9"/>
  <c r="I15" i="9"/>
  <c r="H15" i="9"/>
  <c r="Q14" i="9"/>
  <c r="P14" i="9"/>
  <c r="O14" i="9"/>
  <c r="N14" i="9"/>
  <c r="M14" i="9"/>
  <c r="L14" i="9"/>
  <c r="K14" i="9"/>
  <c r="J14" i="9"/>
  <c r="I14" i="9"/>
  <c r="H14" i="9"/>
  <c r="G14" i="9"/>
  <c r="Q10" i="9"/>
  <c r="P10" i="9"/>
  <c r="O10" i="9"/>
  <c r="N10" i="9"/>
  <c r="M10" i="9"/>
  <c r="L10" i="9"/>
  <c r="K10" i="9"/>
  <c r="J10" i="9"/>
  <c r="I10" i="9"/>
  <c r="H10" i="9"/>
  <c r="Q9" i="9"/>
  <c r="P9" i="9"/>
  <c r="O9" i="9"/>
  <c r="N9" i="9"/>
  <c r="M9" i="9"/>
  <c r="L9" i="9"/>
  <c r="K9" i="9"/>
  <c r="J9" i="9"/>
  <c r="I9" i="9"/>
  <c r="H9" i="9"/>
  <c r="G10" i="9"/>
  <c r="G9" i="9"/>
  <c r="Q7" i="9"/>
  <c r="P7" i="9"/>
  <c r="O7" i="9"/>
  <c r="N7" i="9"/>
  <c r="M7" i="9"/>
  <c r="L7" i="9"/>
  <c r="K7" i="9"/>
  <c r="J7" i="9"/>
  <c r="I7" i="9"/>
  <c r="H7" i="9"/>
  <c r="G7" i="9"/>
  <c r="Q6" i="9"/>
  <c r="P6" i="9"/>
  <c r="O6" i="9"/>
  <c r="N6" i="9"/>
  <c r="M6" i="9"/>
  <c r="L6" i="9"/>
  <c r="K6" i="9"/>
  <c r="J6" i="9"/>
  <c r="I6" i="9"/>
  <c r="H6" i="9"/>
  <c r="G6" i="9"/>
  <c r="G79" i="9"/>
  <c r="E22" i="4"/>
  <c r="F22" i="4"/>
  <c r="G22" i="4"/>
  <c r="H22" i="4"/>
  <c r="I22" i="4"/>
  <c r="J22" i="4"/>
  <c r="D93" i="17"/>
  <c r="D94" i="17"/>
  <c r="B13" i="17" a="1"/>
  <c r="B13" i="17"/>
  <c r="B7" i="28"/>
  <c r="G13" i="9"/>
  <c r="G16" i="9"/>
  <c r="G37" i="9"/>
  <c r="G17" i="9"/>
  <c r="U14" i="19"/>
  <c r="U15" i="19"/>
  <c r="L9" i="27"/>
  <c r="K9" i="27"/>
  <c r="L8" i="27"/>
  <c r="K8" i="27"/>
  <c r="V35" i="19"/>
  <c r="V34" i="19"/>
  <c r="V32" i="19"/>
  <c r="V33" i="19"/>
  <c r="P64" i="11"/>
  <c r="O64" i="11"/>
  <c r="O43" i="19" s="1"/>
  <c r="N64" i="11"/>
  <c r="N43" i="19" s="1"/>
  <c r="M64" i="11"/>
  <c r="L64" i="11"/>
  <c r="K64" i="11"/>
  <c r="J64" i="11"/>
  <c r="I64" i="11"/>
  <c r="H64" i="11"/>
  <c r="G64" i="11"/>
  <c r="F64" i="11"/>
  <c r="P62" i="11"/>
  <c r="O62" i="11"/>
  <c r="N62" i="11"/>
  <c r="M62" i="11"/>
  <c r="L62" i="11"/>
  <c r="K62" i="11"/>
  <c r="J62" i="11"/>
  <c r="I62" i="11"/>
  <c r="H62" i="11"/>
  <c r="G62" i="11"/>
  <c r="F62" i="11"/>
  <c r="P60" i="11"/>
  <c r="O60" i="11"/>
  <c r="N60" i="11"/>
  <c r="M60" i="11"/>
  <c r="L60" i="11"/>
  <c r="K60" i="11"/>
  <c r="J60" i="11"/>
  <c r="I60" i="11"/>
  <c r="H60" i="11"/>
  <c r="G60" i="11"/>
  <c r="F60" i="11"/>
  <c r="P59" i="11"/>
  <c r="O59" i="11"/>
  <c r="N59" i="11"/>
  <c r="M59" i="11"/>
  <c r="L59" i="11"/>
  <c r="K59" i="11"/>
  <c r="J59" i="11"/>
  <c r="I59" i="11"/>
  <c r="H59" i="11"/>
  <c r="G59" i="11"/>
  <c r="F59" i="11"/>
  <c r="O53" i="11"/>
  <c r="P53" i="11"/>
  <c r="H53" i="11"/>
  <c r="I53" i="11"/>
  <c r="J53" i="11"/>
  <c r="K53" i="11"/>
  <c r="L53" i="11"/>
  <c r="M53" i="11"/>
  <c r="G53" i="11"/>
  <c r="P55" i="11"/>
  <c r="O55" i="11"/>
  <c r="N55" i="11"/>
  <c r="M55" i="11"/>
  <c r="L55" i="11"/>
  <c r="K55" i="11"/>
  <c r="J55" i="11"/>
  <c r="I55" i="11"/>
  <c r="H55" i="11"/>
  <c r="G55" i="11"/>
  <c r="F55" i="11"/>
  <c r="P29" i="11"/>
  <c r="P38" i="19" s="1"/>
  <c r="O29" i="11"/>
  <c r="O38" i="19" s="1"/>
  <c r="N29" i="11"/>
  <c r="N38" i="19" s="1"/>
  <c r="M29" i="11"/>
  <c r="L29" i="11"/>
  <c r="K29" i="11"/>
  <c r="J29" i="11"/>
  <c r="I29" i="11"/>
  <c r="H29" i="11"/>
  <c r="G29" i="11"/>
  <c r="F29" i="11"/>
  <c r="P27" i="11"/>
  <c r="P36" i="19" s="1"/>
  <c r="O27" i="11"/>
  <c r="O36" i="19" s="1"/>
  <c r="N27" i="11"/>
  <c r="N36" i="19" s="1"/>
  <c r="M27" i="11"/>
  <c r="L27" i="11"/>
  <c r="K27" i="11"/>
  <c r="J27" i="11"/>
  <c r="I27" i="11"/>
  <c r="H27" i="11"/>
  <c r="G27" i="11"/>
  <c r="F27" i="11"/>
  <c r="P22" i="11"/>
  <c r="P32" i="19" s="1"/>
  <c r="O22" i="11"/>
  <c r="O32" i="19" s="1"/>
  <c r="N22" i="11"/>
  <c r="N32" i="19" s="1"/>
  <c r="M22" i="11"/>
  <c r="L22" i="11"/>
  <c r="K22" i="11"/>
  <c r="J22" i="11"/>
  <c r="I22" i="11"/>
  <c r="H22" i="11"/>
  <c r="G22" i="11"/>
  <c r="F22" i="11"/>
  <c r="O17" i="17" a="1"/>
  <c r="O17" i="17"/>
  <c r="O16" i="17" a="1"/>
  <c r="O16" i="17"/>
  <c r="O15" i="17" a="1"/>
  <c r="O15" i="17"/>
  <c r="O14" i="17" a="1"/>
  <c r="O14" i="17"/>
  <c r="O13" i="17" a="1"/>
  <c r="O13" i="17"/>
  <c r="O8" i="17" a="1"/>
  <c r="O8" i="17" s="1"/>
  <c r="N17" i="17" a="1"/>
  <c r="N17" i="17"/>
  <c r="N16" i="17" a="1"/>
  <c r="N16" i="17"/>
  <c r="N15" i="17" a="1"/>
  <c r="N15" i="17"/>
  <c r="N14" i="17" a="1"/>
  <c r="N14" i="17"/>
  <c r="N13" i="17" a="1"/>
  <c r="N13" i="17"/>
  <c r="N8" i="17" a="1"/>
  <c r="N8" i="17" s="1"/>
  <c r="M17" i="17" a="1"/>
  <c r="M17" i="17"/>
  <c r="M16" i="17" a="1"/>
  <c r="M16" i="17"/>
  <c r="M15" i="17" a="1"/>
  <c r="M15" i="17"/>
  <c r="M13" i="17" a="1"/>
  <c r="M13" i="17"/>
  <c r="M8" i="17" a="1"/>
  <c r="M8" i="17" s="1"/>
  <c r="L17" i="17" a="1"/>
  <c r="L17" i="17"/>
  <c r="L16" i="17" a="1"/>
  <c r="L16" i="17"/>
  <c r="L15" i="17" a="1"/>
  <c r="L15" i="17"/>
  <c r="L13" i="17" a="1"/>
  <c r="L13" i="17"/>
  <c r="L8" i="17" a="1"/>
  <c r="L8" i="17" s="1"/>
  <c r="K17" i="17" a="1"/>
  <c r="K17" i="17"/>
  <c r="K16" i="17" a="1"/>
  <c r="K16" i="17"/>
  <c r="K15" i="17" a="1"/>
  <c r="K15" i="17"/>
  <c r="K13" i="17" a="1"/>
  <c r="K13" i="17"/>
  <c r="K8" i="17" a="1"/>
  <c r="K8" i="17" s="1"/>
  <c r="J17" i="17" a="1"/>
  <c r="J17" i="17"/>
  <c r="J16" i="17" a="1"/>
  <c r="J16" i="17"/>
  <c r="J15" i="17" a="1"/>
  <c r="J15" i="17"/>
  <c r="J13" i="17" a="1"/>
  <c r="J13" i="17"/>
  <c r="J8" i="17" a="1"/>
  <c r="J8" i="17" s="1"/>
  <c r="I17" i="17"/>
  <c r="I16" i="17"/>
  <c r="I15" i="17"/>
  <c r="I14" i="17"/>
  <c r="I13" i="17"/>
  <c r="I12" i="17"/>
  <c r="I11" i="17"/>
  <c r="I10" i="17"/>
  <c r="I9" i="17"/>
  <c r="H17" i="17"/>
  <c r="H16" i="17"/>
  <c r="H15" i="17"/>
  <c r="H14" i="17"/>
  <c r="H13" i="17"/>
  <c r="H12" i="17"/>
  <c r="H11" i="17"/>
  <c r="H10" i="17"/>
  <c r="H9" i="17"/>
  <c r="H8" i="17"/>
  <c r="G17" i="17"/>
  <c r="G16" i="17"/>
  <c r="G15" i="17"/>
  <c r="G14" i="17"/>
  <c r="G13" i="17"/>
  <c r="G12" i="17"/>
  <c r="G11" i="17"/>
  <c r="G10" i="17"/>
  <c r="G9" i="17"/>
  <c r="G8" i="17"/>
  <c r="F17" i="17"/>
  <c r="F16" i="17"/>
  <c r="F15" i="17"/>
  <c r="F14" i="17"/>
  <c r="F13" i="17"/>
  <c r="F12" i="17"/>
  <c r="F11" i="17"/>
  <c r="F10" i="17"/>
  <c r="F9" i="17"/>
  <c r="F8" i="17"/>
  <c r="E17" i="17"/>
  <c r="E16" i="17"/>
  <c r="E15" i="17"/>
  <c r="E14" i="17"/>
  <c r="E13" i="17"/>
  <c r="E12" i="17"/>
  <c r="E11" i="17"/>
  <c r="E10" i="17"/>
  <c r="E9" i="17"/>
  <c r="E8" i="17"/>
  <c r="D17" i="17"/>
  <c r="D16" i="17"/>
  <c r="D15" i="17"/>
  <c r="D14" i="17"/>
  <c r="D13" i="17"/>
  <c r="D12" i="17"/>
  <c r="D11" i="17"/>
  <c r="D10" i="17"/>
  <c r="D9" i="17"/>
  <c r="D8" i="17"/>
  <c r="C17" i="17" a="1"/>
  <c r="C17" i="17"/>
  <c r="C16" i="17" a="1"/>
  <c r="C16" i="17"/>
  <c r="C15" i="17" a="1"/>
  <c r="C15" i="17"/>
  <c r="C14" i="17" a="1"/>
  <c r="C14" i="17"/>
  <c r="C13" i="17" a="1"/>
  <c r="C13" i="17"/>
  <c r="B17" i="17" a="1"/>
  <c r="B17" i="17"/>
  <c r="B16" i="17" a="1"/>
  <c r="B16" i="17"/>
  <c r="B15" i="17" a="1"/>
  <c r="B15" i="17"/>
  <c r="B14" i="17" a="1"/>
  <c r="B14" i="17"/>
  <c r="N85" i="17" a="1"/>
  <c r="N85" i="17"/>
  <c r="M85" i="17" a="1"/>
  <c r="M85" i="17"/>
  <c r="L85" i="17" a="1"/>
  <c r="L85" i="17"/>
  <c r="K85" i="17" a="1"/>
  <c r="K85" i="17"/>
  <c r="J85" i="17" a="1"/>
  <c r="J85" i="17"/>
  <c r="I85" i="17" a="1"/>
  <c r="I85" i="17"/>
  <c r="H85" i="17" a="1"/>
  <c r="H85" i="17" s="1"/>
  <c r="G85" i="17" a="1"/>
  <c r="G85" i="17" s="1"/>
  <c r="F85" i="17" a="1"/>
  <c r="F85" i="17" s="1"/>
  <c r="E85" i="17" a="1"/>
  <c r="E85" i="17" s="1"/>
  <c r="N75" i="17"/>
  <c r="M75" i="17"/>
  <c r="L75" i="17"/>
  <c r="K75" i="17"/>
  <c r="J75" i="17"/>
  <c r="N74" i="17" a="1"/>
  <c r="N74" i="17"/>
  <c r="M74" i="17" a="1"/>
  <c r="M74" i="17"/>
  <c r="L74" i="17" a="1"/>
  <c r="L74" i="17"/>
  <c r="K74" i="17"/>
  <c r="K74" i="17" a="1"/>
  <c r="J74" i="17" a="1"/>
  <c r="J74" i="17"/>
  <c r="I74" i="17" a="1"/>
  <c r="I74" i="17"/>
  <c r="I75" i="17"/>
  <c r="E69" i="3"/>
  <c r="E63" i="3"/>
  <c r="E57" i="3"/>
  <c r="E51" i="3"/>
  <c r="E44" i="3"/>
  <c r="D10" i="4"/>
  <c r="D9" i="4"/>
  <c r="J12" i="6"/>
  <c r="D8" i="4"/>
  <c r="J11" i="6"/>
  <c r="D7" i="4"/>
  <c r="J10" i="6"/>
  <c r="Q261" i="8"/>
  <c r="Q262" i="8" s="1"/>
  <c r="P261" i="8"/>
  <c r="P262" i="8" s="1"/>
  <c r="O261" i="8"/>
  <c r="O262" i="8" s="1"/>
  <c r="N261" i="8"/>
  <c r="N262" i="8" s="1"/>
  <c r="M261" i="8"/>
  <c r="M262" i="8" s="1"/>
  <c r="L261" i="8"/>
  <c r="L262" i="8" s="1"/>
  <c r="K261" i="8"/>
  <c r="K262" i="8" s="1"/>
  <c r="J261" i="8"/>
  <c r="J262" i="8" s="1"/>
  <c r="I261" i="8"/>
  <c r="I262" i="8" s="1"/>
  <c r="H261" i="8"/>
  <c r="H262" i="8" s="1"/>
  <c r="P43" i="19"/>
  <c r="Q121" i="9"/>
  <c r="P121" i="9"/>
  <c r="O34" i="11"/>
  <c r="O121" i="9"/>
  <c r="N34" i="11"/>
  <c r="N121" i="9"/>
  <c r="M121" i="9"/>
  <c r="L34" i="11"/>
  <c r="L121" i="9"/>
  <c r="K34" i="11"/>
  <c r="K121" i="9"/>
  <c r="J121" i="9"/>
  <c r="I121" i="9"/>
  <c r="H34" i="11"/>
  <c r="H121" i="9"/>
  <c r="G121" i="9"/>
  <c r="Q120" i="9"/>
  <c r="P35" i="11"/>
  <c r="P120" i="9"/>
  <c r="O120" i="9"/>
  <c r="N35" i="11"/>
  <c r="N120" i="9"/>
  <c r="M35" i="11"/>
  <c r="M120" i="9"/>
  <c r="L120" i="9"/>
  <c r="K35" i="11"/>
  <c r="K120" i="9"/>
  <c r="J35" i="11"/>
  <c r="J120" i="9"/>
  <c r="I120" i="9"/>
  <c r="H35" i="11"/>
  <c r="H120" i="9"/>
  <c r="G35" i="11"/>
  <c r="G120" i="9"/>
  <c r="Q119" i="9"/>
  <c r="R119" i="9"/>
  <c r="P119" i="9"/>
  <c r="O119" i="9"/>
  <c r="N119" i="9"/>
  <c r="M33" i="11"/>
  <c r="M119" i="9"/>
  <c r="L33" i="11"/>
  <c r="L119" i="9"/>
  <c r="K119" i="9"/>
  <c r="J33" i="11"/>
  <c r="J119" i="9"/>
  <c r="I33" i="11"/>
  <c r="I119" i="9"/>
  <c r="H119" i="9"/>
  <c r="G33" i="11"/>
  <c r="G119" i="9"/>
  <c r="Q115" i="9"/>
  <c r="P115" i="9"/>
  <c r="O115" i="9"/>
  <c r="N115" i="9"/>
  <c r="M115" i="9"/>
  <c r="L115" i="9"/>
  <c r="K115" i="9"/>
  <c r="J115" i="9"/>
  <c r="I115" i="9"/>
  <c r="H115" i="9"/>
  <c r="G115" i="9"/>
  <c r="Q114" i="9"/>
  <c r="P114" i="9"/>
  <c r="O114" i="9"/>
  <c r="N114" i="9"/>
  <c r="M114" i="9"/>
  <c r="L114" i="9"/>
  <c r="K114" i="9"/>
  <c r="J114" i="9"/>
  <c r="I114" i="9"/>
  <c r="H114" i="9"/>
  <c r="G114" i="9"/>
  <c r="M79" i="9"/>
  <c r="V73" i="19"/>
  <c r="V72" i="19"/>
  <c r="V71" i="19"/>
  <c r="V70" i="19"/>
  <c r="V69" i="19"/>
  <c r="V68" i="19"/>
  <c r="V67" i="19"/>
  <c r="V66" i="19"/>
  <c r="V65" i="19"/>
  <c r="V64" i="19"/>
  <c r="V63" i="19"/>
  <c r="V62" i="19"/>
  <c r="V61" i="19"/>
  <c r="P61" i="11"/>
  <c r="O61" i="11"/>
  <c r="N61" i="11"/>
  <c r="M61" i="11"/>
  <c r="L61" i="11"/>
  <c r="K61" i="11"/>
  <c r="J61" i="11"/>
  <c r="I61" i="11"/>
  <c r="H61" i="11"/>
  <c r="G61" i="11"/>
  <c r="F61" i="11"/>
  <c r="N67" i="17"/>
  <c r="M67" i="17"/>
  <c r="L67" i="17"/>
  <c r="K67" i="17"/>
  <c r="J67" i="17"/>
  <c r="I67" i="17"/>
  <c r="H67" i="17"/>
  <c r="G67" i="17"/>
  <c r="F67" i="17"/>
  <c r="E67" i="17"/>
  <c r="K16" i="27"/>
  <c r="K15" i="27"/>
  <c r="K14" i="27"/>
  <c r="K13" i="27"/>
  <c r="N66" i="17"/>
  <c r="M66" i="17"/>
  <c r="L66" i="17"/>
  <c r="K66" i="17"/>
  <c r="J66" i="17"/>
  <c r="I66" i="17"/>
  <c r="H66" i="17"/>
  <c r="G66" i="17"/>
  <c r="F66" i="17"/>
  <c r="E66" i="17"/>
  <c r="N63" i="17"/>
  <c r="M63" i="17"/>
  <c r="L63" i="17"/>
  <c r="K63" i="17"/>
  <c r="J63" i="17"/>
  <c r="I63" i="17"/>
  <c r="H63" i="17"/>
  <c r="G63" i="17"/>
  <c r="F63" i="17"/>
  <c r="E63" i="17"/>
  <c r="I105" i="9"/>
  <c r="J105" i="9"/>
  <c r="K105" i="9"/>
  <c r="L105" i="9"/>
  <c r="M105" i="9"/>
  <c r="N105" i="9"/>
  <c r="O105" i="9"/>
  <c r="P105" i="9"/>
  <c r="Q105" i="9"/>
  <c r="N65" i="17"/>
  <c r="M65" i="17"/>
  <c r="L65" i="17"/>
  <c r="K65" i="17"/>
  <c r="J65" i="17"/>
  <c r="I65" i="17"/>
  <c r="H65" i="17"/>
  <c r="G65" i="17"/>
  <c r="F65" i="17"/>
  <c r="E65" i="17"/>
  <c r="AN297" i="8"/>
  <c r="AN287" i="8"/>
  <c r="F64" i="17"/>
  <c r="G64" i="17"/>
  <c r="H64" i="17"/>
  <c r="I64" i="17"/>
  <c r="J64" i="17"/>
  <c r="K64" i="17"/>
  <c r="L64" i="17"/>
  <c r="M64" i="17"/>
  <c r="N64" i="17"/>
  <c r="E68" i="17"/>
  <c r="F68" i="17"/>
  <c r="G68" i="17"/>
  <c r="H68" i="17"/>
  <c r="I68" i="17"/>
  <c r="J68" i="17"/>
  <c r="K68" i="17"/>
  <c r="L68" i="17"/>
  <c r="M68" i="17"/>
  <c r="N68" i="17"/>
  <c r="E64" i="17"/>
  <c r="Q86" i="28"/>
  <c r="P86" i="28"/>
  <c r="O86" i="28"/>
  <c r="N86" i="28"/>
  <c r="M86" i="28"/>
  <c r="L86" i="28"/>
  <c r="K86" i="28"/>
  <c r="J86" i="28"/>
  <c r="I86" i="28"/>
  <c r="H86" i="28"/>
  <c r="G86" i="28"/>
  <c r="Q85" i="28"/>
  <c r="P85" i="28"/>
  <c r="O85" i="28"/>
  <c r="N85" i="28"/>
  <c r="M85" i="28"/>
  <c r="L85" i="28"/>
  <c r="K85" i="28"/>
  <c r="J85" i="28"/>
  <c r="I85" i="28"/>
  <c r="H85" i="28"/>
  <c r="G85" i="28"/>
  <c r="Q84" i="28"/>
  <c r="P84" i="28"/>
  <c r="O84" i="28"/>
  <c r="N84" i="28"/>
  <c r="M84" i="28"/>
  <c r="L84" i="28"/>
  <c r="K84" i="28"/>
  <c r="J84" i="28"/>
  <c r="I84" i="28"/>
  <c r="H84" i="28"/>
  <c r="G84" i="28"/>
  <c r="Q83" i="28"/>
  <c r="P83" i="28"/>
  <c r="O83" i="28"/>
  <c r="N83" i="28"/>
  <c r="M83" i="28"/>
  <c r="L83" i="28"/>
  <c r="K83" i="28"/>
  <c r="J83" i="28"/>
  <c r="I83" i="28"/>
  <c r="H83" i="28"/>
  <c r="G83" i="28"/>
  <c r="Q82" i="28"/>
  <c r="P82" i="28"/>
  <c r="O82" i="28"/>
  <c r="N82" i="28"/>
  <c r="M82" i="28"/>
  <c r="L82" i="28"/>
  <c r="K82" i="28"/>
  <c r="J82" i="28"/>
  <c r="I82" i="28"/>
  <c r="H82" i="28"/>
  <c r="G82" i="28"/>
  <c r="Q81" i="28"/>
  <c r="P81" i="28"/>
  <c r="O81" i="28"/>
  <c r="N81" i="28"/>
  <c r="M81" i="28"/>
  <c r="L81" i="28"/>
  <c r="K81" i="28"/>
  <c r="J81" i="28"/>
  <c r="I81" i="28"/>
  <c r="H81" i="28"/>
  <c r="G81" i="28"/>
  <c r="Q80" i="28"/>
  <c r="P80" i="28"/>
  <c r="O80" i="28"/>
  <c r="N80" i="28"/>
  <c r="M80" i="28"/>
  <c r="L80" i="28"/>
  <c r="K80" i="28"/>
  <c r="J80" i="28"/>
  <c r="I80" i="28"/>
  <c r="H80" i="28"/>
  <c r="G80" i="28"/>
  <c r="Q79" i="28"/>
  <c r="P79" i="28"/>
  <c r="O79" i="28"/>
  <c r="N79" i="28"/>
  <c r="M79" i="28"/>
  <c r="L79" i="28"/>
  <c r="K79" i="28"/>
  <c r="J79" i="28"/>
  <c r="I79" i="28"/>
  <c r="H79" i="28"/>
  <c r="G79" i="28"/>
  <c r="Q78" i="28"/>
  <c r="P78" i="28"/>
  <c r="O78" i="28"/>
  <c r="N78" i="28"/>
  <c r="M78" i="28"/>
  <c r="L78" i="28"/>
  <c r="K78" i="28"/>
  <c r="J78" i="28"/>
  <c r="I78" i="28"/>
  <c r="H78" i="28"/>
  <c r="G78" i="28"/>
  <c r="Q77" i="28"/>
  <c r="P77" i="28"/>
  <c r="O77" i="28"/>
  <c r="N77" i="28"/>
  <c r="M77" i="28"/>
  <c r="L77" i="28"/>
  <c r="K77" i="28"/>
  <c r="J77" i="28"/>
  <c r="I77" i="28"/>
  <c r="H77" i="28"/>
  <c r="G77" i="28"/>
  <c r="Q76" i="28"/>
  <c r="P76" i="28"/>
  <c r="O76" i="28"/>
  <c r="N76" i="28"/>
  <c r="M76" i="28"/>
  <c r="L76" i="28"/>
  <c r="K76" i="28"/>
  <c r="J76" i="28"/>
  <c r="I76" i="28"/>
  <c r="H76" i="28"/>
  <c r="G76" i="28"/>
  <c r="H74" i="28"/>
  <c r="I74" i="28"/>
  <c r="J74" i="28"/>
  <c r="K74" i="28"/>
  <c r="L74" i="28"/>
  <c r="M74" i="28"/>
  <c r="N74" i="28"/>
  <c r="O74" i="28"/>
  <c r="P74" i="28"/>
  <c r="Q74" i="28"/>
  <c r="H25" i="17"/>
  <c r="N36" i="17"/>
  <c r="M36" i="17"/>
  <c r="L36" i="17"/>
  <c r="K36" i="17"/>
  <c r="J36" i="17"/>
  <c r="I36" i="17"/>
  <c r="H36" i="17"/>
  <c r="G36" i="17"/>
  <c r="F36" i="17"/>
  <c r="E36" i="17"/>
  <c r="N35" i="17"/>
  <c r="M35" i="17"/>
  <c r="L35" i="17"/>
  <c r="K35" i="17"/>
  <c r="J35" i="17"/>
  <c r="I35" i="17"/>
  <c r="H35" i="17"/>
  <c r="G35" i="17"/>
  <c r="F35" i="17"/>
  <c r="E35" i="17"/>
  <c r="N34" i="17"/>
  <c r="M34" i="17"/>
  <c r="L34" i="17"/>
  <c r="K34" i="17"/>
  <c r="J34" i="17"/>
  <c r="I34" i="17"/>
  <c r="H34" i="17"/>
  <c r="G34" i="17"/>
  <c r="F34" i="17"/>
  <c r="E34" i="17"/>
  <c r="N33" i="17"/>
  <c r="M33" i="17"/>
  <c r="L33" i="17"/>
  <c r="K33" i="17"/>
  <c r="J33" i="17"/>
  <c r="I33" i="17"/>
  <c r="H33" i="17"/>
  <c r="G33" i="17"/>
  <c r="F33" i="17"/>
  <c r="E33" i="17"/>
  <c r="N32" i="17"/>
  <c r="M32" i="17"/>
  <c r="L32" i="17"/>
  <c r="K32" i="17"/>
  <c r="J32" i="17"/>
  <c r="I32" i="17"/>
  <c r="H32" i="17"/>
  <c r="G32" i="17"/>
  <c r="F32" i="17"/>
  <c r="E32" i="17"/>
  <c r="N31" i="17"/>
  <c r="M31" i="17"/>
  <c r="L31" i="17"/>
  <c r="K31" i="17"/>
  <c r="J31" i="17"/>
  <c r="I31" i="17"/>
  <c r="H31" i="17"/>
  <c r="G31" i="17"/>
  <c r="F31" i="17"/>
  <c r="E31" i="17"/>
  <c r="N41" i="17"/>
  <c r="M41" i="17"/>
  <c r="L41" i="17"/>
  <c r="K41" i="17"/>
  <c r="J41" i="17"/>
  <c r="I41" i="17"/>
  <c r="H41" i="17"/>
  <c r="G41" i="17"/>
  <c r="F41" i="17"/>
  <c r="E41" i="17"/>
  <c r="N40" i="17"/>
  <c r="M40" i="17"/>
  <c r="L40" i="17"/>
  <c r="K40" i="17"/>
  <c r="J40" i="17"/>
  <c r="I40" i="17"/>
  <c r="H40" i="17"/>
  <c r="G40" i="17"/>
  <c r="F40" i="17"/>
  <c r="E40" i="17"/>
  <c r="N48" i="17"/>
  <c r="M48" i="17"/>
  <c r="L48" i="17"/>
  <c r="K48" i="17"/>
  <c r="J48" i="17"/>
  <c r="I48" i="17"/>
  <c r="H48" i="17"/>
  <c r="G48" i="17"/>
  <c r="F48" i="17"/>
  <c r="E48" i="17"/>
  <c r="N47" i="17"/>
  <c r="M47" i="17"/>
  <c r="L47" i="17"/>
  <c r="K47" i="17"/>
  <c r="J47" i="17"/>
  <c r="I47" i="17"/>
  <c r="H47" i="17"/>
  <c r="G47" i="17"/>
  <c r="F47" i="17"/>
  <c r="E47" i="17"/>
  <c r="N46" i="17"/>
  <c r="M46" i="17"/>
  <c r="L46" i="17"/>
  <c r="K46" i="17"/>
  <c r="J46" i="17"/>
  <c r="I46" i="17"/>
  <c r="H46" i="17"/>
  <c r="G46" i="17"/>
  <c r="F46" i="17"/>
  <c r="E46" i="17"/>
  <c r="O78" i="17"/>
  <c r="O77" i="17"/>
  <c r="O76" i="17"/>
  <c r="O69" i="17"/>
  <c r="N62" i="17"/>
  <c r="M62" i="17"/>
  <c r="L62" i="17"/>
  <c r="K62" i="17"/>
  <c r="J62" i="17"/>
  <c r="I62" i="17"/>
  <c r="H62" i="17"/>
  <c r="G62" i="17"/>
  <c r="F62" i="17"/>
  <c r="E62" i="17"/>
  <c r="N61" i="17"/>
  <c r="M61" i="17"/>
  <c r="L61" i="17"/>
  <c r="K61" i="17"/>
  <c r="J61" i="17"/>
  <c r="I61" i="17"/>
  <c r="H61" i="17"/>
  <c r="G61" i="17"/>
  <c r="F61" i="17"/>
  <c r="E61" i="17"/>
  <c r="D6" i="4"/>
  <c r="J9" i="6"/>
  <c r="H60" i="28"/>
  <c r="I60" i="28"/>
  <c r="J60" i="28"/>
  <c r="K60" i="28"/>
  <c r="L60" i="28"/>
  <c r="M60" i="28"/>
  <c r="N60" i="28"/>
  <c r="O60" i="28"/>
  <c r="P60" i="28"/>
  <c r="Q60" i="28"/>
  <c r="H46" i="28"/>
  <c r="I46" i="28"/>
  <c r="J46" i="28"/>
  <c r="K46" i="28"/>
  <c r="L46" i="28"/>
  <c r="M46" i="28"/>
  <c r="N46" i="28"/>
  <c r="O46" i="28"/>
  <c r="P46" i="28"/>
  <c r="Q46" i="28"/>
  <c r="H18" i="28"/>
  <c r="I18" i="28"/>
  <c r="J18" i="28"/>
  <c r="K18" i="28"/>
  <c r="L18" i="28"/>
  <c r="M18" i="28"/>
  <c r="N18" i="28"/>
  <c r="O18" i="28"/>
  <c r="P18" i="28"/>
  <c r="Q18" i="28"/>
  <c r="H32" i="28"/>
  <c r="I32" i="28"/>
  <c r="J32" i="28"/>
  <c r="K32" i="28"/>
  <c r="L32" i="28"/>
  <c r="M32" i="28"/>
  <c r="N32" i="28"/>
  <c r="O32" i="28"/>
  <c r="P32" i="28"/>
  <c r="Q32" i="28"/>
  <c r="H4" i="28"/>
  <c r="D11" i="4"/>
  <c r="I4" i="28"/>
  <c r="K14" i="6"/>
  <c r="O25" i="19"/>
  <c r="P25" i="19"/>
  <c r="Q25" i="19"/>
  <c r="R25" i="19"/>
  <c r="O53" i="19"/>
  <c r="P53" i="19"/>
  <c r="Q53" i="19"/>
  <c r="R53" i="19"/>
  <c r="O45" i="19"/>
  <c r="P45" i="19"/>
  <c r="Q45" i="19"/>
  <c r="R45" i="19"/>
  <c r="O40" i="19"/>
  <c r="P40" i="19"/>
  <c r="Q40" i="19"/>
  <c r="R40" i="19"/>
  <c r="O35" i="19"/>
  <c r="P35" i="19"/>
  <c r="Q35" i="19"/>
  <c r="R35" i="19"/>
  <c r="O17" i="19"/>
  <c r="P17" i="19"/>
  <c r="Q17" i="19"/>
  <c r="R17" i="19"/>
  <c r="G17" i="19"/>
  <c r="H17" i="19"/>
  <c r="I17" i="19"/>
  <c r="H25" i="19"/>
  <c r="D27" i="19"/>
  <c r="D28" i="19"/>
  <c r="D29" i="19"/>
  <c r="D30" i="19"/>
  <c r="D31" i="19"/>
  <c r="D32" i="19"/>
  <c r="D33" i="19"/>
  <c r="O80" i="17"/>
  <c r="O71" i="17"/>
  <c r="O50" i="17"/>
  <c r="O44" i="17"/>
  <c r="O38" i="17"/>
  <c r="O59" i="17"/>
  <c r="H27" i="17"/>
  <c r="H26" i="17"/>
  <c r="H24" i="17"/>
  <c r="D6" i="19" a="1"/>
  <c r="D6" i="19" s="1"/>
  <c r="J4" i="28"/>
  <c r="O47" i="11"/>
  <c r="P47" i="11"/>
  <c r="Q47" i="11"/>
  <c r="R47" i="11"/>
  <c r="G47" i="11"/>
  <c r="H47" i="11"/>
  <c r="I47" i="11"/>
  <c r="J47" i="11"/>
  <c r="K47" i="11"/>
  <c r="L47" i="11"/>
  <c r="M47" i="11"/>
  <c r="O38" i="11"/>
  <c r="P38" i="11"/>
  <c r="Q38" i="11"/>
  <c r="R38" i="11"/>
  <c r="G38" i="11"/>
  <c r="H38" i="11"/>
  <c r="I38" i="11"/>
  <c r="J38" i="11"/>
  <c r="K38" i="11"/>
  <c r="L38" i="11"/>
  <c r="M38" i="11"/>
  <c r="O31" i="11"/>
  <c r="P31" i="11"/>
  <c r="Q31" i="11"/>
  <c r="R31" i="11"/>
  <c r="G31" i="11"/>
  <c r="H31" i="11"/>
  <c r="I31" i="11"/>
  <c r="J31" i="11"/>
  <c r="K31" i="11"/>
  <c r="L31" i="11"/>
  <c r="M31" i="11"/>
  <c r="O25" i="11"/>
  <c r="P25" i="11"/>
  <c r="Q25" i="11"/>
  <c r="R25" i="11"/>
  <c r="G25" i="11"/>
  <c r="H25" i="11"/>
  <c r="I25" i="11"/>
  <c r="J25" i="11"/>
  <c r="K25" i="11"/>
  <c r="L25" i="11"/>
  <c r="M25" i="11"/>
  <c r="O13" i="11"/>
  <c r="P13" i="11"/>
  <c r="Q13" i="11"/>
  <c r="R13" i="11"/>
  <c r="G13" i="11"/>
  <c r="H13" i="11"/>
  <c r="I13" i="11"/>
  <c r="J13" i="11"/>
  <c r="K13" i="11"/>
  <c r="L13" i="11"/>
  <c r="M13" i="11"/>
  <c r="G4" i="11"/>
  <c r="H4" i="11"/>
  <c r="I4" i="11"/>
  <c r="J4" i="11"/>
  <c r="K4" i="11"/>
  <c r="L4" i="11"/>
  <c r="M4" i="11"/>
  <c r="F11" i="3"/>
  <c r="O73" i="17"/>
  <c r="N56" i="17"/>
  <c r="M56" i="17"/>
  <c r="L56" i="17"/>
  <c r="K56" i="17"/>
  <c r="J56" i="17"/>
  <c r="I56" i="17"/>
  <c r="H56" i="17"/>
  <c r="G56" i="17"/>
  <c r="F56" i="17"/>
  <c r="E56" i="17"/>
  <c r="N55" i="17"/>
  <c r="M55" i="17"/>
  <c r="L55" i="17"/>
  <c r="K55" i="17"/>
  <c r="J55" i="17"/>
  <c r="I55" i="17"/>
  <c r="H55" i="17"/>
  <c r="G55" i="17"/>
  <c r="F55" i="17"/>
  <c r="E55" i="17"/>
  <c r="N54" i="17"/>
  <c r="M54" i="17"/>
  <c r="L54" i="17"/>
  <c r="K54" i="17"/>
  <c r="J54" i="17"/>
  <c r="I54" i="17"/>
  <c r="H54" i="17"/>
  <c r="G54" i="17"/>
  <c r="F54" i="17"/>
  <c r="E54" i="17"/>
  <c r="N53" i="17"/>
  <c r="M53" i="17"/>
  <c r="L53" i="17"/>
  <c r="K53" i="17"/>
  <c r="J53" i="17"/>
  <c r="I53" i="17"/>
  <c r="H53" i="17"/>
  <c r="G53" i="17"/>
  <c r="F53" i="17"/>
  <c r="E53" i="17"/>
  <c r="N52" i="17"/>
  <c r="M52" i="17"/>
  <c r="L52" i="17"/>
  <c r="K52" i="17"/>
  <c r="J52" i="17"/>
  <c r="I52" i="17"/>
  <c r="H52" i="17"/>
  <c r="G52" i="17"/>
  <c r="F52" i="17"/>
  <c r="E52" i="17"/>
  <c r="N42" i="17"/>
  <c r="M42" i="17"/>
  <c r="L42" i="17"/>
  <c r="K42" i="17"/>
  <c r="J42" i="17"/>
  <c r="I42" i="17"/>
  <c r="H42" i="17"/>
  <c r="G42" i="17"/>
  <c r="F42" i="17"/>
  <c r="E42" i="17"/>
  <c r="H99" i="17"/>
  <c r="I8" i="17"/>
  <c r="A17" i="17"/>
  <c r="A16" i="17"/>
  <c r="A15" i="17"/>
  <c r="A14" i="17"/>
  <c r="A13" i="17"/>
  <c r="A12" i="17"/>
  <c r="A11" i="17"/>
  <c r="M11" i="17" s="1" a="1"/>
  <c r="M11" i="17" s="1"/>
  <c r="A10" i="17"/>
  <c r="C10" i="17" s="1" a="1"/>
  <c r="C10" i="17" s="1"/>
  <c r="A9" i="17"/>
  <c r="C9" i="17" s="1" a="1"/>
  <c r="C9" i="17" s="1"/>
  <c r="B29" i="3" a="1"/>
  <c r="B29" i="3" s="1"/>
  <c r="Q53" i="11"/>
  <c r="R53" i="11"/>
  <c r="S208" i="8"/>
  <c r="R208" i="8"/>
  <c r="S207" i="8"/>
  <c r="R207" i="8"/>
  <c r="W8" i="8"/>
  <c r="W9" i="8"/>
  <c r="W10" i="8"/>
  <c r="W11" i="8"/>
  <c r="W12" i="8"/>
  <c r="W13" i="8"/>
  <c r="W14" i="8"/>
  <c r="H111" i="9"/>
  <c r="I111" i="9"/>
  <c r="J111" i="9"/>
  <c r="K111" i="9"/>
  <c r="L111" i="9"/>
  <c r="M111" i="9"/>
  <c r="N111" i="9"/>
  <c r="O111" i="9"/>
  <c r="P111" i="9"/>
  <c r="Q111" i="9"/>
  <c r="N13" i="9"/>
  <c r="N67" i="9"/>
  <c r="M13" i="9"/>
  <c r="M67" i="9"/>
  <c r="I13" i="9"/>
  <c r="I67" i="9"/>
  <c r="P13" i="9"/>
  <c r="L13" i="9"/>
  <c r="L67" i="9"/>
  <c r="K13" i="9"/>
  <c r="K67" i="9"/>
  <c r="J13" i="9"/>
  <c r="J67" i="9"/>
  <c r="H13" i="9"/>
  <c r="H67" i="9"/>
  <c r="N76" i="9"/>
  <c r="M58" i="11"/>
  <c r="M76" i="9"/>
  <c r="L58" i="11"/>
  <c r="I76" i="9"/>
  <c r="H58" i="11"/>
  <c r="Q76" i="9"/>
  <c r="P58" i="11"/>
  <c r="H55" i="9"/>
  <c r="I55" i="9"/>
  <c r="L55" i="9"/>
  <c r="N55" i="9"/>
  <c r="I50" i="9"/>
  <c r="I113" i="9"/>
  <c r="M50" i="9"/>
  <c r="Q50" i="9"/>
  <c r="H32" i="9"/>
  <c r="G28" i="11"/>
  <c r="K32" i="9"/>
  <c r="J28" i="11"/>
  <c r="L32" i="9"/>
  <c r="K28" i="11"/>
  <c r="P55" i="9"/>
  <c r="M55" i="9"/>
  <c r="I17" i="9"/>
  <c r="G148" i="8"/>
  <c r="E45" i="8"/>
  <c r="E156" i="8"/>
  <c r="E157" i="8" s="1"/>
  <c r="F148" i="8"/>
  <c r="F156" i="8"/>
  <c r="F157" i="8" s="1"/>
  <c r="G166" i="8"/>
  <c r="E73" i="8"/>
  <c r="E168" i="8"/>
  <c r="G156" i="8"/>
  <c r="G157" i="8" s="1"/>
  <c r="Q49" i="11"/>
  <c r="Q54" i="19" s="1"/>
  <c r="E134" i="8"/>
  <c r="D106" i="17"/>
  <c r="D107" i="17"/>
  <c r="B28" i="3" a="1"/>
  <c r="B28" i="3" s="1"/>
  <c r="M113" i="9"/>
  <c r="D85" i="17" a="1"/>
  <c r="D85" i="17" s="1"/>
  <c r="G32" i="9"/>
  <c r="Q55" i="9"/>
  <c r="D120" i="17"/>
  <c r="K76" i="9"/>
  <c r="J58" i="11"/>
  <c r="G50" i="9"/>
  <c r="G53" i="9"/>
  <c r="J76" i="9"/>
  <c r="I58" i="11"/>
  <c r="L68" i="9"/>
  <c r="K4" i="28"/>
  <c r="P32" i="9"/>
  <c r="O28" i="11"/>
  <c r="O37" i="19" s="1"/>
  <c r="J17" i="9"/>
  <c r="M17" i="9"/>
  <c r="P68" i="9"/>
  <c r="N17" i="9"/>
  <c r="O32" i="9"/>
  <c r="L50" i="9"/>
  <c r="J55" i="9"/>
  <c r="J58" i="9"/>
  <c r="G55" i="9"/>
  <c r="H68" i="9"/>
  <c r="H76" i="9"/>
  <c r="G58" i="11"/>
  <c r="L76" i="9"/>
  <c r="K58" i="11"/>
  <c r="L37" i="9"/>
  <c r="O33" i="11"/>
  <c r="F35" i="11"/>
  <c r="AH9" i="8"/>
  <c r="K17" i="9"/>
  <c r="H37" i="9"/>
  <c r="N32" i="9"/>
  <c r="H50" i="9"/>
  <c r="Q32" i="9"/>
  <c r="P28" i="11"/>
  <c r="P37" i="19" s="1"/>
  <c r="M32" i="9"/>
  <c r="L28" i="11"/>
  <c r="I32" i="9"/>
  <c r="H28" i="11"/>
  <c r="F33" i="11"/>
  <c r="AI9" i="8"/>
  <c r="N50" i="9"/>
  <c r="J50" i="9"/>
  <c r="I68" i="9"/>
  <c r="M68" i="9"/>
  <c r="Q68" i="9"/>
  <c r="P76" i="9"/>
  <c r="O58" i="11"/>
  <c r="G67" i="9"/>
  <c r="J32" i="9"/>
  <c r="I28" i="11"/>
  <c r="O50" i="9"/>
  <c r="K37" i="9"/>
  <c r="K50" i="9"/>
  <c r="P50" i="9"/>
  <c r="O55" i="9"/>
  <c r="K55" i="9"/>
  <c r="G68" i="9"/>
  <c r="R68" i="9"/>
  <c r="K68" i="9"/>
  <c r="O68" i="9"/>
  <c r="O76" i="9"/>
  <c r="N58" i="11"/>
  <c r="O13" i="9"/>
  <c r="Q13" i="9"/>
  <c r="H17" i="9"/>
  <c r="L17" i="9"/>
  <c r="L35" i="11"/>
  <c r="F34" i="11"/>
  <c r="J68" i="9"/>
  <c r="N68" i="9"/>
  <c r="G57" i="17"/>
  <c r="I27" i="17"/>
  <c r="I26" i="17"/>
  <c r="I25" i="17"/>
  <c r="I24" i="17"/>
  <c r="L57" i="17"/>
  <c r="I57" i="17"/>
  <c r="E57" i="17"/>
  <c r="M57" i="17"/>
  <c r="F57" i="17"/>
  <c r="N57" i="17"/>
  <c r="H57" i="17"/>
  <c r="J57" i="17"/>
  <c r="K57" i="17"/>
  <c r="Q39" i="9"/>
  <c r="Q46" i="9"/>
  <c r="P39" i="9"/>
  <c r="P46" i="9"/>
  <c r="O39" i="9"/>
  <c r="O46" i="9"/>
  <c r="N39" i="9"/>
  <c r="N46" i="9"/>
  <c r="M39" i="9"/>
  <c r="M46" i="9"/>
  <c r="L39" i="9"/>
  <c r="L46" i="9"/>
  <c r="K39" i="9"/>
  <c r="K46" i="9"/>
  <c r="J39" i="9"/>
  <c r="J46" i="9"/>
  <c r="I39" i="9"/>
  <c r="I46" i="9"/>
  <c r="H39" i="9"/>
  <c r="H46" i="9"/>
  <c r="G39" i="9"/>
  <c r="G46" i="9"/>
  <c r="O17" i="9"/>
  <c r="E64" i="8"/>
  <c r="E65" i="8" s="1"/>
  <c r="G91" i="9"/>
  <c r="H91" i="9"/>
  <c r="I91" i="9"/>
  <c r="J91" i="9"/>
  <c r="L91" i="9"/>
  <c r="M91" i="9"/>
  <c r="N91" i="9"/>
  <c r="Q53" i="9"/>
  <c r="M53" i="9"/>
  <c r="K53" i="9"/>
  <c r="I53" i="9"/>
  <c r="H58" i="9"/>
  <c r="I58" i="9"/>
  <c r="L58" i="9"/>
  <c r="M58" i="9"/>
  <c r="N58" i="9"/>
  <c r="P58" i="9"/>
  <c r="Q58" i="9"/>
  <c r="Q17" i="9"/>
  <c r="G64" i="8"/>
  <c r="G65" i="8" s="1"/>
  <c r="O4" i="11"/>
  <c r="P4" i="11"/>
  <c r="Q4" i="11"/>
  <c r="H64" i="9"/>
  <c r="I64" i="9"/>
  <c r="J64" i="9"/>
  <c r="K64" i="9"/>
  <c r="L64" i="9"/>
  <c r="M64" i="9"/>
  <c r="N64" i="9"/>
  <c r="O64" i="9"/>
  <c r="P64" i="9"/>
  <c r="Q64" i="9"/>
  <c r="Q45" i="9"/>
  <c r="H45" i="9"/>
  <c r="I48" i="9"/>
  <c r="H48" i="9"/>
  <c r="H30" i="9"/>
  <c r="I30" i="9"/>
  <c r="J30" i="9"/>
  <c r="K30" i="9"/>
  <c r="L30" i="9"/>
  <c r="M30" i="9"/>
  <c r="N30" i="9"/>
  <c r="O30" i="9"/>
  <c r="P30" i="9"/>
  <c r="Q30" i="9"/>
  <c r="H4" i="9"/>
  <c r="E231" i="8"/>
  <c r="E258" i="8"/>
  <c r="E171" i="8"/>
  <c r="E216" i="8"/>
  <c r="E123" i="8"/>
  <c r="E86" i="8"/>
  <c r="F30" i="8"/>
  <c r="F15" i="8"/>
  <c r="G15" i="8"/>
  <c r="H15" i="8"/>
  <c r="I15" i="8"/>
  <c r="J15" i="8"/>
  <c r="K15" i="8"/>
  <c r="L15" i="8"/>
  <c r="M15" i="8"/>
  <c r="N15" i="8"/>
  <c r="O15" i="8"/>
  <c r="P15" i="8"/>
  <c r="Q15" i="8"/>
  <c r="L10" i="8"/>
  <c r="F10" i="8"/>
  <c r="I51" i="4"/>
  <c r="H51" i="4"/>
  <c r="G51" i="4"/>
  <c r="F51" i="4"/>
  <c r="J50" i="4"/>
  <c r="K50" i="4"/>
  <c r="L50" i="4"/>
  <c r="M50" i="4"/>
  <c r="N50" i="4"/>
  <c r="O50" i="4"/>
  <c r="P50" i="4"/>
  <c r="Q50" i="4"/>
  <c r="R50" i="4"/>
  <c r="S50" i="4"/>
  <c r="I49" i="4"/>
  <c r="H49" i="4"/>
  <c r="G49" i="4"/>
  <c r="F49" i="4"/>
  <c r="J48" i="4"/>
  <c r="K48" i="4"/>
  <c r="L48" i="4"/>
  <c r="M48" i="4"/>
  <c r="N48" i="4"/>
  <c r="O48" i="4"/>
  <c r="P48" i="4"/>
  <c r="Q48" i="4"/>
  <c r="R48" i="4"/>
  <c r="S48" i="4"/>
  <c r="I47" i="4"/>
  <c r="H47" i="4"/>
  <c r="G47" i="4"/>
  <c r="F47" i="4"/>
  <c r="J46" i="4"/>
  <c r="K46" i="4"/>
  <c r="F36" i="4"/>
  <c r="G36" i="4"/>
  <c r="H36" i="4"/>
  <c r="I36" i="4"/>
  <c r="J36" i="4"/>
  <c r="K36" i="4"/>
  <c r="L36" i="4"/>
  <c r="M36" i="4"/>
  <c r="N36" i="4"/>
  <c r="O36" i="4"/>
  <c r="P36" i="4"/>
  <c r="Q36" i="4"/>
  <c r="R36" i="4"/>
  <c r="S36" i="4"/>
  <c r="B34" i="4"/>
  <c r="B33" i="4"/>
  <c r="M19" i="4"/>
  <c r="L19" i="4"/>
  <c r="K19" i="4"/>
  <c r="N18" i="4"/>
  <c r="M18" i="4"/>
  <c r="K18" i="4"/>
  <c r="N17" i="4"/>
  <c r="M17" i="4"/>
  <c r="L17" i="4"/>
  <c r="K17" i="4"/>
  <c r="N16" i="4"/>
  <c r="M16" i="4"/>
  <c r="L16" i="4"/>
  <c r="K16" i="4"/>
  <c r="N15" i="4"/>
  <c r="M15" i="4"/>
  <c r="L15" i="4"/>
  <c r="K15" i="4"/>
  <c r="L13" i="4"/>
  <c r="M13" i="4"/>
  <c r="N13" i="4"/>
  <c r="F13" i="4"/>
  <c r="G13" i="4"/>
  <c r="H13" i="4"/>
  <c r="I13" i="4"/>
  <c r="I11" i="4"/>
  <c r="D39" i="4"/>
  <c r="D38" i="4"/>
  <c r="H11" i="4"/>
  <c r="G11" i="4"/>
  <c r="F11" i="4"/>
  <c r="E11" i="4"/>
  <c r="N10" i="4"/>
  <c r="N9" i="4"/>
  <c r="N8" i="4"/>
  <c r="N7" i="4"/>
  <c r="M7" i="4"/>
  <c r="N6" i="4"/>
  <c r="M6" i="4"/>
  <c r="L4" i="4"/>
  <c r="M4" i="4"/>
  <c r="N4" i="4"/>
  <c r="F4" i="4"/>
  <c r="G11" i="3"/>
  <c r="G4" i="3"/>
  <c r="D119" i="17"/>
  <c r="K33" i="11"/>
  <c r="G168" i="8"/>
  <c r="F134" i="8"/>
  <c r="G189" i="8"/>
  <c r="D113" i="17"/>
  <c r="H33" i="11"/>
  <c r="G134" i="8"/>
  <c r="M34" i="11"/>
  <c r="E67" i="8"/>
  <c r="E68" i="8" s="1"/>
  <c r="J34" i="11"/>
  <c r="G67" i="8"/>
  <c r="G68" i="8" s="1"/>
  <c r="G153" i="8"/>
  <c r="D128" i="17"/>
  <c r="F168" i="8"/>
  <c r="G73" i="8"/>
  <c r="E148" i="8"/>
  <c r="E36" i="8"/>
  <c r="D32" i="8"/>
  <c r="E33" i="8" s="1"/>
  <c r="E174" i="8" s="1"/>
  <c r="E70" i="8"/>
  <c r="E71" i="8" s="1"/>
  <c r="D104" i="17"/>
  <c r="N33" i="11"/>
  <c r="E105" i="8"/>
  <c r="D98" i="17"/>
  <c r="D111" i="17"/>
  <c r="E166" i="8"/>
  <c r="D112" i="17"/>
  <c r="E153" i="8"/>
  <c r="D114" i="17"/>
  <c r="F73" i="8"/>
  <c r="O35" i="11"/>
  <c r="E189" i="8"/>
  <c r="I35" i="11"/>
  <c r="F150" i="8"/>
  <c r="F151" i="8" s="1"/>
  <c r="D126" i="17"/>
  <c r="D66" i="17" s="1"/>
  <c r="O66" i="17" s="1"/>
  <c r="D131" i="17"/>
  <c r="D115" i="17"/>
  <c r="D116" i="17"/>
  <c r="F166" i="8"/>
  <c r="I34" i="11"/>
  <c r="D97" i="17"/>
  <c r="E6" i="17" s="1"/>
  <c r="E18" i="17" s="1"/>
  <c r="E19" i="17" s="1"/>
  <c r="E150" i="8"/>
  <c r="F105" i="8"/>
  <c r="F101" i="8" s="1"/>
  <c r="G34" i="11"/>
  <c r="F67" i="8"/>
  <c r="F68" i="8" s="1"/>
  <c r="G150" i="8"/>
  <c r="G151" i="8" s="1"/>
  <c r="F153" i="8"/>
  <c r="D118" i="17"/>
  <c r="D127" i="17"/>
  <c r="D132" i="17"/>
  <c r="K113" i="9"/>
  <c r="J113" i="9"/>
  <c r="J116" i="9"/>
  <c r="Q113" i="9"/>
  <c r="O53" i="9"/>
  <c r="O113" i="9"/>
  <c r="L113" i="9"/>
  <c r="L116" i="9"/>
  <c r="N113" i="9"/>
  <c r="P113" i="9"/>
  <c r="L53" i="9"/>
  <c r="H53" i="9"/>
  <c r="H113" i="9"/>
  <c r="H116" i="9"/>
  <c r="N28" i="11"/>
  <c r="N37" i="19" s="1"/>
  <c r="F28" i="11"/>
  <c r="M28" i="11"/>
  <c r="H4" i="3"/>
  <c r="I4" i="3"/>
  <c r="G113" i="9"/>
  <c r="G116" i="9"/>
  <c r="O37" i="9"/>
  <c r="P53" i="9"/>
  <c r="N37" i="9"/>
  <c r="P37" i="9"/>
  <c r="J53" i="9"/>
  <c r="O58" i="9"/>
  <c r="K58" i="9"/>
  <c r="G25" i="17"/>
  <c r="G58" i="9"/>
  <c r="N53" i="9"/>
  <c r="Q37" i="9"/>
  <c r="L4" i="28"/>
  <c r="C9" i="27"/>
  <c r="N18" i="6"/>
  <c r="N17" i="6"/>
  <c r="N16" i="6"/>
  <c r="N15" i="6"/>
  <c r="N14" i="6"/>
  <c r="N13" i="6"/>
  <c r="I37" i="9"/>
  <c r="M37" i="9"/>
  <c r="K116" i="9"/>
  <c r="N116" i="9"/>
  <c r="Q116" i="9"/>
  <c r="M116" i="9"/>
  <c r="I116" i="9"/>
  <c r="O67" i="9"/>
  <c r="N22" i="4"/>
  <c r="H45" i="4"/>
  <c r="Q67" i="9"/>
  <c r="R67" i="9"/>
  <c r="J37" i="9"/>
  <c r="M17" i="6"/>
  <c r="M10" i="6"/>
  <c r="M18" i="6"/>
  <c r="M15" i="6"/>
  <c r="M9" i="6"/>
  <c r="M16" i="6"/>
  <c r="N11" i="3"/>
  <c r="G4" i="4"/>
  <c r="K11" i="4"/>
  <c r="L11" i="4"/>
  <c r="M11" i="4"/>
  <c r="D46" i="4"/>
  <c r="D50" i="4"/>
  <c r="N11" i="4"/>
  <c r="K22" i="4"/>
  <c r="L22" i="4"/>
  <c r="F45" i="4"/>
  <c r="I45" i="4"/>
  <c r="F171" i="8"/>
  <c r="F216" i="8"/>
  <c r="F123" i="8"/>
  <c r="F86" i="8"/>
  <c r="I45" i="9"/>
  <c r="J45" i="9"/>
  <c r="O45" i="9"/>
  <c r="P45" i="9"/>
  <c r="L48" i="9"/>
  <c r="M48" i="9"/>
  <c r="N48" i="9"/>
  <c r="O48" i="9"/>
  <c r="R4" i="11"/>
  <c r="H8" i="9"/>
  <c r="G21" i="11"/>
  <c r="J8" i="9"/>
  <c r="I21" i="11"/>
  <c r="L8" i="9"/>
  <c r="K43" i="11"/>
  <c r="M8" i="9"/>
  <c r="L21" i="11"/>
  <c r="N8" i="9"/>
  <c r="M21" i="11"/>
  <c r="K8" i="9"/>
  <c r="J45" i="11"/>
  <c r="I8" i="9"/>
  <c r="O8" i="9"/>
  <c r="N50" i="11"/>
  <c r="N55" i="19" s="1"/>
  <c r="P8" i="9"/>
  <c r="O18" i="11"/>
  <c r="O29" i="19" s="1"/>
  <c r="Q8" i="9"/>
  <c r="P21" i="11"/>
  <c r="P31" i="19" s="1"/>
  <c r="G48" i="9"/>
  <c r="J48" i="9"/>
  <c r="K48" i="9"/>
  <c r="G45" i="9"/>
  <c r="K45" i="9"/>
  <c r="L45" i="9"/>
  <c r="P48" i="9"/>
  <c r="M45" i="9"/>
  <c r="Q48" i="9"/>
  <c r="N45" i="9"/>
  <c r="I4" i="9"/>
  <c r="G30" i="8"/>
  <c r="F231" i="8"/>
  <c r="F258" i="8"/>
  <c r="L46" i="4"/>
  <c r="K52" i="4"/>
  <c r="J52" i="4"/>
  <c r="G45" i="4"/>
  <c r="M22" i="4"/>
  <c r="D48" i="4"/>
  <c r="L11" i="3"/>
  <c r="P11" i="3"/>
  <c r="J11" i="3"/>
  <c r="O11" i="3"/>
  <c r="H11" i="3"/>
  <c r="I11" i="3"/>
  <c r="K11" i="3"/>
  <c r="E11" i="3"/>
  <c r="M11" i="3"/>
  <c r="D102" i="17"/>
  <c r="F118" i="8"/>
  <c r="P34" i="11"/>
  <c r="E116" i="8"/>
  <c r="E118" i="8"/>
  <c r="F64" i="8"/>
  <c r="F65" i="8" s="1"/>
  <c r="E53" i="8"/>
  <c r="E90" i="8"/>
  <c r="AD7" i="8" s="1"/>
  <c r="F90" i="8"/>
  <c r="AD8" i="8" s="1"/>
  <c r="L84" i="17" a="1"/>
  <c r="J4" i="3"/>
  <c r="K4" i="3"/>
  <c r="L4" i="3"/>
  <c r="M4" i="3"/>
  <c r="N4" i="3"/>
  <c r="O4" i="3"/>
  <c r="P4" i="3"/>
  <c r="Q4" i="3"/>
  <c r="G24" i="17"/>
  <c r="G27" i="17"/>
  <c r="G26" i="17"/>
  <c r="O116" i="9"/>
  <c r="M4" i="28"/>
  <c r="B12" i="28"/>
  <c r="B82" i="28"/>
  <c r="M14" i="6"/>
  <c r="B9" i="28"/>
  <c r="B79" i="28"/>
  <c r="M11" i="6"/>
  <c r="B10" i="28"/>
  <c r="B80" i="28"/>
  <c r="M12" i="6"/>
  <c r="L29" i="17"/>
  <c r="B14" i="28"/>
  <c r="B84" i="28"/>
  <c r="K29" i="17"/>
  <c r="B13" i="28"/>
  <c r="B83" i="28"/>
  <c r="N29" i="17"/>
  <c r="B16" i="28"/>
  <c r="B86" i="28"/>
  <c r="E29" i="17"/>
  <c r="B77" i="28"/>
  <c r="F29" i="17"/>
  <c r="B8" i="28"/>
  <c r="B78" i="28"/>
  <c r="M29" i="17"/>
  <c r="B15" i="28"/>
  <c r="B85" i="28"/>
  <c r="L84" i="17"/>
  <c r="H52" i="4"/>
  <c r="H29" i="17"/>
  <c r="I52" i="4"/>
  <c r="P116" i="9"/>
  <c r="G52" i="4"/>
  <c r="AE9" i="8"/>
  <c r="G29" i="17"/>
  <c r="H4" i="4"/>
  <c r="J4" i="9"/>
  <c r="G86" i="8"/>
  <c r="G231" i="8"/>
  <c r="H30" i="8"/>
  <c r="G123" i="8"/>
  <c r="G171" i="8"/>
  <c r="G216" i="8"/>
  <c r="M46" i="4"/>
  <c r="L52" i="4"/>
  <c r="D117" i="17"/>
  <c r="N84" i="17" a="1"/>
  <c r="J84" i="17" a="1"/>
  <c r="K84" i="17" a="1"/>
  <c r="M84" i="17" a="1"/>
  <c r="Q11" i="3"/>
  <c r="N4" i="28"/>
  <c r="C11" i="27"/>
  <c r="C10" i="27"/>
  <c r="C7" i="27"/>
  <c r="C8" i="27"/>
  <c r="B51" i="28"/>
  <c r="B23" i="28"/>
  <c r="B37" i="28"/>
  <c r="B65" i="28"/>
  <c r="B26" i="28"/>
  <c r="B40" i="28"/>
  <c r="B54" i="28"/>
  <c r="B68" i="28"/>
  <c r="J84" i="17"/>
  <c r="M84" i="17"/>
  <c r="B52" i="28"/>
  <c r="B66" i="28"/>
  <c r="B24" i="28"/>
  <c r="B38" i="28"/>
  <c r="K84" i="17"/>
  <c r="L38" i="17"/>
  <c r="L59" i="17"/>
  <c r="L44" i="17"/>
  <c r="L50" i="17"/>
  <c r="K80" i="17"/>
  <c r="L71" i="17"/>
  <c r="F80" i="17"/>
  <c r="L80" i="17"/>
  <c r="K50" i="17"/>
  <c r="K71" i="17"/>
  <c r="N80" i="17"/>
  <c r="E38" i="17"/>
  <c r="E59" i="17"/>
  <c r="M50" i="17"/>
  <c r="M80" i="17"/>
  <c r="K38" i="17"/>
  <c r="K59" i="17"/>
  <c r="K44" i="17"/>
  <c r="E50" i="17"/>
  <c r="E71" i="17"/>
  <c r="E80" i="17"/>
  <c r="M38" i="17"/>
  <c r="M59" i="17"/>
  <c r="N84" i="17"/>
  <c r="F44" i="17"/>
  <c r="F50" i="17"/>
  <c r="F71" i="17"/>
  <c r="N44" i="17"/>
  <c r="M44" i="17"/>
  <c r="N38" i="17"/>
  <c r="N59" i="17"/>
  <c r="M71" i="17"/>
  <c r="N50" i="17"/>
  <c r="B70" i="28"/>
  <c r="B56" i="28"/>
  <c r="B42" i="28"/>
  <c r="B28" i="28"/>
  <c r="F38" i="17"/>
  <c r="F59" i="17"/>
  <c r="N71" i="17"/>
  <c r="E44" i="17"/>
  <c r="B71" i="28"/>
  <c r="B57" i="28"/>
  <c r="B43" i="28"/>
  <c r="B29" i="28"/>
  <c r="B63" i="28"/>
  <c r="B49" i="28"/>
  <c r="B35" i="28"/>
  <c r="B21" i="28"/>
  <c r="B22" i="28"/>
  <c r="B64" i="28"/>
  <c r="B50" i="28"/>
  <c r="B36" i="28"/>
  <c r="B30" i="28"/>
  <c r="B72" i="28"/>
  <c r="B58" i="28"/>
  <c r="B44" i="28"/>
  <c r="B55" i="28"/>
  <c r="B41" i="28"/>
  <c r="B27" i="28"/>
  <c r="B69" i="28"/>
  <c r="J73" i="8"/>
  <c r="G80" i="17"/>
  <c r="G71" i="17"/>
  <c r="G50" i="17"/>
  <c r="G44" i="17"/>
  <c r="G38" i="17"/>
  <c r="G59" i="17"/>
  <c r="H80" i="17"/>
  <c r="H71" i="17"/>
  <c r="H50" i="17"/>
  <c r="H44" i="17"/>
  <c r="H38" i="17"/>
  <c r="H59" i="17"/>
  <c r="I4" i="4"/>
  <c r="J11" i="4"/>
  <c r="K4" i="9"/>
  <c r="H86" i="8"/>
  <c r="I30" i="8"/>
  <c r="H171" i="8"/>
  <c r="H216" i="8"/>
  <c r="H123" i="8"/>
  <c r="H231" i="8"/>
  <c r="I231" i="8"/>
  <c r="J231" i="8"/>
  <c r="K231" i="8"/>
  <c r="L231" i="8"/>
  <c r="M231" i="8"/>
  <c r="N231" i="8"/>
  <c r="O231" i="8"/>
  <c r="P231" i="8"/>
  <c r="Q231" i="8"/>
  <c r="G258" i="8"/>
  <c r="H258" i="8"/>
  <c r="I258" i="8"/>
  <c r="J258" i="8"/>
  <c r="K258" i="8"/>
  <c r="L258" i="8"/>
  <c r="M258" i="8"/>
  <c r="N258" i="8"/>
  <c r="O258" i="8"/>
  <c r="P258" i="8"/>
  <c r="Q258" i="8"/>
  <c r="M52" i="4"/>
  <c r="N46" i="4"/>
  <c r="O51" i="11"/>
  <c r="O56" i="19" s="1"/>
  <c r="O4" i="28"/>
  <c r="J6" i="4"/>
  <c r="K73" i="8"/>
  <c r="E29" i="19"/>
  <c r="J8" i="4"/>
  <c r="J15" i="4"/>
  <c r="J16" i="4"/>
  <c r="J7" i="4"/>
  <c r="L73" i="8"/>
  <c r="J18" i="4"/>
  <c r="J13" i="4"/>
  <c r="J4" i="4"/>
  <c r="J17" i="4"/>
  <c r="J10" i="4"/>
  <c r="J9" i="4"/>
  <c r="L4" i="9"/>
  <c r="I86" i="8"/>
  <c r="J30" i="8"/>
  <c r="I123" i="8"/>
  <c r="I171" i="8"/>
  <c r="I216" i="8"/>
  <c r="N52" i="4"/>
  <c r="O46" i="4"/>
  <c r="P46" i="4"/>
  <c r="D121" i="17"/>
  <c r="Q46" i="4"/>
  <c r="P52" i="4"/>
  <c r="P4" i="28"/>
  <c r="M73" i="8"/>
  <c r="M4" i="9"/>
  <c r="J86" i="8"/>
  <c r="J123" i="8"/>
  <c r="K30" i="8"/>
  <c r="J171" i="8"/>
  <c r="J216" i="8"/>
  <c r="O52" i="4"/>
  <c r="Q4" i="28"/>
  <c r="R81" i="28"/>
  <c r="R77" i="28"/>
  <c r="R76" i="28"/>
  <c r="R46" i="4"/>
  <c r="Q52" i="4"/>
  <c r="H39" i="8"/>
  <c r="Q21" i="11"/>
  <c r="Q31" i="19" s="1"/>
  <c r="N73" i="8"/>
  <c r="N4" i="9"/>
  <c r="K86" i="8"/>
  <c r="K123" i="8"/>
  <c r="L30" i="8"/>
  <c r="K171" i="8"/>
  <c r="K216" i="8"/>
  <c r="R85" i="28"/>
  <c r="R16" i="28"/>
  <c r="R13" i="28"/>
  <c r="R10" i="28"/>
  <c r="R7" i="28"/>
  <c r="R29" i="28"/>
  <c r="R26" i="28"/>
  <c r="R23" i="28"/>
  <c r="R20" i="28"/>
  <c r="R42" i="28"/>
  <c r="R39" i="28"/>
  <c r="R36" i="28"/>
  <c r="R58" i="28"/>
  <c r="R55" i="28"/>
  <c r="R52" i="28"/>
  <c r="R49" i="28"/>
  <c r="R71" i="28"/>
  <c r="R68" i="28"/>
  <c r="R65" i="28"/>
  <c r="R62" i="28"/>
  <c r="R83" i="28"/>
  <c r="R79" i="28"/>
  <c r="R15" i="28"/>
  <c r="R12" i="28"/>
  <c r="R9" i="28"/>
  <c r="R6" i="28"/>
  <c r="R28" i="28"/>
  <c r="R25" i="28"/>
  <c r="R22" i="28"/>
  <c r="R44" i="28"/>
  <c r="R41" i="28"/>
  <c r="R38" i="28"/>
  <c r="R35" i="28"/>
  <c r="R57" i="28"/>
  <c r="R54" i="28"/>
  <c r="R51" i="28"/>
  <c r="R48" i="28"/>
  <c r="R70" i="28"/>
  <c r="R67" i="28"/>
  <c r="R64" i="28"/>
  <c r="R86" i="28"/>
  <c r="R82" i="28"/>
  <c r="R78" i="28"/>
  <c r="R14" i="28"/>
  <c r="R11" i="28"/>
  <c r="R8" i="28"/>
  <c r="R30" i="28"/>
  <c r="R27" i="28"/>
  <c r="R24" i="28"/>
  <c r="R21" i="28"/>
  <c r="R43" i="28"/>
  <c r="R40" i="28"/>
  <c r="R37" i="28"/>
  <c r="R34" i="28"/>
  <c r="R56" i="28"/>
  <c r="R53" i="28"/>
  <c r="R50" i="28"/>
  <c r="R72" i="28"/>
  <c r="R69" i="28"/>
  <c r="R66" i="28"/>
  <c r="R63" i="28"/>
  <c r="R84" i="28"/>
  <c r="R80" i="28"/>
  <c r="S46" i="4"/>
  <c r="R52" i="4"/>
  <c r="R4" i="28"/>
  <c r="R18" i="28"/>
  <c r="R32" i="28"/>
  <c r="R46" i="28"/>
  <c r="R60" i="28"/>
  <c r="R74" i="28"/>
  <c r="O73" i="8"/>
  <c r="O4" i="9"/>
  <c r="M30" i="8"/>
  <c r="L86" i="8"/>
  <c r="L123" i="8"/>
  <c r="L171" i="8"/>
  <c r="L216" i="8"/>
  <c r="S52" i="4"/>
  <c r="B93" i="17"/>
  <c r="P73" i="8"/>
  <c r="P4" i="9"/>
  <c r="H4" i="17"/>
  <c r="M86" i="8"/>
  <c r="M123" i="8"/>
  <c r="N30" i="8"/>
  <c r="M171" i="8"/>
  <c r="M216" i="8"/>
  <c r="D4" i="17"/>
  <c r="B94" i="17"/>
  <c r="Q73" i="8"/>
  <c r="Q4" i="9"/>
  <c r="N123" i="8"/>
  <c r="O30" i="8"/>
  <c r="N86" i="8"/>
  <c r="N171" i="8"/>
  <c r="N216" i="8"/>
  <c r="R6" i="9"/>
  <c r="R116" i="9"/>
  <c r="B97" i="17"/>
  <c r="R121" i="9"/>
  <c r="I4" i="17"/>
  <c r="E4" i="17"/>
  <c r="R88" i="9"/>
  <c r="R111" i="9"/>
  <c r="R14" i="9"/>
  <c r="R114" i="9"/>
  <c r="R115" i="9"/>
  <c r="R13" i="9"/>
  <c r="R113" i="9"/>
  <c r="R77" i="9"/>
  <c r="R78" i="9"/>
  <c r="R80" i="9"/>
  <c r="R81" i="9"/>
  <c r="R82" i="9"/>
  <c r="R83" i="9"/>
  <c r="R50" i="9"/>
  <c r="R51" i="9"/>
  <c r="R56" i="9"/>
  <c r="R52" i="9"/>
  <c r="R42" i="9"/>
  <c r="R49" i="9"/>
  <c r="R41" i="9"/>
  <c r="R40" i="9"/>
  <c r="R34" i="9"/>
  <c r="R33" i="9"/>
  <c r="R10" i="9"/>
  <c r="R18" i="9"/>
  <c r="R19" i="9"/>
  <c r="R20" i="9"/>
  <c r="R17" i="9"/>
  <c r="R21" i="9"/>
  <c r="R87" i="9"/>
  <c r="R4" i="9"/>
  <c r="R30" i="9"/>
  <c r="R64" i="9"/>
  <c r="R93" i="9"/>
  <c r="R46" i="9"/>
  <c r="R35" i="9"/>
  <c r="R43" i="9"/>
  <c r="R37" i="9"/>
  <c r="R47" i="9"/>
  <c r="R90" i="9"/>
  <c r="R44" i="9"/>
  <c r="R36" i="9"/>
  <c r="R26" i="9"/>
  <c r="R15" i="9"/>
  <c r="R86" i="9"/>
  <c r="R28" i="9"/>
  <c r="R7" i="9"/>
  <c r="R89" i="9"/>
  <c r="R55" i="9"/>
  <c r="R25" i="9"/>
  <c r="R57" i="9"/>
  <c r="R9" i="9"/>
  <c r="R11" i="9"/>
  <c r="R32" i="9"/>
  <c r="R23" i="9"/>
  <c r="R8" i="9"/>
  <c r="R38" i="9"/>
  <c r="R39" i="9"/>
  <c r="R48" i="9"/>
  <c r="R92" i="9"/>
  <c r="R75" i="9"/>
  <c r="O123" i="8"/>
  <c r="P30" i="8"/>
  <c r="O86" i="8"/>
  <c r="O171" i="8"/>
  <c r="O216" i="8"/>
  <c r="E173" i="8"/>
  <c r="F33" i="8"/>
  <c r="F174" i="8" s="1"/>
  <c r="P171" i="8"/>
  <c r="P216" i="8"/>
  <c r="Q30" i="8"/>
  <c r="P86" i="8"/>
  <c r="P123" i="8"/>
  <c r="Q171" i="8"/>
  <c r="Q216" i="8"/>
  <c r="Q86" i="8"/>
  <c r="Q123" i="8"/>
  <c r="E16" i="27"/>
  <c r="F16" i="27"/>
  <c r="D16" i="27"/>
  <c r="G60" i="9"/>
  <c r="F42" i="11"/>
  <c r="R53" i="9"/>
  <c r="R54" i="9"/>
  <c r="K60" i="9"/>
  <c r="J42" i="11"/>
  <c r="H60" i="9"/>
  <c r="G42" i="11"/>
  <c r="L60" i="9"/>
  <c r="K42" i="11"/>
  <c r="O60" i="9"/>
  <c r="N42" i="11"/>
  <c r="N48" i="19" s="1"/>
  <c r="J60" i="9"/>
  <c r="I42" i="11"/>
  <c r="N60" i="9"/>
  <c r="M42" i="11"/>
  <c r="P60" i="9"/>
  <c r="O42" i="11"/>
  <c r="O48" i="19" s="1"/>
  <c r="M60" i="9"/>
  <c r="L42" i="11"/>
  <c r="Q60" i="9"/>
  <c r="P42" i="11"/>
  <c r="P48" i="19" s="1"/>
  <c r="R58" i="9"/>
  <c r="R59" i="9"/>
  <c r="I60" i="9"/>
  <c r="H42" i="11"/>
  <c r="H79" i="9"/>
  <c r="I79" i="9"/>
  <c r="J79" i="9"/>
  <c r="K79" i="9"/>
  <c r="L79" i="9"/>
  <c r="N79" i="9"/>
  <c r="E144" i="8"/>
  <c r="R60" i="9"/>
  <c r="G61" i="9"/>
  <c r="I61" i="9"/>
  <c r="O61" i="9"/>
  <c r="N61" i="9"/>
  <c r="J61" i="9"/>
  <c r="Q61" i="9"/>
  <c r="AF9" i="8"/>
  <c r="AG9" i="8"/>
  <c r="H61" i="9"/>
  <c r="L61" i="9"/>
  <c r="M61" i="9"/>
  <c r="P61" i="9"/>
  <c r="K61" i="9"/>
  <c r="R79" i="9"/>
  <c r="N84" i="9"/>
  <c r="M84" i="9"/>
  <c r="K84" i="9"/>
  <c r="J84" i="9"/>
  <c r="H84" i="9"/>
  <c r="R94" i="9"/>
  <c r="R85" i="9"/>
  <c r="G144" i="8"/>
  <c r="F144" i="8"/>
  <c r="P40" i="11"/>
  <c r="P46" i="19" s="1"/>
  <c r="P41" i="11"/>
  <c r="P47" i="19" s="1"/>
  <c r="I41" i="11"/>
  <c r="I40" i="11"/>
  <c r="J40" i="11"/>
  <c r="J41" i="11"/>
  <c r="H40" i="11"/>
  <c r="H41" i="11"/>
  <c r="O41" i="11"/>
  <c r="O47" i="19" s="1"/>
  <c r="O40" i="11"/>
  <c r="O46" i="19" s="1"/>
  <c r="M40" i="11"/>
  <c r="M41" i="11"/>
  <c r="G41" i="11"/>
  <c r="G40" i="11"/>
  <c r="L40" i="11"/>
  <c r="L41" i="11"/>
  <c r="N41" i="11"/>
  <c r="N47" i="19" s="1"/>
  <c r="N40" i="11"/>
  <c r="N46" i="19" s="1"/>
  <c r="K40" i="11"/>
  <c r="K41" i="11"/>
  <c r="F41" i="11"/>
  <c r="F40" i="11"/>
  <c r="R61" i="9"/>
  <c r="D122" i="17"/>
  <c r="H6" i="27"/>
  <c r="G6" i="27"/>
  <c r="D6" i="27"/>
  <c r="E6" i="27"/>
  <c r="C18" i="27"/>
  <c r="C19" i="27"/>
  <c r="C17" i="27"/>
  <c r="R49" i="11"/>
  <c r="R54" i="19" s="1"/>
  <c r="G18" i="8"/>
  <c r="E24" i="8"/>
  <c r="F21" i="8"/>
  <c r="F24" i="8"/>
  <c r="G24" i="8"/>
  <c r="G27" i="8"/>
  <c r="F52" i="4"/>
  <c r="D16" i="4"/>
  <c r="D15" i="4"/>
  <c r="D22" i="4"/>
  <c r="D89" i="17"/>
  <c r="D41" i="4"/>
  <c r="D52" i="4"/>
  <c r="M18" i="11"/>
  <c r="P67" i="9"/>
  <c r="J43" i="11"/>
  <c r="O50" i="11"/>
  <c r="O55" i="19" s="1"/>
  <c r="L18" i="11"/>
  <c r="R120" i="9"/>
  <c r="J50" i="11"/>
  <c r="O44" i="11"/>
  <c r="O50" i="19" s="1"/>
  <c r="O21" i="11"/>
  <c r="O31" i="19" s="1"/>
  <c r="H21" i="11"/>
  <c r="H18" i="11"/>
  <c r="H43" i="11"/>
  <c r="H50" i="11"/>
  <c r="G18" i="11"/>
  <c r="G45" i="11"/>
  <c r="D95" i="17"/>
  <c r="F38" i="8"/>
  <c r="J21" i="11"/>
  <c r="F21" i="11"/>
  <c r="D99" i="17"/>
  <c r="G38" i="8"/>
  <c r="G39" i="8" s="1"/>
  <c r="J18" i="11"/>
  <c r="P51" i="11"/>
  <c r="P56" i="19" s="1"/>
  <c r="N18" i="11"/>
  <c r="N29" i="19" s="1"/>
  <c r="E49" i="8"/>
  <c r="N21" i="11"/>
  <c r="N31" i="19" s="1"/>
  <c r="E38" i="8"/>
  <c r="K50" i="11"/>
  <c r="N45" i="11"/>
  <c r="K18" i="11"/>
  <c r="H16" i="9"/>
  <c r="G44" i="11"/>
  <c r="G50" i="11"/>
  <c r="M43" i="11"/>
  <c r="M44" i="11"/>
  <c r="M51" i="11"/>
  <c r="M50" i="11"/>
  <c r="G51" i="11"/>
  <c r="K16" i="9"/>
  <c r="L16" i="9"/>
  <c r="N43" i="11"/>
  <c r="N49" i="19" s="1"/>
  <c r="J44" i="11"/>
  <c r="G43" i="11"/>
  <c r="M45" i="11"/>
  <c r="K45" i="11"/>
  <c r="I51" i="11"/>
  <c r="H45" i="11"/>
  <c r="I16" i="9"/>
  <c r="H51" i="11"/>
  <c r="P33" i="11"/>
  <c r="O45" i="11"/>
  <c r="O43" i="11"/>
  <c r="O49" i="19" s="1"/>
  <c r="F49" i="8"/>
  <c r="K21" i="11"/>
  <c r="G22" i="9"/>
  <c r="G24" i="9"/>
  <c r="F44" i="11"/>
  <c r="F51" i="11"/>
  <c r="F45" i="11"/>
  <c r="F50" i="11"/>
  <c r="F18" i="11"/>
  <c r="F43" i="11"/>
  <c r="R91" i="9"/>
  <c r="H44" i="11"/>
  <c r="I84" i="9"/>
  <c r="L84" i="9"/>
  <c r="R76" i="9"/>
  <c r="J51" i="11"/>
  <c r="K51" i="11"/>
  <c r="N51" i="11"/>
  <c r="N56" i="19" s="1"/>
  <c r="N44" i="11"/>
  <c r="N50" i="19" s="1"/>
  <c r="K44" i="11"/>
  <c r="F58" i="11"/>
  <c r="G84" i="9"/>
  <c r="R84" i="9"/>
  <c r="G45" i="8"/>
  <c r="O12" i="17" a="1"/>
  <c r="O12" i="17"/>
  <c r="N12" i="17" a="1"/>
  <c r="N12" i="17"/>
  <c r="M12" i="17" a="1"/>
  <c r="M12" i="17"/>
  <c r="L12" i="17" a="1"/>
  <c r="L12" i="17"/>
  <c r="K12" i="17" a="1"/>
  <c r="K12" i="17"/>
  <c r="J12" i="17" a="1"/>
  <c r="J12" i="17"/>
  <c r="C12" i="17" a="1"/>
  <c r="C12" i="17"/>
  <c r="B12" i="17" a="1"/>
  <c r="B12" i="17"/>
  <c r="F189" i="8"/>
  <c r="D6" i="17"/>
  <c r="D18" i="17" s="1"/>
  <c r="D19" i="17" s="1"/>
  <c r="AD9" i="8"/>
  <c r="G53" i="8"/>
  <c r="L50" i="11"/>
  <c r="L51" i="11"/>
  <c r="M16" i="9"/>
  <c r="N16" i="9"/>
  <c r="M49" i="11"/>
  <c r="L44" i="11"/>
  <c r="P18" i="11"/>
  <c r="P29" i="19" s="1"/>
  <c r="L45" i="11"/>
  <c r="L43" i="11"/>
  <c r="I44" i="11"/>
  <c r="P43" i="11"/>
  <c r="P49" i="19" s="1"/>
  <c r="R12" i="9"/>
  <c r="M19" i="11"/>
  <c r="D100" i="17"/>
  <c r="G49" i="8"/>
  <c r="G50" i="8" s="1"/>
  <c r="P45" i="11"/>
  <c r="P50" i="11"/>
  <c r="P55" i="19" s="1"/>
  <c r="P44" i="11"/>
  <c r="G19" i="11"/>
  <c r="G49" i="11"/>
  <c r="E61" i="8"/>
  <c r="E179" i="8" s="1"/>
  <c r="N19" i="11"/>
  <c r="N30" i="19" s="1"/>
  <c r="N49" i="11"/>
  <c r="N54" i="19" s="1"/>
  <c r="L49" i="11"/>
  <c r="L19" i="11"/>
  <c r="H19" i="11"/>
  <c r="H49" i="11"/>
  <c r="F61" i="8"/>
  <c r="F233" i="8" s="1"/>
  <c r="O19" i="11"/>
  <c r="O30" i="19" s="1"/>
  <c r="O49" i="11"/>
  <c r="O54" i="19" s="1"/>
  <c r="K19" i="11"/>
  <c r="K49" i="11"/>
  <c r="I45" i="11"/>
  <c r="I50" i="11"/>
  <c r="I18" i="11"/>
  <c r="I43" i="11"/>
  <c r="J16" i="9"/>
  <c r="J19" i="11"/>
  <c r="J49" i="11"/>
  <c r="P49" i="11"/>
  <c r="P54" i="19" s="1"/>
  <c r="D101" i="17"/>
  <c r="G61" i="8"/>
  <c r="G233" i="8" s="1"/>
  <c r="F49" i="11"/>
  <c r="R16" i="9"/>
  <c r="G193" i="8"/>
  <c r="I28" i="19"/>
  <c r="I26" i="19"/>
  <c r="B11" i="28"/>
  <c r="M13" i="6"/>
  <c r="I29" i="17"/>
  <c r="J29" i="17"/>
  <c r="I84" i="17" a="1"/>
  <c r="I84" i="17"/>
  <c r="P19" i="11"/>
  <c r="P30" i="19" s="1"/>
  <c r="N117" i="9"/>
  <c r="N118" i="9"/>
  <c r="M17" i="11"/>
  <c r="N24" i="9"/>
  <c r="M20" i="11"/>
  <c r="G20" i="11"/>
  <c r="H117" i="9"/>
  <c r="H118" i="9"/>
  <c r="G17" i="11"/>
  <c r="H24" i="9"/>
  <c r="P117" i="9"/>
  <c r="P118" i="9"/>
  <c r="O17" i="11"/>
  <c r="O28" i="19" s="1"/>
  <c r="O20" i="11"/>
  <c r="H20" i="11"/>
  <c r="I117" i="9"/>
  <c r="I118" i="9"/>
  <c r="H17" i="11"/>
  <c r="I24" i="9"/>
  <c r="O117" i="9"/>
  <c r="O118" i="9"/>
  <c r="N17" i="11"/>
  <c r="N28" i="19" s="1"/>
  <c r="N20" i="11"/>
  <c r="M117" i="9"/>
  <c r="M118" i="9"/>
  <c r="L17" i="11"/>
  <c r="M24" i="9"/>
  <c r="L20" i="11"/>
  <c r="K117" i="9"/>
  <c r="K118" i="9"/>
  <c r="J17" i="11"/>
  <c r="K24" i="9"/>
  <c r="J20" i="11"/>
  <c r="I49" i="11"/>
  <c r="I19" i="11"/>
  <c r="Q117" i="9"/>
  <c r="Q118" i="9"/>
  <c r="P17" i="11"/>
  <c r="P28" i="19" s="1"/>
  <c r="P20" i="11"/>
  <c r="D103" i="17"/>
  <c r="L24" i="9"/>
  <c r="K20" i="11"/>
  <c r="L117" i="9"/>
  <c r="L118" i="9"/>
  <c r="K17" i="11"/>
  <c r="F20" i="11"/>
  <c r="G117" i="9"/>
  <c r="R22" i="9"/>
  <c r="M56" i="11"/>
  <c r="M15" i="11"/>
  <c r="N66" i="9"/>
  <c r="M23" i="11"/>
  <c r="M16" i="11"/>
  <c r="M57" i="11"/>
  <c r="N23" i="11"/>
  <c r="N33" i="19" s="1"/>
  <c r="N15" i="11"/>
  <c r="N26" i="19" s="1"/>
  <c r="N57" i="11"/>
  <c r="N56" i="11"/>
  <c r="N16" i="11"/>
  <c r="N27" i="19" s="1"/>
  <c r="P15" i="11"/>
  <c r="P26" i="19" s="1"/>
  <c r="P16" i="11"/>
  <c r="P27" i="19" s="1"/>
  <c r="P23" i="11"/>
  <c r="P33" i="19" s="1"/>
  <c r="P57" i="11"/>
  <c r="P56" i="11"/>
  <c r="D105" i="17"/>
  <c r="J57" i="11"/>
  <c r="J56" i="11"/>
  <c r="J16" i="11"/>
  <c r="J23" i="11"/>
  <c r="J15" i="11"/>
  <c r="K66" i="9"/>
  <c r="L56" i="11"/>
  <c r="M66" i="9"/>
  <c r="L15" i="11"/>
  <c r="L16" i="11"/>
  <c r="L23" i="11"/>
  <c r="L57" i="11"/>
  <c r="G56" i="11"/>
  <c r="G57" i="11"/>
  <c r="G23" i="11"/>
  <c r="G16" i="11"/>
  <c r="G15" i="11"/>
  <c r="H66" i="9"/>
  <c r="K57" i="11"/>
  <c r="K23" i="11"/>
  <c r="K56" i="11"/>
  <c r="K15" i="11"/>
  <c r="L66" i="9"/>
  <c r="K16" i="11"/>
  <c r="J24" i="9"/>
  <c r="J117" i="9"/>
  <c r="J118" i="9"/>
  <c r="I17" i="11"/>
  <c r="I20" i="11"/>
  <c r="H57" i="11"/>
  <c r="H15" i="11"/>
  <c r="H56" i="11"/>
  <c r="I66" i="9"/>
  <c r="H16" i="11"/>
  <c r="H23" i="11"/>
  <c r="O15" i="11"/>
  <c r="O26" i="19" s="1"/>
  <c r="O56" i="11"/>
  <c r="D96" i="17"/>
  <c r="O57" i="11"/>
  <c r="O23" i="11"/>
  <c r="O33" i="19" s="1"/>
  <c r="O16" i="11"/>
  <c r="O27" i="19" s="1"/>
  <c r="R117" i="9"/>
  <c r="J80" i="17"/>
  <c r="J71" i="17"/>
  <c r="J50" i="17"/>
  <c r="J44" i="17"/>
  <c r="J38" i="17"/>
  <c r="J59" i="17"/>
  <c r="I80" i="17"/>
  <c r="I71" i="17"/>
  <c r="I50" i="17"/>
  <c r="I44" i="17"/>
  <c r="I38" i="17"/>
  <c r="I59" i="17"/>
  <c r="B81" i="28"/>
  <c r="B39" i="28"/>
  <c r="B53" i="28"/>
  <c r="B67" i="28"/>
  <c r="B25" i="28"/>
  <c r="M63" i="11"/>
  <c r="N74" i="9"/>
  <c r="N63" i="11"/>
  <c r="N42" i="19" s="1"/>
  <c r="H63" i="11"/>
  <c r="I74" i="9"/>
  <c r="I57" i="11"/>
  <c r="I16" i="11"/>
  <c r="I23" i="11"/>
  <c r="J66" i="9"/>
  <c r="I15" i="11"/>
  <c r="I56" i="11"/>
  <c r="G84" i="8"/>
  <c r="O63" i="11"/>
  <c r="O42" i="19" s="1"/>
  <c r="J63" i="11"/>
  <c r="K74" i="9"/>
  <c r="P63" i="11"/>
  <c r="P42" i="19" s="1"/>
  <c r="G63" i="11"/>
  <c r="H74" i="9"/>
  <c r="M74" i="9"/>
  <c r="L63" i="11"/>
  <c r="K63" i="11"/>
  <c r="L74" i="9"/>
  <c r="E84" i="8"/>
  <c r="J74" i="9"/>
  <c r="I63" i="11"/>
  <c r="Q6" i="11"/>
  <c r="Q18" i="19" s="1"/>
  <c r="Q7" i="11"/>
  <c r="Q19" i="19" s="1"/>
  <c r="I18" i="8"/>
  <c r="J18" i="8"/>
  <c r="K18" i="8"/>
  <c r="L18" i="8"/>
  <c r="M18" i="8"/>
  <c r="N18" i="8"/>
  <c r="O18" i="8"/>
  <c r="P18" i="8"/>
  <c r="Q18" i="8"/>
  <c r="Q39" i="8"/>
  <c r="P39" i="8"/>
  <c r="O39" i="8"/>
  <c r="N39" i="8"/>
  <c r="M39" i="8"/>
  <c r="L39" i="8"/>
  <c r="J39" i="8"/>
  <c r="I175" i="8"/>
  <c r="I177" i="8"/>
  <c r="Q175" i="8"/>
  <c r="Q177" i="8"/>
  <c r="M175" i="8"/>
  <c r="M177" i="8"/>
  <c r="L175" i="8"/>
  <c r="L177" i="8"/>
  <c r="K175" i="8"/>
  <c r="K177" i="8"/>
  <c r="J175" i="8"/>
  <c r="J177" i="8"/>
  <c r="P175" i="8"/>
  <c r="P177" i="8"/>
  <c r="O175" i="8"/>
  <c r="O177" i="8"/>
  <c r="N175" i="8"/>
  <c r="N177" i="8"/>
  <c r="I39" i="8"/>
  <c r="R21" i="11"/>
  <c r="R31" i="19" s="1"/>
  <c r="R7" i="11"/>
  <c r="R19" i="19" s="1"/>
  <c r="R6" i="11"/>
  <c r="R18" i="19" s="1"/>
  <c r="E30" i="19"/>
  <c r="I21" i="8"/>
  <c r="I24" i="8"/>
  <c r="I27" i="8"/>
  <c r="E31" i="19"/>
  <c r="J21" i="8"/>
  <c r="J24" i="8"/>
  <c r="J27" i="8"/>
  <c r="E32" i="19"/>
  <c r="K21" i="8"/>
  <c r="K24" i="8"/>
  <c r="K27" i="8"/>
  <c r="E33" i="19"/>
  <c r="L21" i="8"/>
  <c r="L24" i="8"/>
  <c r="L27" i="8"/>
  <c r="M21" i="8"/>
  <c r="M24" i="8"/>
  <c r="M27" i="8"/>
  <c r="N21" i="8"/>
  <c r="N24" i="8"/>
  <c r="N27" i="8"/>
  <c r="O21" i="8"/>
  <c r="O24" i="8"/>
  <c r="O27" i="8"/>
  <c r="P21" i="8"/>
  <c r="P24" i="8"/>
  <c r="P27" i="8"/>
  <c r="Q21" i="8"/>
  <c r="Q24" i="8"/>
  <c r="Q27" i="8"/>
  <c r="R24" i="9"/>
  <c r="F15" i="11"/>
  <c r="F16" i="11"/>
  <c r="F23" i="11"/>
  <c r="F57" i="11"/>
  <c r="G66" i="9"/>
  <c r="F56" i="11"/>
  <c r="G118" i="9"/>
  <c r="F19" i="11"/>
  <c r="F17" i="11"/>
  <c r="R118" i="9"/>
  <c r="G74" i="9"/>
  <c r="R74" i="9"/>
  <c r="R66" i="9"/>
  <c r="F63" i="11"/>
  <c r="L82" i="17" a="1"/>
  <c r="G83" i="17" a="1"/>
  <c r="L98" i="9" a="1"/>
  <c r="J83" i="17" a="1"/>
  <c r="H98" i="9" a="1"/>
  <c r="K83" i="17" a="1"/>
  <c r="M83" i="17" a="1"/>
  <c r="I98" i="9" a="1"/>
  <c r="O98" i="9" a="1"/>
  <c r="N98" i="9" a="1"/>
  <c r="G98" i="9" a="1"/>
  <c r="J82" i="17" a="1"/>
  <c r="M98" i="9" a="1"/>
  <c r="L83" i="17" a="1"/>
  <c r="I83" i="17" a="1"/>
  <c r="N82" i="17" a="1"/>
  <c r="K98" i="9" a="1"/>
  <c r="Q98" i="9" a="1"/>
  <c r="P98" i="9" a="1"/>
  <c r="I82" i="17" a="1"/>
  <c r="K82" i="17" a="1"/>
  <c r="J98" i="9" a="1"/>
  <c r="N83" i="17" a="1"/>
  <c r="M82" i="17" a="1"/>
  <c r="F84" i="17" a="1"/>
  <c r="E83" i="17" a="1"/>
  <c r="G121" i="8" l="1"/>
  <c r="H121" i="8" s="1"/>
  <c r="H107" i="8"/>
  <c r="I107" i="8" s="1"/>
  <c r="J107" i="8" s="1"/>
  <c r="K107" i="8" s="1"/>
  <c r="L107" i="8" s="1"/>
  <c r="M58" i="8" s="1"/>
  <c r="G93" i="8"/>
  <c r="G108" i="8"/>
  <c r="O108" i="8" s="1"/>
  <c r="E121" i="8"/>
  <c r="G21" i="8"/>
  <c r="F96" i="8"/>
  <c r="E21" i="8"/>
  <c r="E28" i="19"/>
  <c r="G142" i="8"/>
  <c r="E96" i="8"/>
  <c r="E42" i="8"/>
  <c r="F139" i="8"/>
  <c r="F245" i="8"/>
  <c r="AC8" i="8" s="1"/>
  <c r="I71" i="8"/>
  <c r="J71" i="8" s="1"/>
  <c r="K71" i="8" s="1"/>
  <c r="F128" i="8"/>
  <c r="F108" i="8"/>
  <c r="N108" i="8" s="1"/>
  <c r="G81" i="8"/>
  <c r="G128" i="8"/>
  <c r="G36" i="8"/>
  <c r="H9" i="27"/>
  <c r="H8" i="27"/>
  <c r="E11" i="27"/>
  <c r="F9" i="27"/>
  <c r="F10" i="27"/>
  <c r="F17" i="27"/>
  <c r="D11" i="27"/>
  <c r="E18" i="27"/>
  <c r="G11" i="27"/>
  <c r="P24" i="17" a="1"/>
  <c r="P24" i="17" s="1"/>
  <c r="C6" i="17" a="1"/>
  <c r="C6" i="17" s="1"/>
  <c r="J4" i="27" s="1"/>
  <c r="B6" i="17" a="1"/>
  <c r="B6" i="17" s="1"/>
  <c r="D29" i="17" s="1"/>
  <c r="D80" i="17" s="1"/>
  <c r="H70" i="8"/>
  <c r="H64" i="8" s="1"/>
  <c r="G99" i="8"/>
  <c r="H99" i="8" s="1"/>
  <c r="H98" i="8" s="1"/>
  <c r="G96" i="8"/>
  <c r="H96" i="8" s="1"/>
  <c r="H95" i="8" s="1"/>
  <c r="D67" i="17"/>
  <c r="O67" i="17" s="1"/>
  <c r="D74" i="17" a="1"/>
  <c r="D74" i="17" s="1"/>
  <c r="O74" i="17" s="1"/>
  <c r="N6" i="17" a="1"/>
  <c r="N6" i="17" s="1"/>
  <c r="G245" i="8"/>
  <c r="AC9" i="8" s="1"/>
  <c r="G113" i="8"/>
  <c r="H113" i="8" s="1"/>
  <c r="G104" i="8"/>
  <c r="F193" i="8"/>
  <c r="F99" i="8"/>
  <c r="F154" i="8"/>
  <c r="F261" i="8" s="1"/>
  <c r="F262" i="8" s="1"/>
  <c r="E101" i="8"/>
  <c r="F121" i="8"/>
  <c r="I121" i="8" s="1"/>
  <c r="I120" i="8" s="1"/>
  <c r="E108" i="8"/>
  <c r="G237" i="8"/>
  <c r="G187" i="8"/>
  <c r="G101" i="8"/>
  <c r="G116" i="8"/>
  <c r="H116" i="8" s="1"/>
  <c r="H33" i="8"/>
  <c r="H115" i="8" s="1"/>
  <c r="G139" i="8"/>
  <c r="G42" i="8"/>
  <c r="E8" i="27"/>
  <c r="L14" i="27"/>
  <c r="F19" i="27"/>
  <c r="E10" i="27"/>
  <c r="E245" i="8"/>
  <c r="AC7" i="8" s="1"/>
  <c r="E113" i="8"/>
  <c r="F142" i="8"/>
  <c r="E142" i="8"/>
  <c r="F81" i="8"/>
  <c r="E81" i="8"/>
  <c r="E185" i="8" s="1"/>
  <c r="F36" i="8"/>
  <c r="E237" i="8"/>
  <c r="E187" i="8"/>
  <c r="E243" i="8"/>
  <c r="E128" i="8"/>
  <c r="F39" i="8"/>
  <c r="H56" i="8"/>
  <c r="I56" i="8" s="1"/>
  <c r="J56" i="8" s="1"/>
  <c r="F113" i="8"/>
  <c r="F6" i="17"/>
  <c r="F18" i="17" s="1"/>
  <c r="F19" i="17" s="1"/>
  <c r="F27" i="8"/>
  <c r="F104" i="8"/>
  <c r="F243" i="8"/>
  <c r="E104" i="8"/>
  <c r="F50" i="8"/>
  <c r="E27" i="8"/>
  <c r="E99" i="8"/>
  <c r="E93" i="8"/>
  <c r="E39" i="8"/>
  <c r="F18" i="8"/>
  <c r="F125" i="8"/>
  <c r="E50" i="8"/>
  <c r="F42" i="8"/>
  <c r="F93" i="8"/>
  <c r="F84" i="8"/>
  <c r="E18" i="8"/>
  <c r="G33" i="8"/>
  <c r="G174" i="8" s="1"/>
  <c r="F173" i="8"/>
  <c r="E154" i="8"/>
  <c r="H120" i="8"/>
  <c r="G19" i="6"/>
  <c r="H93" i="8"/>
  <c r="K59" i="8"/>
  <c r="J98" i="9"/>
  <c r="L98" i="9"/>
  <c r="K98" i="9"/>
  <c r="N98" i="9"/>
  <c r="Q98" i="9"/>
  <c r="G98" i="9"/>
  <c r="M98" i="9"/>
  <c r="O98" i="9"/>
  <c r="P98" i="9"/>
  <c r="H98" i="9"/>
  <c r="I98" i="9"/>
  <c r="N19" i="6"/>
  <c r="G13" i="6" s="1"/>
  <c r="G16" i="6" s="1"/>
  <c r="L15" i="27"/>
  <c r="D8" i="27"/>
  <c r="G10" i="27"/>
  <c r="E9" i="27"/>
  <c r="F18" i="27"/>
  <c r="H10" i="27"/>
  <c r="L12" i="27"/>
  <c r="D10" i="27"/>
  <c r="G8" i="27"/>
  <c r="H7" i="27"/>
  <c r="D19" i="27"/>
  <c r="F8" i="27"/>
  <c r="E7" i="27"/>
  <c r="D17" i="27"/>
  <c r="F7" i="27"/>
  <c r="H11" i="27"/>
  <c r="L13" i="27"/>
  <c r="E17" i="27"/>
  <c r="D18" i="27"/>
  <c r="G9" i="27"/>
  <c r="E19" i="27"/>
  <c r="F11" i="27"/>
  <c r="D7" i="27"/>
  <c r="G7" i="27"/>
  <c r="D9" i="27"/>
  <c r="C11" i="17" a="1"/>
  <c r="C11" i="17" s="1"/>
  <c r="K9" i="17" a="1"/>
  <c r="K9" i="17" s="1"/>
  <c r="N51" i="19"/>
  <c r="N11" i="17" a="1"/>
  <c r="N11" i="17" s="1"/>
  <c r="E233" i="8"/>
  <c r="B31" i="3" a="1"/>
  <c r="B31" i="3" s="1"/>
  <c r="O85" i="17"/>
  <c r="D64" i="17"/>
  <c r="O64" i="17" s="1"/>
  <c r="D56" i="17"/>
  <c r="O56" i="17" s="1"/>
  <c r="K11" i="17" a="1"/>
  <c r="K11" i="17" s="1"/>
  <c r="L11" i="17" a="1"/>
  <c r="L11" i="17" s="1"/>
  <c r="K6" i="17" a="1"/>
  <c r="K6" i="17" s="1"/>
  <c r="D68" i="17"/>
  <c r="O68" i="17" s="1"/>
  <c r="D47" i="17"/>
  <c r="O47" i="17" s="1"/>
  <c r="L36" i="11"/>
  <c r="N36" i="11"/>
  <c r="N41" i="19" s="1"/>
  <c r="O36" i="11"/>
  <c r="O41" i="19" s="1"/>
  <c r="G179" i="8"/>
  <c r="D35" i="17"/>
  <c r="O35" i="17" s="1"/>
  <c r="M10" i="17" a="1"/>
  <c r="M10" i="17" s="1"/>
  <c r="G260" i="8"/>
  <c r="AA9" i="8" s="1"/>
  <c r="D48" i="17"/>
  <c r="O48" i="17" s="1"/>
  <c r="D32" i="17"/>
  <c r="O32" i="17" s="1"/>
  <c r="N10" i="17" a="1"/>
  <c r="N10" i="17" s="1"/>
  <c r="O10" i="17" a="1"/>
  <c r="O10" i="17" s="1"/>
  <c r="G36" i="11"/>
  <c r="I36" i="11"/>
  <c r="M36" i="11"/>
  <c r="D55" i="17"/>
  <c r="O55" i="17" s="1"/>
  <c r="F62" i="8"/>
  <c r="G62" i="8"/>
  <c r="D40" i="17"/>
  <c r="O40" i="17" s="1"/>
  <c r="L14" i="17" a="1"/>
  <c r="L14" i="17" s="1"/>
  <c r="I6" i="17"/>
  <c r="I18" i="17" s="1"/>
  <c r="J10" i="17" a="1"/>
  <c r="J10" i="17" s="1"/>
  <c r="M14" i="17" a="1"/>
  <c r="M14" i="17" s="1"/>
  <c r="K10" i="17" a="1"/>
  <c r="K10" i="17" s="1"/>
  <c r="L10" i="17" a="1"/>
  <c r="L10" i="17" s="1"/>
  <c r="D31" i="17"/>
  <c r="O31" i="17" s="1"/>
  <c r="M6" i="17" a="1"/>
  <c r="M6" i="17" s="1"/>
  <c r="G154" i="8"/>
  <c r="G261" i="8" s="1"/>
  <c r="G262" i="8" s="1"/>
  <c r="J36" i="11"/>
  <c r="H36" i="11"/>
  <c r="D36" i="17"/>
  <c r="O36" i="17" s="1"/>
  <c r="F260" i="8"/>
  <c r="AA8" i="8" s="1"/>
  <c r="J6" i="17" a="1"/>
  <c r="J6" i="17" s="1"/>
  <c r="D63" i="17"/>
  <c r="O63" i="17" s="1"/>
  <c r="N9" i="17" a="1"/>
  <c r="N9" i="17" s="1"/>
  <c r="O9" i="17" a="1"/>
  <c r="O9" i="17" s="1"/>
  <c r="B30" i="3" a="1"/>
  <c r="B30" i="3" s="1"/>
  <c r="E62" i="8"/>
  <c r="D33" i="17"/>
  <c r="O33" i="17" s="1"/>
  <c r="O11" i="17" a="1"/>
  <c r="O11" i="17" s="1"/>
  <c r="J11" i="17" a="1"/>
  <c r="J11" i="17" s="1"/>
  <c r="B32" i="3" a="1"/>
  <c r="B32" i="3" s="1"/>
  <c r="L9" i="17" a="1"/>
  <c r="L9" i="17" s="1"/>
  <c r="J9" i="17" a="1"/>
  <c r="J9" i="17" s="1"/>
  <c r="M9" i="17" a="1"/>
  <c r="M9" i="17" s="1"/>
  <c r="G6" i="17"/>
  <c r="G18" i="17" s="1"/>
  <c r="G19" i="17" s="1"/>
  <c r="D34" i="17"/>
  <c r="O34" i="17" s="1"/>
  <c r="H6" i="17"/>
  <c r="D62" i="17"/>
  <c r="O62" i="17" s="1"/>
  <c r="D41" i="17"/>
  <c r="O41" i="17" s="1"/>
  <c r="O51" i="19"/>
  <c r="F179" i="8"/>
  <c r="D42" i="17"/>
  <c r="O42" i="17" s="1"/>
  <c r="J14" i="17" a="1"/>
  <c r="J14" i="17" s="1"/>
  <c r="K14" i="17" a="1"/>
  <c r="K14" i="17" s="1"/>
  <c r="L6" i="17" a="1"/>
  <c r="L6" i="17" s="1"/>
  <c r="G28" i="3" a="1"/>
  <c r="D61" i="17"/>
  <c r="O61" i="17" s="1"/>
  <c r="D53" i="17"/>
  <c r="O53" i="17" s="1"/>
  <c r="F36" i="11"/>
  <c r="O6" i="17" a="1"/>
  <c r="O6" i="17" s="1"/>
  <c r="P36" i="11"/>
  <c r="P41" i="19" s="1"/>
  <c r="D46" i="17"/>
  <c r="O46" i="17" s="1"/>
  <c r="D65" i="17"/>
  <c r="O65" i="17" s="1"/>
  <c r="K36" i="11"/>
  <c r="I198" i="8"/>
  <c r="G83" i="17"/>
  <c r="L83" i="17"/>
  <c r="F84" i="17"/>
  <c r="K82" i="17"/>
  <c r="E83" i="17"/>
  <c r="M82" i="17"/>
  <c r="J83" i="17"/>
  <c r="N83" i="17"/>
  <c r="M83" i="17"/>
  <c r="K83" i="17"/>
  <c r="J82" i="17"/>
  <c r="I83" i="17"/>
  <c r="N82" i="17"/>
  <c r="I82" i="17"/>
  <c r="L82" i="17"/>
  <c r="D54" i="17"/>
  <c r="O54" i="17" s="1"/>
  <c r="D52" i="17"/>
  <c r="P50" i="19"/>
  <c r="P51" i="19"/>
  <c r="E151" i="8"/>
  <c r="E260" i="8"/>
  <c r="AA7" i="8" s="1"/>
  <c r="E84" i="17" a="1"/>
  <c r="G82" i="17" a="1"/>
  <c r="G84" i="17" a="1"/>
  <c r="H84" i="17" a="1"/>
  <c r="E82" i="17" a="1"/>
  <c r="F82" i="17" a="1"/>
  <c r="F83" i="17" a="1"/>
  <c r="K58" i="8" l="1"/>
  <c r="I58" i="8"/>
  <c r="J58" i="8"/>
  <c r="H164" i="8"/>
  <c r="D75" i="17"/>
  <c r="O75" i="17" s="1"/>
  <c r="I70" i="8"/>
  <c r="J70" i="8" s="1"/>
  <c r="H128" i="8"/>
  <c r="I128" i="8" s="1"/>
  <c r="G247" i="8"/>
  <c r="H159" i="8" s="1"/>
  <c r="I113" i="8"/>
  <c r="J113" i="8" s="1"/>
  <c r="F185" i="8"/>
  <c r="M108" i="8"/>
  <c r="M107" i="8" s="1"/>
  <c r="N58" i="8" s="1"/>
  <c r="G185" i="8"/>
  <c r="AB9" i="8" s="1"/>
  <c r="H28" i="19" s="1"/>
  <c r="E261" i="8"/>
  <c r="E262" i="8" s="1"/>
  <c r="H47" i="8"/>
  <c r="I47" i="8" s="1"/>
  <c r="H176" i="8"/>
  <c r="H175" i="8" s="1"/>
  <c r="I99" i="8"/>
  <c r="J99" i="8" s="1"/>
  <c r="K99" i="8" s="1"/>
  <c r="L99" i="8" s="1"/>
  <c r="H146" i="8"/>
  <c r="I146" i="8" s="1"/>
  <c r="D50" i="17"/>
  <c r="B13" i="27"/>
  <c r="D38" i="17"/>
  <c r="D59" i="17" s="1"/>
  <c r="D71" i="17"/>
  <c r="B6" i="28"/>
  <c r="B20" i="28" s="1"/>
  <c r="B4" i="27"/>
  <c r="D44" i="17"/>
  <c r="Q35" i="11"/>
  <c r="V31" i="19"/>
  <c r="G14" i="6"/>
  <c r="G11" i="6" s="1"/>
  <c r="G25" i="6" s="1"/>
  <c r="I9" i="8" s="1"/>
  <c r="I19" i="17"/>
  <c r="H132" i="8"/>
  <c r="I132" i="8" s="1"/>
  <c r="J132" i="8" s="1"/>
  <c r="I96" i="8"/>
  <c r="E247" i="8"/>
  <c r="Y7" i="8" s="1"/>
  <c r="H112" i="8"/>
  <c r="AH10" i="8" s="1"/>
  <c r="Q34" i="11"/>
  <c r="H41" i="8"/>
  <c r="I41" i="8" s="1"/>
  <c r="J41" i="8" s="1"/>
  <c r="H76" i="8"/>
  <c r="E84" i="17"/>
  <c r="E195" i="8"/>
  <c r="X7" i="8" s="1"/>
  <c r="G26" i="19" s="1"/>
  <c r="H55" i="8"/>
  <c r="H105" i="8" s="1"/>
  <c r="H81" i="8"/>
  <c r="H142" i="8"/>
  <c r="H141" i="8" s="1"/>
  <c r="I93" i="8"/>
  <c r="J93" i="8" s="1"/>
  <c r="J92" i="8" s="1"/>
  <c r="H104" i="8"/>
  <c r="I104" i="8" s="1"/>
  <c r="I103" i="8" s="1"/>
  <c r="I156" i="8" s="1"/>
  <c r="AB7" i="8"/>
  <c r="H26" i="19" s="1"/>
  <c r="F187" i="8"/>
  <c r="F195" i="8" s="1"/>
  <c r="X8" i="8" s="1"/>
  <c r="G27" i="19" s="1"/>
  <c r="F237" i="8"/>
  <c r="F247" i="8" s="1"/>
  <c r="H42" i="8"/>
  <c r="I164" i="8"/>
  <c r="L59" i="8"/>
  <c r="L58" i="8" s="1"/>
  <c r="H92" i="8"/>
  <c r="Q33" i="11"/>
  <c r="H174" i="8"/>
  <c r="H173" i="8" s="1"/>
  <c r="I173" i="8" s="1"/>
  <c r="K56" i="8"/>
  <c r="L56" i="8" s="1"/>
  <c r="J121" i="8"/>
  <c r="I115" i="8"/>
  <c r="J115" i="8" s="1"/>
  <c r="E82" i="17"/>
  <c r="O103" i="9"/>
  <c r="N11" i="11"/>
  <c r="N23" i="19" s="1"/>
  <c r="N7" i="11"/>
  <c r="N19" i="19" s="1"/>
  <c r="N10" i="11"/>
  <c r="N22" i="19" s="1"/>
  <c r="H10" i="11"/>
  <c r="H7" i="11"/>
  <c r="I103" i="9"/>
  <c r="H11" i="11"/>
  <c r="M103" i="9"/>
  <c r="L10" i="11"/>
  <c r="L11" i="11"/>
  <c r="L7" i="11"/>
  <c r="H103" i="9"/>
  <c r="G11" i="11"/>
  <c r="G7" i="11"/>
  <c r="G10" i="11"/>
  <c r="F11" i="11"/>
  <c r="F10" i="11"/>
  <c r="F7" i="11"/>
  <c r="G103" i="9"/>
  <c r="P11" i="11"/>
  <c r="P23" i="19" s="1"/>
  <c r="P10" i="11"/>
  <c r="P22" i="19" s="1"/>
  <c r="Q103" i="9"/>
  <c r="P7" i="11"/>
  <c r="P19" i="19" s="1"/>
  <c r="M11" i="11"/>
  <c r="M10" i="11"/>
  <c r="N103" i="9"/>
  <c r="M7" i="11"/>
  <c r="J7" i="11"/>
  <c r="J10" i="11"/>
  <c r="K103" i="9"/>
  <c r="J11" i="11"/>
  <c r="K10" i="11"/>
  <c r="K11" i="11"/>
  <c r="K7" i="11"/>
  <c r="L103" i="9"/>
  <c r="O7" i="11"/>
  <c r="O19" i="19" s="1"/>
  <c r="O11" i="11"/>
  <c r="O23" i="19" s="1"/>
  <c r="P103" i="9"/>
  <c r="O10" i="11"/>
  <c r="O22" i="19" s="1"/>
  <c r="I10" i="11"/>
  <c r="I11" i="11"/>
  <c r="I7" i="11"/>
  <c r="J103" i="9"/>
  <c r="G84" i="17"/>
  <c r="N18" i="17"/>
  <c r="N19" i="17" s="1"/>
  <c r="H84" i="17"/>
  <c r="M18" i="17"/>
  <c r="M19" i="17" s="1"/>
  <c r="J18" i="17"/>
  <c r="J19" i="17" s="1"/>
  <c r="E26" i="17"/>
  <c r="K26" i="17" s="1"/>
  <c r="N26" i="17" s="1" a="1"/>
  <c r="N26" i="17" s="1"/>
  <c r="D27" i="17"/>
  <c r="J27" i="17" s="1"/>
  <c r="M27" i="17" s="1" a="1"/>
  <c r="M27" i="17" s="1"/>
  <c r="L18" i="17"/>
  <c r="L19" i="17" s="1"/>
  <c r="E25" i="17"/>
  <c r="K25" i="17" s="1"/>
  <c r="N25" i="17" s="1" a="1"/>
  <c r="N25" i="17" s="1"/>
  <c r="F25" i="17"/>
  <c r="L25" i="17" s="1"/>
  <c r="O25" i="17" s="1" a="1"/>
  <c r="O25" i="17" s="1"/>
  <c r="F24" i="17"/>
  <c r="L24" i="17" s="1"/>
  <c r="O24" i="17" s="1" a="1"/>
  <c r="O24" i="17" s="1"/>
  <c r="E27" i="17"/>
  <c r="K27" i="17" s="1"/>
  <c r="N27" i="17" s="1" a="1"/>
  <c r="N27" i="17" s="1"/>
  <c r="G180" i="8"/>
  <c r="F28" i="19"/>
  <c r="F180" i="8"/>
  <c r="F27" i="19"/>
  <c r="E24" i="17"/>
  <c r="K24" i="17" s="1"/>
  <c r="N24" i="17" s="1" a="1"/>
  <c r="N24" i="17" s="1"/>
  <c r="F26" i="19"/>
  <c r="E180" i="8"/>
  <c r="D24" i="17"/>
  <c r="J24" i="17" s="1"/>
  <c r="M24" i="17" s="1" a="1"/>
  <c r="M24" i="17" s="1"/>
  <c r="D25" i="17"/>
  <c r="J25" i="17" s="1"/>
  <c r="M25" i="17" s="1" a="1"/>
  <c r="M25" i="17" s="1"/>
  <c r="D26" i="17"/>
  <c r="J26" i="17" s="1"/>
  <c r="M26" i="17" s="1" a="1"/>
  <c r="M26" i="17" s="1"/>
  <c r="K18" i="17"/>
  <c r="K19" i="17" s="1"/>
  <c r="O18" i="17"/>
  <c r="O19" i="17" s="1"/>
  <c r="F27" i="17"/>
  <c r="L27" i="17" s="1"/>
  <c r="O27" i="17" s="1" a="1"/>
  <c r="O27" i="17" s="1"/>
  <c r="F26" i="17"/>
  <c r="L26" i="17" s="1"/>
  <c r="O26" i="17" s="1" a="1"/>
  <c r="O26" i="17" s="1"/>
  <c r="I29" i="3"/>
  <c r="G28" i="3"/>
  <c r="I30" i="3"/>
  <c r="I31" i="3"/>
  <c r="I32" i="3"/>
  <c r="AB8" i="8"/>
  <c r="H27" i="19" s="1"/>
  <c r="H18" i="17"/>
  <c r="H19" i="17" s="1"/>
  <c r="J198" i="8"/>
  <c r="F83" i="17"/>
  <c r="F82" i="17"/>
  <c r="G82" i="17"/>
  <c r="D57" i="17"/>
  <c r="O57" i="17" s="1"/>
  <c r="O52" i="17"/>
  <c r="D82" i="17" a="1"/>
  <c r="D83" i="17" a="1"/>
  <c r="H82" i="17" a="1"/>
  <c r="D84" i="17" a="1"/>
  <c r="H83" i="17" a="1"/>
  <c r="I64" i="8" l="1"/>
  <c r="H177" i="8"/>
  <c r="J128" i="8"/>
  <c r="B48" i="28"/>
  <c r="B62" i="28"/>
  <c r="B34" i="28"/>
  <c r="R34" i="11"/>
  <c r="Y9" i="8"/>
  <c r="I98" i="8"/>
  <c r="J98" i="8" s="1"/>
  <c r="K98" i="8" s="1"/>
  <c r="L98" i="8" s="1"/>
  <c r="H161" i="8"/>
  <c r="Q61" i="11" s="1"/>
  <c r="G162" i="8"/>
  <c r="M99" i="8"/>
  <c r="N99" i="8" s="1"/>
  <c r="O99" i="8" s="1"/>
  <c r="P99" i="8" s="1"/>
  <c r="I112" i="8"/>
  <c r="G195" i="8"/>
  <c r="X9" i="8" s="1"/>
  <c r="G28" i="19" s="1"/>
  <c r="N107" i="8"/>
  <c r="O58" i="8" s="1"/>
  <c r="I127" i="8"/>
  <c r="I239" i="8" s="1"/>
  <c r="D82" i="17"/>
  <c r="D83" i="17"/>
  <c r="D84" i="17"/>
  <c r="O84" i="17" s="1"/>
  <c r="B76" i="28"/>
  <c r="H130" i="8"/>
  <c r="H191" i="8" s="1"/>
  <c r="H241" i="8" s="1"/>
  <c r="C12" i="8"/>
  <c r="L201" i="8" s="1"/>
  <c r="L202" i="8" s="1"/>
  <c r="L9" i="8"/>
  <c r="F9" i="8"/>
  <c r="Q36" i="11"/>
  <c r="Q41" i="19" s="1"/>
  <c r="J96" i="8"/>
  <c r="I95" i="8"/>
  <c r="R35" i="11"/>
  <c r="E162" i="8"/>
  <c r="R33" i="11"/>
  <c r="H52" i="8"/>
  <c r="H53" i="8" s="1"/>
  <c r="I76" i="8"/>
  <c r="J76" i="8" s="1"/>
  <c r="H127" i="8"/>
  <c r="H189" i="8" s="1"/>
  <c r="H49" i="8"/>
  <c r="Q45" i="11" s="1"/>
  <c r="I92" i="8"/>
  <c r="K93" i="8"/>
  <c r="L93" i="8" s="1"/>
  <c r="L92" i="8" s="1"/>
  <c r="J127" i="8"/>
  <c r="J189" i="8" s="1"/>
  <c r="J104" i="8"/>
  <c r="K104" i="8" s="1"/>
  <c r="K103" i="8" s="1"/>
  <c r="K156" i="8" s="1"/>
  <c r="I142" i="8"/>
  <c r="J142" i="8" s="1"/>
  <c r="K142" i="8" s="1"/>
  <c r="L142" i="8" s="1"/>
  <c r="H219" i="8"/>
  <c r="Z7" i="8" s="1"/>
  <c r="I81" i="8"/>
  <c r="I49" i="8"/>
  <c r="I50" i="8" s="1"/>
  <c r="R18" i="11" s="1"/>
  <c r="R29" i="19" s="1"/>
  <c r="J47" i="8"/>
  <c r="K47" i="8" s="1"/>
  <c r="L47" i="8" s="1"/>
  <c r="M47" i="8" s="1"/>
  <c r="H103" i="8"/>
  <c r="H156" i="8" s="1"/>
  <c r="K115" i="8"/>
  <c r="K116" i="8" s="1"/>
  <c r="Q22" i="11"/>
  <c r="Q32" i="19" s="1"/>
  <c r="K128" i="8"/>
  <c r="L128" i="8" s="1"/>
  <c r="F162" i="8"/>
  <c r="Y8" i="8"/>
  <c r="J112" i="8"/>
  <c r="K113" i="8"/>
  <c r="L113" i="8" s="1"/>
  <c r="I42" i="8"/>
  <c r="K132" i="8"/>
  <c r="L132" i="8" s="1"/>
  <c r="J164" i="8"/>
  <c r="K41" i="8"/>
  <c r="J64" i="8"/>
  <c r="K70" i="8"/>
  <c r="J173" i="8"/>
  <c r="J116" i="8"/>
  <c r="I116" i="8"/>
  <c r="AH11" i="8"/>
  <c r="J120" i="8"/>
  <c r="K121" i="8"/>
  <c r="M56" i="8"/>
  <c r="N56" i="8" s="1"/>
  <c r="J146" i="8"/>
  <c r="K146" i="8" s="1"/>
  <c r="H83" i="17"/>
  <c r="H82" i="17"/>
  <c r="L6" i="11"/>
  <c r="L8" i="11"/>
  <c r="L9" i="11"/>
  <c r="H6" i="11"/>
  <c r="H8" i="11"/>
  <c r="H9" i="11"/>
  <c r="J9" i="11"/>
  <c r="J8" i="11"/>
  <c r="J6" i="11"/>
  <c r="F9" i="11"/>
  <c r="F8" i="11"/>
  <c r="F6" i="11"/>
  <c r="M9" i="11"/>
  <c r="M8" i="11"/>
  <c r="M6" i="11"/>
  <c r="O9" i="11"/>
  <c r="O21" i="19" s="1"/>
  <c r="O6" i="11"/>
  <c r="O18" i="19" s="1"/>
  <c r="O8" i="11"/>
  <c r="O20" i="19" s="1"/>
  <c r="K8" i="11"/>
  <c r="K9" i="11"/>
  <c r="K6" i="11"/>
  <c r="G9" i="11"/>
  <c r="G6" i="11"/>
  <c r="G8" i="11"/>
  <c r="I8" i="11"/>
  <c r="I9" i="11"/>
  <c r="I6" i="11"/>
  <c r="P8" i="11"/>
  <c r="P20" i="19" s="1"/>
  <c r="P9" i="11"/>
  <c r="P21" i="19" s="1"/>
  <c r="P6" i="11"/>
  <c r="P18" i="19" s="1"/>
  <c r="N9" i="11"/>
  <c r="N21" i="19" s="1"/>
  <c r="N8" i="11"/>
  <c r="N20" i="19" s="1"/>
  <c r="N6" i="11"/>
  <c r="N18" i="19" s="1"/>
  <c r="I28" i="3"/>
  <c r="G39" i="3"/>
  <c r="I39" i="3" s="1"/>
  <c r="K198" i="8"/>
  <c r="M98" i="8" l="1"/>
  <c r="N98" i="8" s="1"/>
  <c r="O98" i="8" s="1"/>
  <c r="P98" i="8" s="1"/>
  <c r="H245" i="8"/>
  <c r="AC10" i="8" s="1"/>
  <c r="H118" i="8"/>
  <c r="R209" i="8" s="1"/>
  <c r="I189" i="8"/>
  <c r="O107" i="8"/>
  <c r="P58" i="8" s="1"/>
  <c r="H125" i="8"/>
  <c r="H187" i="8" s="1"/>
  <c r="I130" i="8"/>
  <c r="I191" i="8" s="1"/>
  <c r="I241" i="8" s="1"/>
  <c r="O82" i="17"/>
  <c r="O83" i="17"/>
  <c r="R36" i="11"/>
  <c r="R41" i="19" s="1"/>
  <c r="J95" i="8"/>
  <c r="J130" i="8" s="1"/>
  <c r="J191" i="8" s="1"/>
  <c r="J241" i="8" s="1"/>
  <c r="K96" i="8"/>
  <c r="K76" i="8"/>
  <c r="Q43" i="11"/>
  <c r="Q49" i="19" s="1"/>
  <c r="H50" i="8"/>
  <c r="Q18" i="11" s="1"/>
  <c r="Q29" i="19" s="1"/>
  <c r="H239" i="8"/>
  <c r="Q8" i="11"/>
  <c r="Q20" i="19" s="1"/>
  <c r="M93" i="8"/>
  <c r="N93" i="8" s="1"/>
  <c r="N92" i="8" s="1"/>
  <c r="H61" i="8"/>
  <c r="H62" i="8" s="1"/>
  <c r="Q50" i="11"/>
  <c r="Q55" i="19" s="1"/>
  <c r="K92" i="8"/>
  <c r="J239" i="8"/>
  <c r="I61" i="8"/>
  <c r="R9" i="11" s="1"/>
  <c r="R21" i="19" s="1"/>
  <c r="R8" i="11"/>
  <c r="R20" i="19" s="1"/>
  <c r="L115" i="8"/>
  <c r="L116" i="8" s="1"/>
  <c r="J49" i="8"/>
  <c r="J50" i="8" s="1"/>
  <c r="L104" i="8"/>
  <c r="L103" i="8" s="1"/>
  <c r="L156" i="8" s="1"/>
  <c r="J103" i="8"/>
  <c r="J156" i="8" s="1"/>
  <c r="R50" i="11"/>
  <c r="R55" i="19" s="1"/>
  <c r="J81" i="8"/>
  <c r="I219" i="8"/>
  <c r="Z8" i="8" s="1"/>
  <c r="M142" i="8"/>
  <c r="N142" i="8" s="1"/>
  <c r="O142" i="8" s="1"/>
  <c r="P142" i="8" s="1"/>
  <c r="Q142" i="8" s="1"/>
  <c r="L112" i="8"/>
  <c r="K112" i="8"/>
  <c r="M113" i="8"/>
  <c r="M112" i="8" s="1"/>
  <c r="M132" i="8"/>
  <c r="N132" i="8" s="1"/>
  <c r="J42" i="8"/>
  <c r="K42" i="8" s="1"/>
  <c r="L42" i="8" s="1"/>
  <c r="R22" i="11"/>
  <c r="R32" i="19" s="1"/>
  <c r="M128" i="8"/>
  <c r="L146" i="8"/>
  <c r="N47" i="8"/>
  <c r="K173" i="8"/>
  <c r="L173" i="8" s="1"/>
  <c r="K164" i="8"/>
  <c r="L164" i="8" s="1"/>
  <c r="Q99" i="8"/>
  <c r="L121" i="8"/>
  <c r="L120" i="8" s="1"/>
  <c r="K120" i="8"/>
  <c r="L70" i="8"/>
  <c r="K64" i="8"/>
  <c r="O56" i="8"/>
  <c r="K49" i="8"/>
  <c r="L41" i="8"/>
  <c r="K127" i="8"/>
  <c r="L198" i="8"/>
  <c r="AF10" i="8" l="1"/>
  <c r="H65" i="8"/>
  <c r="R43" i="11"/>
  <c r="R49" i="19" s="1"/>
  <c r="H237" i="8"/>
  <c r="P107" i="8"/>
  <c r="Q58" i="8" s="1"/>
  <c r="I80" i="8"/>
  <c r="I62" i="8"/>
  <c r="F30" i="19" s="1"/>
  <c r="I78" i="8"/>
  <c r="I233" i="8"/>
  <c r="Q9" i="11"/>
  <c r="Q21" i="19" s="1"/>
  <c r="L96" i="8"/>
  <c r="M96" i="8" s="1"/>
  <c r="K95" i="8"/>
  <c r="K130" i="8" s="1"/>
  <c r="K191" i="8" s="1"/>
  <c r="K241" i="8" s="1"/>
  <c r="H233" i="8"/>
  <c r="M115" i="8"/>
  <c r="N115" i="8" s="1"/>
  <c r="M92" i="8"/>
  <c r="H78" i="8"/>
  <c r="Q20" i="11" s="1"/>
  <c r="J61" i="8"/>
  <c r="J233" i="8" s="1"/>
  <c r="O93" i="8"/>
  <c r="O92" i="8" s="1"/>
  <c r="H80" i="8"/>
  <c r="L76" i="8"/>
  <c r="O132" i="8"/>
  <c r="P132" i="8" s="1"/>
  <c r="M104" i="8"/>
  <c r="N104" i="8" s="1"/>
  <c r="M164" i="8"/>
  <c r="N164" i="8" s="1"/>
  <c r="K81" i="8"/>
  <c r="J219" i="8"/>
  <c r="Z9" i="8" s="1"/>
  <c r="Q98" i="8"/>
  <c r="M121" i="8"/>
  <c r="M120" i="8" s="1"/>
  <c r="M42" i="8"/>
  <c r="N42" i="8" s="1"/>
  <c r="N113" i="8"/>
  <c r="N112" i="8" s="1"/>
  <c r="O47" i="8"/>
  <c r="P47" i="8" s="1"/>
  <c r="Q47" i="8" s="1"/>
  <c r="N128" i="8"/>
  <c r="M41" i="8"/>
  <c r="L49" i="8"/>
  <c r="L127" i="8"/>
  <c r="M146" i="8"/>
  <c r="N146" i="8" s="1"/>
  <c r="O146" i="8" s="1"/>
  <c r="K61" i="8"/>
  <c r="K50" i="8"/>
  <c r="N116" i="8"/>
  <c r="P56" i="8"/>
  <c r="Q56" i="8" s="1"/>
  <c r="M173" i="8"/>
  <c r="N173" i="8" s="1"/>
  <c r="O173" i="8" s="1"/>
  <c r="P173" i="8" s="1"/>
  <c r="R20" i="11"/>
  <c r="H182" i="8"/>
  <c r="F29" i="19"/>
  <c r="Q19" i="11"/>
  <c r="Q30" i="19" s="1"/>
  <c r="M70" i="8"/>
  <c r="L64" i="8"/>
  <c r="K239" i="8"/>
  <c r="K189" i="8"/>
  <c r="M198" i="8"/>
  <c r="I83" i="8" l="1"/>
  <c r="I153" i="8" s="1"/>
  <c r="Q107" i="8"/>
  <c r="I182" i="8"/>
  <c r="I183" i="8" s="1"/>
  <c r="R19" i="11"/>
  <c r="R30" i="19" s="1"/>
  <c r="H83" i="8"/>
  <c r="L150" i="8" s="1"/>
  <c r="J62" i="8"/>
  <c r="J182" i="8" s="1"/>
  <c r="N96" i="8"/>
  <c r="N95" i="8" s="1"/>
  <c r="M95" i="8"/>
  <c r="J78" i="8"/>
  <c r="O115" i="8"/>
  <c r="O116" i="8" s="1"/>
  <c r="L95" i="8"/>
  <c r="L130" i="8" s="1"/>
  <c r="L191" i="8" s="1"/>
  <c r="L241" i="8" s="1"/>
  <c r="M116" i="8"/>
  <c r="J80" i="8"/>
  <c r="N121" i="8"/>
  <c r="N120" i="8" s="1"/>
  <c r="M103" i="8"/>
  <c r="M156" i="8" s="1"/>
  <c r="P93" i="8"/>
  <c r="P92" i="8" s="1"/>
  <c r="O164" i="8"/>
  <c r="P164" i="8" s="1"/>
  <c r="Q164" i="8" s="1"/>
  <c r="M76" i="8"/>
  <c r="N76" i="8" s="1"/>
  <c r="Q132" i="8"/>
  <c r="K219" i="8"/>
  <c r="Z10" i="8" s="1"/>
  <c r="L81" i="8"/>
  <c r="O113" i="8"/>
  <c r="O42" i="8"/>
  <c r="P42" i="8" s="1"/>
  <c r="O128" i="8"/>
  <c r="O104" i="8"/>
  <c r="N103" i="8"/>
  <c r="N156" i="8" s="1"/>
  <c r="L61" i="8"/>
  <c r="L50" i="8"/>
  <c r="R10" i="11"/>
  <c r="R22" i="19" s="1"/>
  <c r="I84" i="8"/>
  <c r="R23" i="11" s="1"/>
  <c r="R33" i="19" s="1"/>
  <c r="N41" i="8"/>
  <c r="M49" i="8"/>
  <c r="M127" i="8"/>
  <c r="N70" i="8"/>
  <c r="M64" i="8"/>
  <c r="H180" i="8"/>
  <c r="H179" i="8" s="1"/>
  <c r="H185" i="8" s="1"/>
  <c r="AB10" i="8" s="1"/>
  <c r="H29" i="19" s="1"/>
  <c r="H181" i="8"/>
  <c r="H183" i="8"/>
  <c r="K233" i="8"/>
  <c r="K78" i="8"/>
  <c r="K62" i="8"/>
  <c r="K80" i="8"/>
  <c r="Q150" i="8"/>
  <c r="Q10" i="11"/>
  <c r="Q22" i="19" s="1"/>
  <c r="I150" i="8"/>
  <c r="N150" i="8"/>
  <c r="J150" i="8"/>
  <c r="P146" i="8"/>
  <c r="Q146" i="8" s="1"/>
  <c r="L189" i="8"/>
  <c r="L239" i="8"/>
  <c r="N198" i="8"/>
  <c r="Q173" i="8"/>
  <c r="O150" i="8" l="1"/>
  <c r="I235" i="8"/>
  <c r="M150" i="8"/>
  <c r="P150" i="8"/>
  <c r="H134" i="8"/>
  <c r="Q63" i="11" s="1"/>
  <c r="Q42" i="19" s="1"/>
  <c r="P115" i="8"/>
  <c r="P116" i="8" s="1"/>
  <c r="K150" i="8"/>
  <c r="H150" i="8"/>
  <c r="H84" i="8"/>
  <c r="Q23" i="11" s="1"/>
  <c r="Q33" i="19" s="1"/>
  <c r="H153" i="8"/>
  <c r="F31" i="19"/>
  <c r="H235" i="8"/>
  <c r="O96" i="8"/>
  <c r="O95" i="8" s="1"/>
  <c r="I181" i="8"/>
  <c r="M130" i="8"/>
  <c r="M191" i="8" s="1"/>
  <c r="M241" i="8" s="1"/>
  <c r="I180" i="8"/>
  <c r="I179" i="8" s="1"/>
  <c r="I185" i="8" s="1"/>
  <c r="AB11" i="8" s="1"/>
  <c r="H30" i="19" s="1"/>
  <c r="N130" i="8"/>
  <c r="N191" i="8" s="1"/>
  <c r="N241" i="8" s="1"/>
  <c r="J83" i="8"/>
  <c r="J84" i="8" s="1"/>
  <c r="Q93" i="8"/>
  <c r="Q92" i="8" s="1"/>
  <c r="O121" i="8"/>
  <c r="O120" i="8" s="1"/>
  <c r="O76" i="8"/>
  <c r="P76" i="8" s="1"/>
  <c r="L219" i="8"/>
  <c r="Z11" i="8" s="1"/>
  <c r="M81" i="8"/>
  <c r="Q42" i="8"/>
  <c r="O112" i="8"/>
  <c r="P113" i="8"/>
  <c r="O103" i="8"/>
  <c r="O156" i="8" s="1"/>
  <c r="P104" i="8"/>
  <c r="P103" i="8" s="1"/>
  <c r="P156" i="8" s="1"/>
  <c r="P128" i="8"/>
  <c r="Q128" i="8" s="1"/>
  <c r="O41" i="8"/>
  <c r="N49" i="8"/>
  <c r="N127" i="8"/>
  <c r="I260" i="8"/>
  <c r="N64" i="8"/>
  <c r="O70" i="8"/>
  <c r="J180" i="8"/>
  <c r="J179" i="8" s="1"/>
  <c r="J185" i="8" s="1"/>
  <c r="AB12" i="8" s="1"/>
  <c r="H31" i="19" s="1"/>
  <c r="J183" i="8"/>
  <c r="J181" i="8"/>
  <c r="M239" i="8"/>
  <c r="M189" i="8"/>
  <c r="M50" i="8"/>
  <c r="M61" i="8"/>
  <c r="L78" i="8"/>
  <c r="L62" i="8"/>
  <c r="L233" i="8"/>
  <c r="L80" i="8"/>
  <c r="F32" i="19"/>
  <c r="K182" i="8"/>
  <c r="K83" i="8"/>
  <c r="Q60" i="11"/>
  <c r="O198" i="8"/>
  <c r="H166" i="8" l="1"/>
  <c r="Q62" i="11" s="1"/>
  <c r="H260" i="8"/>
  <c r="AA10" i="8" s="1"/>
  <c r="Q57" i="11"/>
  <c r="Q55" i="11"/>
  <c r="P96" i="8"/>
  <c r="P95" i="8" s="1"/>
  <c r="O130" i="8"/>
  <c r="O191" i="8" s="1"/>
  <c r="O241" i="8" s="1"/>
  <c r="Q115" i="8"/>
  <c r="Q116" i="8" s="1"/>
  <c r="J235" i="8"/>
  <c r="J153" i="8"/>
  <c r="J260" i="8" s="1"/>
  <c r="AA12" i="8" s="1"/>
  <c r="P121" i="8"/>
  <c r="P120" i="8" s="1"/>
  <c r="Q76" i="8"/>
  <c r="M219" i="8"/>
  <c r="Z12" i="8" s="1"/>
  <c r="N81" i="8"/>
  <c r="Q113" i="8"/>
  <c r="Q112" i="8" s="1"/>
  <c r="P112" i="8"/>
  <c r="Q104" i="8"/>
  <c r="Q103" i="8" s="1"/>
  <c r="Q156" i="8" s="1"/>
  <c r="L83" i="8"/>
  <c r="L182" i="8"/>
  <c r="F33" i="19"/>
  <c r="M62" i="8"/>
  <c r="M182" i="8" s="1"/>
  <c r="M78" i="8"/>
  <c r="M233" i="8"/>
  <c r="M80" i="8"/>
  <c r="Q11" i="11"/>
  <c r="Q23" i="19" s="1"/>
  <c r="O64" i="8"/>
  <c r="P70" i="8"/>
  <c r="K153" i="8"/>
  <c r="K260" i="8" s="1"/>
  <c r="K84" i="8"/>
  <c r="K235" i="8"/>
  <c r="R11" i="11"/>
  <c r="R23" i="19" s="1"/>
  <c r="I264" i="8"/>
  <c r="AA11" i="8"/>
  <c r="N239" i="8"/>
  <c r="N189" i="8"/>
  <c r="N50" i="8"/>
  <c r="N61" i="8"/>
  <c r="K183" i="8"/>
  <c r="K181" i="8"/>
  <c r="K180" i="8"/>
  <c r="K179" i="8" s="1"/>
  <c r="K185" i="8" s="1"/>
  <c r="AB13" i="8" s="1"/>
  <c r="H32" i="19" s="1"/>
  <c r="P41" i="8"/>
  <c r="O49" i="8"/>
  <c r="O127" i="8"/>
  <c r="P198" i="8"/>
  <c r="H264" i="8" l="1"/>
  <c r="J264" i="8"/>
  <c r="P130" i="8"/>
  <c r="P191" i="8" s="1"/>
  <c r="P241" i="8" s="1"/>
  <c r="Q96" i="8"/>
  <c r="Q95" i="8" s="1"/>
  <c r="Q130" i="8" s="1"/>
  <c r="Q191" i="8" s="1"/>
  <c r="Q241" i="8" s="1"/>
  <c r="Q121" i="8"/>
  <c r="Q120" i="8" s="1"/>
  <c r="N219" i="8"/>
  <c r="Z13" i="8" s="1"/>
  <c r="O81" i="8"/>
  <c r="AA13" i="8"/>
  <c r="K264" i="8"/>
  <c r="Q70" i="8"/>
  <c r="Q64" i="8" s="1"/>
  <c r="P64" i="8"/>
  <c r="M83" i="8"/>
  <c r="O189" i="8"/>
  <c r="O239" i="8"/>
  <c r="O61" i="8"/>
  <c r="O50" i="8"/>
  <c r="P49" i="8"/>
  <c r="Q41" i="8"/>
  <c r="P127" i="8"/>
  <c r="M180" i="8"/>
  <c r="M179" i="8" s="1"/>
  <c r="M185" i="8" s="1"/>
  <c r="M181" i="8"/>
  <c r="M183" i="8"/>
  <c r="L180" i="8"/>
  <c r="L179" i="8" s="1"/>
  <c r="L185" i="8" s="1"/>
  <c r="AB14" i="8" s="1"/>
  <c r="H33" i="19" s="1"/>
  <c r="L181" i="8"/>
  <c r="L183" i="8"/>
  <c r="L84" i="8"/>
  <c r="L153" i="8"/>
  <c r="L260" i="8" s="1"/>
  <c r="L235" i="8"/>
  <c r="N78" i="8"/>
  <c r="N62" i="8"/>
  <c r="N182" i="8" s="1"/>
  <c r="N233" i="8"/>
  <c r="N80" i="8"/>
  <c r="Q198" i="8"/>
  <c r="P81" i="8" l="1"/>
  <c r="P219" i="8" s="1"/>
  <c r="O219" i="8"/>
  <c r="Z14" i="8" s="1"/>
  <c r="AA14" i="8"/>
  <c r="L264" i="8"/>
  <c r="Q49" i="8"/>
  <c r="Q127" i="8"/>
  <c r="M153" i="8"/>
  <c r="M260" i="8" s="1"/>
  <c r="M264" i="8" s="1"/>
  <c r="M84" i="8"/>
  <c r="M235" i="8"/>
  <c r="P50" i="8"/>
  <c r="P61" i="8"/>
  <c r="P239" i="8"/>
  <c r="P189" i="8"/>
  <c r="O233" i="8"/>
  <c r="O78" i="8"/>
  <c r="O62" i="8"/>
  <c r="O182" i="8" s="1"/>
  <c r="O80" i="8"/>
  <c r="N180" i="8"/>
  <c r="N179" i="8" s="1"/>
  <c r="N185" i="8" s="1"/>
  <c r="N181" i="8"/>
  <c r="N183" i="8"/>
  <c r="N83" i="8"/>
  <c r="Q81" i="8" l="1"/>
  <c r="Q219" i="8" s="1"/>
  <c r="Q223" i="8" s="1"/>
  <c r="Q224" i="8" s="1"/>
  <c r="N235" i="8"/>
  <c r="N153" i="8"/>
  <c r="N260" i="8" s="1"/>
  <c r="N264" i="8" s="1"/>
  <c r="N84" i="8"/>
  <c r="O183" i="8"/>
  <c r="O181" i="8"/>
  <c r="O180" i="8"/>
  <c r="O179" i="8" s="1"/>
  <c r="O185" i="8" s="1"/>
  <c r="O83" i="8"/>
  <c r="P233" i="8"/>
  <c r="P62" i="8"/>
  <c r="P182" i="8" s="1"/>
  <c r="P78" i="8"/>
  <c r="P80" i="8"/>
  <c r="Q239" i="8"/>
  <c r="Q189" i="8"/>
  <c r="Q61" i="8"/>
  <c r="Q50" i="8"/>
  <c r="I138" i="8"/>
  <c r="H136" i="8"/>
  <c r="H102" i="8" s="1"/>
  <c r="P83" i="8" l="1"/>
  <c r="O84" i="8"/>
  <c r="O235" i="8"/>
  <c r="O153" i="8"/>
  <c r="O260" i="8" s="1"/>
  <c r="O264" i="8" s="1"/>
  <c r="Q78" i="8"/>
  <c r="Q62" i="8"/>
  <c r="Q182" i="8" s="1"/>
  <c r="Q233" i="8"/>
  <c r="Q80" i="8"/>
  <c r="P183" i="8"/>
  <c r="P180" i="8"/>
  <c r="P179" i="8" s="1"/>
  <c r="P185" i="8" s="1"/>
  <c r="P181" i="8"/>
  <c r="I141" i="8"/>
  <c r="I136" i="8" s="1"/>
  <c r="H101" i="8"/>
  <c r="I55" i="8"/>
  <c r="Q44" i="11"/>
  <c r="H193" i="8"/>
  <c r="I29" i="19"/>
  <c r="Q58" i="11"/>
  <c r="Q51" i="11"/>
  <c r="Q56" i="19" s="1"/>
  <c r="H148" i="8"/>
  <c r="J138" i="8"/>
  <c r="Q180" i="8" l="1"/>
  <c r="Q179" i="8" s="1"/>
  <c r="Q185" i="8" s="1"/>
  <c r="Q181" i="8"/>
  <c r="Q183" i="8"/>
  <c r="Q83" i="8"/>
  <c r="P84" i="8"/>
  <c r="P153" i="8"/>
  <c r="P260" i="8" s="1"/>
  <c r="P264" i="8" s="1"/>
  <c r="P235" i="8"/>
  <c r="K138" i="8"/>
  <c r="I193" i="8"/>
  <c r="I243" i="8" s="1"/>
  <c r="I148" i="8"/>
  <c r="R51" i="11"/>
  <c r="R56" i="19" s="1"/>
  <c r="I30" i="19"/>
  <c r="R44" i="11"/>
  <c r="I102" i="8"/>
  <c r="Q59" i="11"/>
  <c r="H168" i="8"/>
  <c r="H195" i="8"/>
  <c r="H243" i="8"/>
  <c r="H247" i="8" s="1"/>
  <c r="Q51" i="19"/>
  <c r="Q50" i="19"/>
  <c r="I105" i="8"/>
  <c r="I52" i="8"/>
  <c r="Q153" i="8" l="1"/>
  <c r="Q260" i="8" s="1"/>
  <c r="Q264" i="8" s="1"/>
  <c r="Q266" i="8" s="1"/>
  <c r="Q267" i="8" s="1"/>
  <c r="Q235" i="8"/>
  <c r="Q84" i="8"/>
  <c r="I53" i="8"/>
  <c r="I125" i="8"/>
  <c r="I161" i="8"/>
  <c r="H248" i="8"/>
  <c r="Y10" i="8"/>
  <c r="I159" i="8"/>
  <c r="X10" i="8"/>
  <c r="G29" i="19" s="1"/>
  <c r="H196" i="8"/>
  <c r="H218" i="8"/>
  <c r="Q64" i="11"/>
  <c r="Q43" i="19" s="1"/>
  <c r="Q56" i="11"/>
  <c r="H90" i="8"/>
  <c r="J141" i="8"/>
  <c r="J136" i="8" s="1"/>
  <c r="J102" i="8" s="1"/>
  <c r="I101" i="8"/>
  <c r="J55" i="8"/>
  <c r="R50" i="19"/>
  <c r="R51" i="19"/>
  <c r="L138" i="8"/>
  <c r="Q268" i="8" l="1"/>
  <c r="Q270" i="8"/>
  <c r="Q272" i="8" s="1"/>
  <c r="M138" i="8"/>
  <c r="K141" i="8"/>
  <c r="K136" i="8" s="1"/>
  <c r="K102" i="8" s="1"/>
  <c r="K55" i="8"/>
  <c r="K52" i="8" s="1"/>
  <c r="J52" i="8"/>
  <c r="J105" i="8"/>
  <c r="J193" i="8"/>
  <c r="J243" i="8" s="1"/>
  <c r="J148" i="8"/>
  <c r="I31" i="19"/>
  <c r="Q27" i="11"/>
  <c r="Q36" i="19" s="1"/>
  <c r="Q28" i="11"/>
  <c r="Q37" i="19" s="1"/>
  <c r="R206" i="8"/>
  <c r="R45" i="11"/>
  <c r="AD10" i="8"/>
  <c r="AI10" i="8"/>
  <c r="AE10" i="8"/>
  <c r="I245" i="8"/>
  <c r="AC11" i="8" s="1"/>
  <c r="I166" i="8"/>
  <c r="I118" i="8"/>
  <c r="R61" i="11"/>
  <c r="I237" i="8"/>
  <c r="I187" i="8"/>
  <c r="I195" i="8" s="1"/>
  <c r="I134" i="8"/>
  <c r="I247" i="8" l="1"/>
  <c r="J161" i="8" s="1"/>
  <c r="R63" i="11"/>
  <c r="R42" i="19" s="1"/>
  <c r="R55" i="11"/>
  <c r="R57" i="11"/>
  <c r="I168" i="8"/>
  <c r="R58" i="11"/>
  <c r="R59" i="11"/>
  <c r="R60" i="11"/>
  <c r="T198" i="8"/>
  <c r="I218" i="8"/>
  <c r="I196" i="8"/>
  <c r="X11" i="8"/>
  <c r="G30" i="19" s="1"/>
  <c r="S209" i="8"/>
  <c r="I65" i="8"/>
  <c r="AF11" i="8"/>
  <c r="R62" i="11"/>
  <c r="Q15" i="11"/>
  <c r="Q26" i="19" s="1"/>
  <c r="R15" i="11"/>
  <c r="R26" i="19" s="1"/>
  <c r="AG10" i="8"/>
  <c r="Q29" i="11"/>
  <c r="Q38" i="19" s="1"/>
  <c r="R29" i="11"/>
  <c r="R38" i="19" s="1"/>
  <c r="K105" i="8"/>
  <c r="K101" i="8" s="1"/>
  <c r="J101" i="8"/>
  <c r="K53" i="8" s="1"/>
  <c r="J53" i="8"/>
  <c r="J125" i="8"/>
  <c r="L141" i="8"/>
  <c r="L136" i="8" s="1"/>
  <c r="L102" i="8" s="1"/>
  <c r="L55" i="8"/>
  <c r="L52" i="8" s="1"/>
  <c r="K125" i="8"/>
  <c r="I32" i="19"/>
  <c r="K148" i="8"/>
  <c r="K193" i="8"/>
  <c r="K243" i="8" s="1"/>
  <c r="N138" i="8"/>
  <c r="J159" i="8" l="1"/>
  <c r="J118" i="8" s="1"/>
  <c r="J65" i="8" s="1"/>
  <c r="I248" i="8"/>
  <c r="Y11" i="8"/>
  <c r="O138" i="8"/>
  <c r="K237" i="8"/>
  <c r="K187" i="8"/>
  <c r="K195" i="8" s="1"/>
  <c r="K134" i="8"/>
  <c r="M141" i="8"/>
  <c r="M136" i="8" s="1"/>
  <c r="M102" i="8" s="1"/>
  <c r="M55" i="8"/>
  <c r="M52" i="8" s="1"/>
  <c r="L53" i="8"/>
  <c r="L125" i="8"/>
  <c r="I33" i="19"/>
  <c r="L148" i="8"/>
  <c r="L193" i="8"/>
  <c r="L243" i="8" s="1"/>
  <c r="J134" i="8"/>
  <c r="J237" i="8"/>
  <c r="J187" i="8"/>
  <c r="J195" i="8" s="1"/>
  <c r="L105" i="8"/>
  <c r="Q16" i="11"/>
  <c r="Q27" i="19" s="1"/>
  <c r="R16" i="11"/>
  <c r="R27" i="19" s="1"/>
  <c r="Q40" i="11"/>
  <c r="Q46" i="19" s="1"/>
  <c r="R41" i="11"/>
  <c r="R47" i="19" s="1"/>
  <c r="R40" i="11"/>
  <c r="R46" i="19" s="1"/>
  <c r="Q17" i="11"/>
  <c r="Q28" i="19" s="1"/>
  <c r="R17" i="11"/>
  <c r="R28" i="19" s="1"/>
  <c r="Q41" i="11"/>
  <c r="Q47" i="19" s="1"/>
  <c r="R56" i="11"/>
  <c r="R64" i="11"/>
  <c r="R43" i="19" s="1"/>
  <c r="I90" i="8"/>
  <c r="J166" i="8" l="1"/>
  <c r="J168" i="8" s="1"/>
  <c r="J90" i="8" s="1"/>
  <c r="J245" i="8"/>
  <c r="AC12" i="8" s="1"/>
  <c r="R27" i="11"/>
  <c r="R36" i="19" s="1"/>
  <c r="R28" i="11"/>
  <c r="R37" i="19" s="1"/>
  <c r="S206" i="8"/>
  <c r="AI11" i="8"/>
  <c r="AD11" i="8"/>
  <c r="AE11" i="8"/>
  <c r="AG11" i="8" s="1"/>
  <c r="M105" i="8"/>
  <c r="M101" i="8" s="1"/>
  <c r="L101" i="8"/>
  <c r="M53" i="8" s="1"/>
  <c r="X12" i="8"/>
  <c r="G31" i="19" s="1"/>
  <c r="U198" i="8"/>
  <c r="U197" i="8"/>
  <c r="J196" i="8"/>
  <c r="J218" i="8"/>
  <c r="J247" i="8"/>
  <c r="L187" i="8"/>
  <c r="L195" i="8" s="1"/>
  <c r="L134" i="8"/>
  <c r="L237" i="8"/>
  <c r="N141" i="8"/>
  <c r="N136" i="8" s="1"/>
  <c r="N102" i="8" s="1"/>
  <c r="N55" i="8"/>
  <c r="N52" i="8" s="1"/>
  <c r="M125" i="8"/>
  <c r="M193" i="8"/>
  <c r="M243" i="8" s="1"/>
  <c r="M148" i="8"/>
  <c r="X13" i="8"/>
  <c r="G32" i="19" s="1"/>
  <c r="V198" i="8"/>
  <c r="K218" i="8"/>
  <c r="K196" i="8"/>
  <c r="V197" i="8"/>
  <c r="P138" i="8"/>
  <c r="Q138" i="8" l="1"/>
  <c r="M237" i="8"/>
  <c r="M187" i="8"/>
  <c r="M195" i="8" s="1"/>
  <c r="M134" i="8"/>
  <c r="O141" i="8"/>
  <c r="O136" i="8" s="1"/>
  <c r="O102" i="8" s="1"/>
  <c r="O55" i="8"/>
  <c r="O52" i="8" s="1"/>
  <c r="N53" i="8"/>
  <c r="N125" i="8"/>
  <c r="N193" i="8"/>
  <c r="N243" i="8" s="1"/>
  <c r="N148" i="8"/>
  <c r="X14" i="8"/>
  <c r="G33" i="19" s="1"/>
  <c r="L218" i="8"/>
  <c r="W198" i="8"/>
  <c r="L196" i="8"/>
  <c r="W197" i="8"/>
  <c r="AD12" i="8"/>
  <c r="K159" i="8"/>
  <c r="K161" i="8"/>
  <c r="J248" i="8"/>
  <c r="Y12" i="8"/>
  <c r="N105" i="8"/>
  <c r="R42" i="11"/>
  <c r="R48" i="19" s="1"/>
  <c r="Q42" i="11"/>
  <c r="Q48" i="19" s="1"/>
  <c r="O105" i="8" l="1"/>
  <c r="O101" i="8" s="1"/>
  <c r="N101" i="8"/>
  <c r="K245" i="8"/>
  <c r="K166" i="8"/>
  <c r="K168" i="8" s="1"/>
  <c r="K90" i="8" s="1"/>
  <c r="K118" i="8"/>
  <c r="N134" i="8"/>
  <c r="N187" i="8"/>
  <c r="N195" i="8" s="1"/>
  <c r="N237" i="8"/>
  <c r="P141" i="8"/>
  <c r="P136" i="8" s="1"/>
  <c r="P102" i="8" s="1"/>
  <c r="P55" i="8"/>
  <c r="P52" i="8" s="1"/>
  <c r="O53" i="8"/>
  <c r="O125" i="8"/>
  <c r="O148" i="8"/>
  <c r="O193" i="8"/>
  <c r="O243" i="8" s="1"/>
  <c r="M196" i="8"/>
  <c r="M218" i="8"/>
  <c r="X197" i="8"/>
  <c r="X198" i="8"/>
  <c r="O237" i="8" l="1"/>
  <c r="O134" i="8"/>
  <c r="O187" i="8"/>
  <c r="O195" i="8" s="1"/>
  <c r="Q141" i="8"/>
  <c r="Q136" i="8" s="1"/>
  <c r="Q55" i="8"/>
  <c r="Q52" i="8" s="1"/>
  <c r="P53" i="8"/>
  <c r="P125" i="8"/>
  <c r="P193" i="8"/>
  <c r="P243" i="8" s="1"/>
  <c r="P148" i="8"/>
  <c r="N196" i="8"/>
  <c r="N218" i="8"/>
  <c r="Y198" i="8"/>
  <c r="Y197" i="8"/>
  <c r="K65" i="8"/>
  <c r="AD13" i="8"/>
  <c r="AC13" i="8"/>
  <c r="K247" i="8"/>
  <c r="P105" i="8"/>
  <c r="Q105" i="8" l="1"/>
  <c r="P101" i="8"/>
  <c r="Q53" i="8" s="1"/>
  <c r="L159" i="8"/>
  <c r="K248" i="8"/>
  <c r="Y13" i="8"/>
  <c r="L161" i="8"/>
  <c r="P134" i="8"/>
  <c r="P237" i="8"/>
  <c r="P187" i="8"/>
  <c r="P195" i="8" s="1"/>
  <c r="Q125" i="8"/>
  <c r="Q193" i="8"/>
  <c r="Q243" i="8" s="1"/>
  <c r="Q148" i="8"/>
  <c r="Q102" i="8"/>
  <c r="AA197" i="8"/>
  <c r="O218" i="8"/>
  <c r="O196" i="8"/>
  <c r="AA198" i="8"/>
  <c r="Q101" i="8" l="1"/>
  <c r="Q187" i="8"/>
  <c r="Q195" i="8" s="1"/>
  <c r="Q237" i="8"/>
  <c r="Q134" i="8"/>
  <c r="AB197" i="8"/>
  <c r="AB198" i="8"/>
  <c r="P196" i="8"/>
  <c r="P218" i="8"/>
  <c r="L245" i="8"/>
  <c r="L166" i="8"/>
  <c r="L168" i="8" s="1"/>
  <c r="L90" i="8" s="1"/>
  <c r="L118" i="8"/>
  <c r="L65" i="8" l="1"/>
  <c r="AD14" i="8"/>
  <c r="AC14" i="8"/>
  <c r="L247" i="8"/>
  <c r="Q221" i="8"/>
  <c r="Q222" i="8" s="1"/>
  <c r="Q196" i="8"/>
  <c r="Q218" i="8"/>
  <c r="AC197" i="8"/>
  <c r="AC198" i="8"/>
  <c r="Q201" i="8"/>
  <c r="Q225" i="8" l="1"/>
  <c r="Q226" i="8" s="1"/>
  <c r="Q227" i="8" s="1"/>
  <c r="Q229" i="8" s="1"/>
  <c r="R204" i="8"/>
  <c r="R205" i="8" s="1"/>
  <c r="R210" i="8" s="1"/>
  <c r="Q202" i="8"/>
  <c r="Q203" i="8" s="1"/>
  <c r="Q208" i="8" s="1"/>
  <c r="Q211" i="8" s="1"/>
  <c r="S204" i="8"/>
  <c r="S205" i="8" s="1"/>
  <c r="S210" i="8" s="1"/>
  <c r="M159" i="8"/>
  <c r="L248" i="8"/>
  <c r="Y14" i="8"/>
  <c r="M161" i="8"/>
  <c r="M166" i="8" l="1"/>
  <c r="M168" i="8" s="1"/>
  <c r="M90" i="8" s="1"/>
  <c r="M245" i="8"/>
  <c r="M247" i="8" s="1"/>
  <c r="M118" i="8"/>
  <c r="Q214" i="8"/>
  <c r="U11" i="19" s="1"/>
  <c r="AO300" i="8"/>
  <c r="U10" i="19"/>
  <c r="M65" i="8" l="1"/>
  <c r="N159" i="8"/>
  <c r="M248" i="8"/>
  <c r="N161" i="8"/>
  <c r="N166" i="8" l="1"/>
  <c r="N168" i="8" s="1"/>
  <c r="N90" i="8" s="1"/>
  <c r="N245" i="8"/>
  <c r="N247" i="8" s="1"/>
  <c r="N118" i="8"/>
  <c r="N65" i="8" l="1"/>
  <c r="N248" i="8"/>
  <c r="O161" i="8"/>
  <c r="O159" i="8"/>
  <c r="O245" i="8" l="1"/>
  <c r="O247" i="8" s="1"/>
  <c r="O166" i="8"/>
  <c r="O168" i="8" s="1"/>
  <c r="O90" i="8" s="1"/>
  <c r="O118" i="8"/>
  <c r="O65" i="8" l="1"/>
  <c r="P159" i="8"/>
  <c r="P161" i="8"/>
  <c r="O248" i="8"/>
  <c r="P166" i="8" l="1"/>
  <c r="P168" i="8" s="1"/>
  <c r="P90" i="8" s="1"/>
  <c r="P245" i="8"/>
  <c r="P247" i="8" s="1"/>
  <c r="P118" i="8"/>
  <c r="Q65" i="8" l="1"/>
  <c r="P65" i="8"/>
  <c r="Q161" i="8"/>
  <c r="P248" i="8"/>
  <c r="Q159" i="8"/>
  <c r="Q245" i="8" l="1"/>
  <c r="Q247" i="8" s="1"/>
  <c r="Q166" i="8"/>
  <c r="Q168" i="8" s="1"/>
  <c r="Q90" i="8" s="1"/>
  <c r="Q250" i="8" l="1"/>
  <c r="Q251" i="8" s="1"/>
  <c r="Q248" i="8"/>
  <c r="Q252" i="8" l="1"/>
  <c r="Q254" i="8" s="1"/>
  <c r="Q256" i="8" l="1"/>
  <c r="AO29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Mafalda Joana Ferreira da Silva Bento</author>
    <author>mafalda</author>
    <author>Raul Vasconcelos</author>
    <author>Raul Vasconcelos da Silva</author>
    <author>tc={E2CDF95A-7B2F-4661-BCB3-C007122C6CFD}</author>
    <author>tc={CD092673-94DE-4108-B6AF-FC73424C056A}</author>
    <author>tc={62E50C66-BA1C-4031-B660-F25771E0B7AB}</author>
    <author>tc={9EF6C6D7-5E70-49FE-A672-ED08A0372EC5}</author>
  </authors>
  <commentList>
    <comment ref="H17" authorId="0" shapeId="0" xr:uid="{38DF9214-13C1-4C04-9A00-66A40F0F03D4}">
      <text>
        <r>
          <rPr>
            <sz val="11"/>
            <color theme="1"/>
            <rFont val="Arial"/>
            <family val="2"/>
          </rPr>
          <t>Expected an increase in this segment, due to the development of Panther Lake. And we expect a higher demand  under the server CPU and in PC's demand.</t>
        </r>
      </text>
    </comment>
    <comment ref="H26" authorId="1" shapeId="0" xr:uid="{F902AD24-2391-4D81-9283-2BC6D13D7912}">
      <text>
        <r>
          <rPr>
            <b/>
            <sz val="9"/>
            <color indexed="81"/>
            <rFont val="Tahoma"/>
            <charset val="1"/>
          </rPr>
          <t>mafalda:</t>
        </r>
        <r>
          <rPr>
            <sz val="9"/>
            <color indexed="81"/>
            <rFont val="Tahoma"/>
            <charset val="1"/>
          </rPr>
          <t xml:space="preserve">
Foundry is the main focus of the company.</t>
        </r>
      </text>
    </comment>
    <comment ref="J35" authorId="1" shapeId="0" xr:uid="{F6F7C178-0F9F-4A4C-B52E-DE21B21CF2E8}">
      <text>
        <r>
          <rPr>
            <b/>
            <sz val="9"/>
            <color indexed="81"/>
            <rFont val="Tahoma"/>
            <charset val="1"/>
          </rPr>
          <t>mafalda:</t>
        </r>
        <r>
          <rPr>
            <sz val="9"/>
            <color indexed="81"/>
            <rFont val="Tahoma"/>
            <charset val="1"/>
          </rPr>
          <t xml:space="preserve">
COGS will decrease as Faudry segment is to be fully optimized after 2027. As well other segments where company seeks to optimize production. With the joint venture of TSMC we expect to see a decrease of COGS, as manufacturing is more cost efficient.</t>
        </r>
      </text>
    </comment>
    <comment ref="B41" authorId="2" shapeId="0" xr:uid="{00000000-0006-0000-0600-000003000000}">
      <text>
        <r>
          <rPr>
            <b/>
            <sz val="9"/>
            <color indexed="81"/>
            <rFont val="Tahoma"/>
            <family val="2"/>
          </rPr>
          <t>Raul Vasconcelos:</t>
        </r>
        <r>
          <rPr>
            <sz val="9"/>
            <color indexed="81"/>
            <rFont val="Tahoma"/>
            <family val="2"/>
          </rPr>
          <t xml:space="preserve">
Forecast based on historical percentages or growth assumptions</t>
        </r>
      </text>
    </comment>
    <comment ref="B44" authorId="2" shapeId="0" xr:uid="{00000000-0006-0000-0600-000004000000}">
      <text>
        <r>
          <rPr>
            <b/>
            <sz val="9"/>
            <color indexed="81"/>
            <rFont val="Tahoma"/>
            <family val="2"/>
          </rPr>
          <t>Raul Vasconcelos:</t>
        </r>
        <r>
          <rPr>
            <sz val="9"/>
            <color indexed="81"/>
            <rFont val="Tahoma"/>
            <family val="2"/>
          </rPr>
          <t xml:space="preserve">
Forecast based on company policy, industry trends, or as a percentage of sales</t>
        </r>
      </text>
    </comment>
    <comment ref="H45" authorId="1" shapeId="0" xr:uid="{E3062514-7A6D-44CD-BF51-D0AE916B4CC5}">
      <text>
        <r>
          <rPr>
            <b/>
            <sz val="9"/>
            <color indexed="81"/>
            <rFont val="Tahoma"/>
            <charset val="1"/>
          </rPr>
          <t>mafalda:</t>
        </r>
        <r>
          <rPr>
            <sz val="9"/>
            <color indexed="81"/>
            <rFont val="Tahoma"/>
            <charset val="1"/>
          </rPr>
          <t xml:space="preserve">
Company will increase R&amp;D expenses in order to seek to optimize its production. </t>
        </r>
      </text>
    </comment>
    <comment ref="H52" authorId="1" shapeId="0" xr:uid="{36642024-4436-499C-BA38-6E355B2D091F}">
      <text>
        <r>
          <rPr>
            <sz val="9"/>
            <color indexed="81"/>
            <rFont val="Tahoma"/>
            <charset val="1"/>
          </rPr>
          <t>Comapny expects to incur in more depreciation expense, due to the capital expenditures in 2024. That  that impacts future production costs and, ultimately, cost of sales.</t>
        </r>
      </text>
    </comment>
    <comment ref="H59" authorId="1" shapeId="0" xr:uid="{BD26D7FD-B5C2-4F74-8834-D6D1613502DE}">
      <text>
        <r>
          <rPr>
            <b/>
            <sz val="9"/>
            <color indexed="81"/>
            <rFont val="Tahoma"/>
            <charset val="1"/>
          </rPr>
          <t>mafalda:</t>
        </r>
        <r>
          <rPr>
            <sz val="9"/>
            <color indexed="81"/>
            <rFont val="Tahoma"/>
            <charset val="1"/>
          </rPr>
          <t xml:space="preserve">
Company strategy is linked with increasing intangibles so amortization will most likely increase.</t>
        </r>
      </text>
    </comment>
    <comment ref="B74" authorId="3" shapeId="0" xr:uid="{00000000-0006-0000-0600-000005000000}">
      <text>
        <r>
          <rPr>
            <sz val="11"/>
            <color theme="1"/>
            <rFont val="Arial"/>
            <family val="2"/>
          </rPr>
          <t>Forecast as % of revenue for maximum simplicity. It is encouraged to build a more complex model using bond yields, exchange rates and exposure to each region (not always necessary)</t>
        </r>
      </text>
    </comment>
    <comment ref="B108" authorId="3" shapeId="0" xr:uid="{00000000-0006-0000-0600-000006000000}">
      <text>
        <r>
          <rPr>
            <sz val="11"/>
            <color theme="1"/>
            <rFont val="Arial"/>
            <family val="2"/>
          </rPr>
          <t>Growth with R&amp;D or with part of the capex, should find what is the most reliable method for the company</t>
        </r>
      </text>
    </comment>
    <comment ref="H108" authorId="1" shapeId="0" xr:uid="{4DC1710D-3493-4860-A814-51EAF89EBDBC}">
      <text>
        <r>
          <rPr>
            <sz val="9"/>
            <color indexed="81"/>
            <rFont val="Tahoma"/>
            <charset val="1"/>
          </rPr>
          <t xml:space="preserve">Company is focusing on optimizing it's production lines. So is going to invest a lot more on R&amp;D and IP(Intelectual property). So it makes sense that intangibles increase with R&amp;D 
</t>
        </r>
      </text>
    </comment>
    <comment ref="B127" authorId="3" shapeId="0" xr:uid="{00000000-0006-0000-0600-000008000000}">
      <text>
        <r>
          <rPr>
            <sz val="11"/>
            <color theme="1"/>
            <rFont val="Arial"/>
            <family val="2"/>
          </rPr>
          <t xml:space="preserve">Usually part of SG&amp;A expenses, but sometimes can be part of R&amp;D expenses, i.e. tech/engineering companies </t>
        </r>
      </text>
    </comment>
    <comment ref="H138" authorId="1" shapeId="0" xr:uid="{D3A7C79C-FA46-4FD2-B85A-F965F0DE907F}">
      <text>
        <r>
          <rPr>
            <b/>
            <sz val="9"/>
            <color indexed="81"/>
            <rFont val="Tahoma"/>
            <charset val="1"/>
          </rPr>
          <t>mafalda:</t>
        </r>
        <r>
          <rPr>
            <sz val="9"/>
            <color indexed="81"/>
            <rFont val="Tahoma"/>
            <charset val="1"/>
          </rPr>
          <t xml:space="preserve">
Company is increasing it's factories. As well government incentives that is receiving, require a  investments in tangible assets.</t>
        </r>
      </text>
    </comment>
    <comment ref="B144" authorId="3" shapeId="0" xr:uid="{00000000-0006-0000-0600-00000A000000}">
      <text>
        <r>
          <rPr>
            <sz val="11"/>
            <color theme="1"/>
            <rFont val="Arial"/>
            <family val="2"/>
          </rPr>
          <t>Forecast separately based on what you find to be the best factor</t>
        </r>
      </text>
    </comment>
    <comment ref="H150" authorId="1" shapeId="0" xr:uid="{96E66924-4125-4E1A-8988-2FF2E1045133}">
      <text>
        <r>
          <rPr>
            <sz val="9"/>
            <color indexed="81"/>
            <rFont val="Tahoma"/>
            <charset val="1"/>
          </rPr>
          <t>Under the commercial CHIPS Act agreement the company agreed to forgo paying dividends for the next two years, and agreed to limitations on the payment of dividends for the three years thereafter.</t>
        </r>
      </text>
    </comment>
    <comment ref="B156" authorId="4" shapeId="0" xr:uid="{00000000-0006-0000-0600-00000B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59" authorId="5" shapeId="0" xr:uid="{00000000-0006-0000-0600-00000C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61" authorId="6" shapeId="0" xr:uid="{00000000-0006-0000-0600-00000D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68" authorId="7" shapeId="0" xr:uid="{00000000-0006-0000-0600-00000E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Mafalda Joana Ferreira da Silva Bento</author>
    <author>Raul Vasconcelos da Silva</author>
    <author>Raul Vasconcelos</author>
  </authors>
  <commentList>
    <comment ref="M6" authorId="0" shapeId="0" xr:uid="{02305FC9-BEC8-4198-97E3-85B9B72ECE36}">
      <text>
        <r>
          <rPr>
            <sz val="11"/>
            <color theme="1"/>
            <rFont val="Arial"/>
            <family val="2"/>
          </rPr>
          <t>Adjusted value of Net Revenue, due to the sale of NAND memory business. 
(-4,967 millions of USD)</t>
        </r>
      </text>
    </comment>
    <comment ref="N6" authorId="0" shapeId="0" xr:uid="{A31D7133-BA2A-4C85-9791-5885E6189B14}">
      <text>
        <r>
          <rPr>
            <sz val="11"/>
            <color theme="1"/>
            <rFont val="Arial"/>
            <family val="2"/>
          </rPr>
          <t xml:space="preserve">Adjusted value.
(Net revenues would be +4,306 millions USD).
</t>
        </r>
      </text>
    </comment>
    <comment ref="B7" authorId="1" shapeId="0" xr:uid="{00000000-0006-0000-0800-000001000000}">
      <text>
        <r>
          <rPr>
            <sz val="11"/>
            <color theme="1"/>
            <rFont val="Arial"/>
            <family val="2"/>
          </rPr>
          <t>Raul Vasconcelos da Silva:
Food, beverage and packaging</t>
        </r>
      </text>
    </comment>
    <comment ref="B50" authorId="2" shapeId="0" xr:uid="{00000000-0006-0000-0800-000002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B55" authorId="2" shapeId="0" xr:uid="{00000000-0006-0000-0800-000003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futureMetadata>
  <futureMetadata name="XLDAPR" count="1">
    <bk>
      <extLst>
        <ext uri="{bdbb8cdc-fa1e-496e-a857-3c3f30c029c3}">
          <xda:dynamicArrayProperties fDynamic="1" fCollapsed="0"/>
        </ext>
      </extLst>
    </bk>
  </futureMetadata>
  <cellMetadata count="1">
    <bk>
      <rc t="2" v="0"/>
    </bk>
  </cellMetadata>
  <valueMetadata count="5">
    <bk>
      <rc t="1" v="0"/>
    </bk>
    <bk>
      <rc t="1" v="1"/>
    </bk>
    <bk>
      <rc t="1" v="2"/>
    </bk>
    <bk>
      <rc t="1" v="3"/>
    </bk>
    <bk>
      <rc t="1" v="4"/>
    </bk>
  </valueMetadata>
</metadata>
</file>

<file path=xl/sharedStrings.xml><?xml version="1.0" encoding="utf-8"?>
<sst xmlns="http://schemas.openxmlformats.org/spreadsheetml/2006/main" count="1485" uniqueCount="862">
  <si>
    <t xml:space="preserve">             |   EQUITY RESEARCH </t>
  </si>
  <si>
    <t>Lisbon Investment Society Equity Research</t>
  </si>
  <si>
    <t>April 18, 2025</t>
  </si>
  <si>
    <t>Hold</t>
  </si>
  <si>
    <t>Intel is a leading American technology company known for designing and manufacturing semiconductor chips and processors that power computers, data centers, and AI systems. Its products include high-performance CPUs, GPUs, and system-on-chip solutions used by major tech firms, enterprises, and consumers worldwide.</t>
  </si>
  <si>
    <t>EXCHANGE:(TICKER)</t>
  </si>
  <si>
    <t>Investment Thesis</t>
  </si>
  <si>
    <t xml:space="preserve">We issue a HOLD recommendation on Intel Corporation. While our Free Cash Flow to the Firm (FCFF) valuation indicates a downside potential, we believe the company's strong market presence and ongoing strategic investments justify a neutral stance. Despite Intel’s efforts to optimize its manufacturing processes, we do not foresee a significant turnaround in performance over the next decade. Its entrenched position in the semiconductor ecosystem provides a degree of stability and long-term optionality. We acknowledge the continued uncertainty regarding Intel’s ability to achieve and sustain a gross margin of 50% or higher, which is critical to regaining investor confidence and driving valuation multiples. </t>
  </si>
  <si>
    <t>Operating Metrics</t>
  </si>
  <si>
    <t>Valuation Multiples</t>
  </si>
  <si>
    <t>Mafalda Bento</t>
  </si>
  <si>
    <t>EV / Sales</t>
  </si>
  <si>
    <t>mafaldajbento@aln.iseg.ulisboa.pt</t>
  </si>
  <si>
    <t>Price / Sales</t>
  </si>
  <si>
    <t>(+351) 913 761 691</t>
  </si>
  <si>
    <t>EV / EBITDA</t>
  </si>
  <si>
    <t>Deolize Neto</t>
  </si>
  <si>
    <t>EV / EBIT</t>
  </si>
  <si>
    <t>l62144@aln.iseg.ulisboa.pt</t>
  </si>
  <si>
    <t>Price / Earnings</t>
  </si>
  <si>
    <t>(+351) 939 196 808</t>
  </si>
  <si>
    <t>Price / Book</t>
  </si>
  <si>
    <t>Guilherme Tomás</t>
  </si>
  <si>
    <t>l63853@aln.iseg.ulisboa.pt</t>
  </si>
  <si>
    <t>Year</t>
  </si>
  <si>
    <t>Net Sales</t>
  </si>
  <si>
    <t>EBIT Margin</t>
  </si>
  <si>
    <t>FCFF</t>
  </si>
  <si>
    <t>Net Capex</t>
  </si>
  <si>
    <t>Profitability Ratios</t>
  </si>
  <si>
    <t>(+351) 911 188 108</t>
  </si>
  <si>
    <t>Return on Assets</t>
  </si>
  <si>
    <t>Maria Ferreira</t>
  </si>
  <si>
    <t>Return on Equity</t>
  </si>
  <si>
    <t>l61624@aln.iseg.ulisboa.pt</t>
  </si>
  <si>
    <t>Return on Total Capital</t>
  </si>
  <si>
    <t>(+351) 967 081 495</t>
  </si>
  <si>
    <t>EBITDA Margin</t>
  </si>
  <si>
    <t>Statistics</t>
  </si>
  <si>
    <t>Gross Profit Margin</t>
  </si>
  <si>
    <t>Beta</t>
  </si>
  <si>
    <t>SG&amp;A Margin</t>
  </si>
  <si>
    <t>% Float</t>
  </si>
  <si>
    <t>Net Income Margin</t>
  </si>
  <si>
    <t>% Held by Insiders</t>
  </si>
  <si>
    <t>% Held by Institutions</t>
  </si>
  <si>
    <t>SWOT Analysis</t>
  </si>
  <si>
    <t>Liquidity Ratios</t>
  </si>
  <si>
    <t>Short % of Float</t>
  </si>
  <si>
    <t>Strengths</t>
  </si>
  <si>
    <t>Weaknesses</t>
  </si>
  <si>
    <t>Cash Ratio</t>
  </si>
  <si>
    <t>Economies of scale; Strong recognition; Government Support; Advanced Manufacturing Capabilities</t>
  </si>
  <si>
    <t>A bad past scenario compared to the growth of the sector; Dependence on one market (not diverse); High capital intensity needed;</t>
  </si>
  <si>
    <t>Quick Ratio</t>
  </si>
  <si>
    <t>Major Holders</t>
  </si>
  <si>
    <t>Current Ratio</t>
  </si>
  <si>
    <t>Blackrock Inc.</t>
  </si>
  <si>
    <t>Vanguard Group Inc</t>
  </si>
  <si>
    <t>Opportunities</t>
  </si>
  <si>
    <t>Threats</t>
  </si>
  <si>
    <t>Cash Flow Ratios</t>
  </si>
  <si>
    <t>State Street Corporation</t>
  </si>
  <si>
    <t xml:space="preserve">The era of technology; Custom chips and emerging markets(drones, automatic cars...);  </t>
  </si>
  <si>
    <t>Intensifying Competition and Chinese products; The level of the product's prices which can benefit competitors with lower prices.</t>
  </si>
  <si>
    <t>Cash Conversion Cycle</t>
  </si>
  <si>
    <t>Morgan Stanley</t>
  </si>
  <si>
    <t>Net Income / Op Cash Flow</t>
  </si>
  <si>
    <t>Geode Capital Management, LLC</t>
  </si>
  <si>
    <t>Chg in Cash / Op Cash Flow</t>
  </si>
  <si>
    <t>Primecap Management Company</t>
  </si>
  <si>
    <t>UBS AM</t>
  </si>
  <si>
    <t>Revenue by Region</t>
  </si>
  <si>
    <t>Revenue by Segment</t>
  </si>
  <si>
    <t>Leverage Ratios</t>
  </si>
  <si>
    <t>NORGES BANK</t>
  </si>
  <si>
    <t>Total Debt / Equity</t>
  </si>
  <si>
    <t>Northern Trust Corporation</t>
  </si>
  <si>
    <t>Total Debt / Capital</t>
  </si>
  <si>
    <t>Invesco Ltd.</t>
  </si>
  <si>
    <t>Total Liabilities / Total Assets</t>
  </si>
  <si>
    <t>Total Debt / EBITDA</t>
  </si>
  <si>
    <t>Board of Directors</t>
  </si>
  <si>
    <t>Total Debt / (EBITDA - Capex)</t>
  </si>
  <si>
    <r>
      <rPr>
        <b/>
        <sz val="10"/>
        <color rgb="FF000000"/>
        <rFont val="Arial"/>
      </rPr>
      <t xml:space="preserve">Lip-Bu Tan </t>
    </r>
    <r>
      <rPr>
        <sz val="10"/>
        <color rgb="FF000000"/>
        <rFont val="Arial"/>
      </rPr>
      <t>(CEO);</t>
    </r>
    <r>
      <rPr>
        <b/>
        <sz val="10"/>
        <color rgb="FF000000"/>
        <rFont val="Arial"/>
      </rPr>
      <t xml:space="preserve"> Frank D. Yeary</t>
    </r>
    <r>
      <rPr>
        <sz val="10"/>
        <color rgb="FF000000"/>
        <rFont val="Arial"/>
      </rPr>
      <t xml:space="preserve"> (Chair of the Board); </t>
    </r>
    <r>
      <rPr>
        <b/>
        <sz val="10"/>
        <color rgb="FF000000"/>
        <rFont val="Arial"/>
      </rPr>
      <t xml:space="preserve">Gregory D. Smith </t>
    </r>
    <r>
      <rPr>
        <sz val="10"/>
        <color rgb="FF000000"/>
        <rFont val="Arial"/>
      </rPr>
      <t>(Independent Director);</t>
    </r>
    <r>
      <rPr>
        <b/>
        <sz val="10"/>
        <color rgb="FF000000"/>
        <rFont val="Arial"/>
      </rPr>
      <t xml:space="preserve"> Stacy Smith</t>
    </r>
    <r>
      <rPr>
        <sz val="10"/>
        <color rgb="FF000000"/>
        <rFont val="Arial"/>
      </rPr>
      <t xml:space="preserve"> (Independent Director); </t>
    </r>
    <r>
      <rPr>
        <b/>
        <sz val="10"/>
        <color rgb="FF000000"/>
        <rFont val="Arial"/>
      </rPr>
      <t xml:space="preserve">Andrea Goldsmith </t>
    </r>
    <r>
      <rPr>
        <sz val="10"/>
        <color rgb="FF000000"/>
        <rFont val="Arial"/>
      </rPr>
      <t>(Independent Director);</t>
    </r>
    <r>
      <rPr>
        <b/>
        <sz val="10"/>
        <color rgb="FF000000"/>
        <rFont val="Arial"/>
      </rPr>
      <t xml:space="preserve"> James J. Goetz </t>
    </r>
    <r>
      <rPr>
        <sz val="10"/>
        <color rgb="FF000000"/>
        <rFont val="Arial"/>
      </rPr>
      <t>(Independent Director);</t>
    </r>
    <r>
      <rPr>
        <b/>
        <sz val="10"/>
        <color rgb="FF000000"/>
        <rFont val="Arial"/>
      </rPr>
      <t xml:space="preserve"> Alyssa Henry </t>
    </r>
    <r>
      <rPr>
        <sz val="10"/>
        <color rgb="FF000000"/>
        <rFont val="Arial"/>
      </rPr>
      <t>(Independent Director);</t>
    </r>
    <r>
      <rPr>
        <b/>
        <sz val="10"/>
        <color rgb="FF000000"/>
        <rFont val="Arial"/>
      </rPr>
      <t xml:space="preserve"> Dr. Omar Ishrak</t>
    </r>
    <r>
      <rPr>
        <sz val="10"/>
        <color rgb="FF000000"/>
        <rFont val="Arial"/>
      </rPr>
      <t xml:space="preserve"> (Independent Director); </t>
    </r>
    <r>
      <rPr>
        <b/>
        <sz val="10"/>
        <color rgb="FF000000"/>
        <rFont val="Arial"/>
      </rPr>
      <t xml:space="preserve">Tsu-Jae King Liu </t>
    </r>
    <r>
      <rPr>
        <sz val="10"/>
        <color rgb="FF000000"/>
        <rFont val="Arial"/>
      </rPr>
      <t>(Independent Director);</t>
    </r>
    <r>
      <rPr>
        <b/>
        <sz val="10"/>
        <color rgb="FF000000"/>
        <rFont val="Arial"/>
      </rPr>
      <t xml:space="preserve"> Risa Lavizzo-Mourey</t>
    </r>
    <r>
      <rPr>
        <sz val="10"/>
        <color rgb="FF000000"/>
        <rFont val="Arial"/>
      </rPr>
      <t xml:space="preserve"> (Independent Director);</t>
    </r>
    <r>
      <rPr>
        <b/>
        <sz val="10"/>
        <color rgb="FF000000"/>
        <rFont val="Arial"/>
      </rPr>
      <t xml:space="preserve"> Eric Meurice </t>
    </r>
    <r>
      <rPr>
        <sz val="10"/>
        <color rgb="FF000000"/>
        <rFont val="Arial"/>
      </rPr>
      <t>(Independent Director);</t>
    </r>
    <r>
      <rPr>
        <b/>
        <sz val="10"/>
        <color rgb="FF000000"/>
        <rFont val="Arial"/>
      </rPr>
      <t xml:space="preserve"> Steve Sanghi </t>
    </r>
    <r>
      <rPr>
        <sz val="10"/>
        <color rgb="FF000000"/>
        <rFont val="Arial"/>
      </rPr>
      <t>(Independent Director).</t>
    </r>
  </si>
  <si>
    <t>Net Debt / EBITDA</t>
  </si>
  <si>
    <t>Solvency Ratios</t>
  </si>
  <si>
    <t>EBIT / Interest Expense</t>
  </si>
  <si>
    <t>EBITDA / Interest Expense</t>
  </si>
  <si>
    <t>(EBITDA - Capex) / Interest Expense</t>
  </si>
  <si>
    <t>Debt Schedule</t>
  </si>
  <si>
    <t>Stock Performance</t>
  </si>
  <si>
    <t>ESG Traffic Light</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</si>
  <si>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</si>
  <si>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</si>
  <si>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</si>
  <si>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</si>
  <si>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</si>
  <si>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</si>
  <si>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</si>
  <si>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</si>
  <si>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</si>
  <si>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</si>
  <si>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</si>
  <si>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</si>
  <si>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</si>
  <si>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Disclaimer:
This material has been prepared solely for educational and informational purposes, based on information available to the general public and from sources considered reliable. This research is part of the activities of the Lisbon Investment Society (LIS). It does not constitute, and should not be interpreted as, investment advice, financial advice, or a recommendation to buy or sell any financial instruments. The views expressed are those of the authors and do not necessarily reflect the official position of LIS. The authors assume no responsibility for the accuracy of the information provided, neither should anything contained herein be taken as an indication that any result will be achieved. Investors should conduct their own research and consult with qualified financial advisors before making any investment decisions.</t>
  </si>
  <si>
    <t>Extra Notes</t>
  </si>
  <si>
    <t>Segments</t>
  </si>
  <si>
    <t>Regions</t>
  </si>
  <si>
    <t>Weight</t>
  </si>
  <si>
    <t>China</t>
  </si>
  <si>
    <t>United States</t>
  </si>
  <si>
    <t>Singapore</t>
  </si>
  <si>
    <t>Taiwan</t>
  </si>
  <si>
    <t>Other Regions</t>
  </si>
  <si>
    <t>Total</t>
  </si>
  <si>
    <t>CCG</t>
  </si>
  <si>
    <t>DCAI</t>
  </si>
  <si>
    <t>NEX</t>
  </si>
  <si>
    <t>Intel Foundry</t>
  </si>
  <si>
    <t>All Other</t>
  </si>
  <si>
    <t>Corporate Unallocated</t>
  </si>
  <si>
    <t>Intersegment Eliminations</t>
  </si>
  <si>
    <t>Categories</t>
  </si>
  <si>
    <t>Description</t>
  </si>
  <si>
    <t>Graphs</t>
  </si>
  <si>
    <t>Focuses on processors, chipsets, and other components for consumer and business PCs — laptops, desktops, and tablets. Core products include Intel® Core™ processors (i3, i5, i7, i9).</t>
  </si>
  <si>
    <t>Serves enterprise, cloud, and government markets with high-performance computing and AI solutions. Includes Intel® Xeon® CPUs and AI accelerators (e.g., Habana® Gaudi®).</t>
  </si>
  <si>
    <t>Provides infrastructure for 5G networks, edge computing, and IoT. Supports telco and industrial customers with networking silicon and edge hardware/software.</t>
  </si>
  <si>
    <r>
      <t>Intel's internal and external wafer fabrication business. Manufactures chips for Intel and third-party customers under the </t>
    </r>
    <r>
      <rPr>
        <b/>
        <sz val="11"/>
        <color rgb="FF000000"/>
        <rFont val="Arial"/>
      </rPr>
      <t>IDM 2.0</t>
    </r>
    <r>
      <rPr>
        <sz val="11"/>
        <color rgb="FF000000"/>
        <rFont val="Arial"/>
      </rPr>
      <t> strategy. Includes Intel Foundry Services (IFS).</t>
    </r>
  </si>
  <si>
    <r>
      <t>Includes smaller businesses like </t>
    </r>
    <r>
      <rPr>
        <b/>
        <sz val="11"/>
        <color rgb="FF000000"/>
        <rFont val="Arial"/>
        <family val="2"/>
      </rPr>
      <t>Mobileye</t>
    </r>
    <r>
      <rPr>
        <sz val="11"/>
        <color rgb="FF000000"/>
        <rFont val="Arial"/>
        <family val="2"/>
      </rPr>
      <t> (autonomous driving), </t>
    </r>
    <r>
      <rPr>
        <b/>
        <sz val="11"/>
        <color rgb="FF000000"/>
        <rFont val="Arial"/>
        <family val="2"/>
      </rPr>
      <t>Altera</t>
    </r>
    <r>
      <rPr>
        <sz val="11"/>
        <color rgb="FF000000"/>
        <rFont val="Arial"/>
        <family val="2"/>
      </rPr>
      <t> (FPGAs), and early-stage ventures.</t>
    </r>
  </si>
  <si>
    <t>Overhead costs, R&amp;D not tied to specific segments, and restructuring charges.</t>
  </si>
  <si>
    <t>Internal sales between Intel segments (e.g., Foundry services provided to CCG or DCAI).</t>
  </si>
  <si>
    <t>Products</t>
  </si>
  <si>
    <t>Product 3</t>
  </si>
  <si>
    <t>Product 4</t>
  </si>
  <si>
    <t>Product 5</t>
  </si>
  <si>
    <t>Company's Strategy / Extra Notes</t>
  </si>
  <si>
    <r>
      <t>Intel’s strategy focuses on transforming its business through the </t>
    </r>
    <r>
      <rPr>
        <b/>
        <sz val="12"/>
        <color rgb="FF000000"/>
        <rFont val="Arial"/>
        <family val="2"/>
      </rPr>
      <t>IDM 2.0 model</t>
    </r>
    <r>
      <rPr>
        <sz val="12"/>
        <color rgb="FF000000"/>
        <rFont val="Arial"/>
        <family val="2"/>
      </rPr>
      <t>, which integrates in-house manufacturing, external foundry partnerships, and a growing </t>
    </r>
    <r>
      <rPr>
        <b/>
        <sz val="12"/>
        <color rgb="FF000000"/>
        <rFont val="Arial"/>
        <family val="2"/>
      </rPr>
      <t>Intel Foundry Services (IFS)</t>
    </r>
    <r>
      <rPr>
        <sz val="12"/>
        <color rgb="FF000000"/>
        <rFont val="Arial"/>
        <family val="2"/>
      </rPr>
      <t> business. The company is aiming to reclaim technology leadership by advancing </t>
    </r>
    <r>
      <rPr>
        <b/>
        <sz val="12"/>
        <color rgb="FF000000"/>
        <rFont val="Arial"/>
        <family val="2"/>
      </rPr>
      <t>five process nodes in four years</t>
    </r>
    <r>
      <rPr>
        <sz val="12"/>
        <color rgb="FF000000"/>
        <rFont val="Arial"/>
        <family val="2"/>
      </rPr>
      <t>, leveraging innovations like </t>
    </r>
    <r>
      <rPr>
        <b/>
        <sz val="12"/>
        <color rgb="FF000000"/>
        <rFont val="Arial"/>
        <family val="2"/>
      </rPr>
      <t>RibbonFET</t>
    </r>
    <r>
      <rPr>
        <sz val="12"/>
        <color rgb="FF000000"/>
        <rFont val="Arial"/>
        <family val="2"/>
      </rPr>
      <t> and </t>
    </r>
    <r>
      <rPr>
        <b/>
        <sz val="12"/>
        <color rgb="FF000000"/>
        <rFont val="Arial"/>
        <family val="2"/>
      </rPr>
      <t>PowerVia</t>
    </r>
    <r>
      <rPr>
        <sz val="12"/>
        <color rgb="FF000000"/>
        <rFont val="Arial"/>
        <family val="2"/>
      </rPr>
      <t>. It’s also focused on delivering competitive products across </t>
    </r>
    <r>
      <rPr>
        <b/>
        <sz val="12"/>
        <color rgb="FF000000"/>
        <rFont val="Arial"/>
        <family val="2"/>
      </rPr>
      <t>CPUs, AI, and networking</t>
    </r>
    <r>
      <rPr>
        <sz val="12"/>
        <color rgb="FF000000"/>
        <rFont val="Arial"/>
        <family val="2"/>
      </rPr>
      <t>, while investing in </t>
    </r>
    <r>
      <rPr>
        <b/>
        <sz val="12"/>
        <color rgb="FF000000"/>
        <rFont val="Arial"/>
        <family val="2"/>
      </rPr>
      <t>U.S. and European manufacturing</t>
    </r>
    <r>
      <rPr>
        <sz val="12"/>
        <color rgb="FF000000"/>
        <rFont val="Arial"/>
        <family val="2"/>
      </rPr>
      <t> to enhance supply chain resilience. Through its </t>
    </r>
    <r>
      <rPr>
        <b/>
        <sz val="12"/>
        <color rgb="FF000000"/>
        <rFont val="Arial"/>
        <family val="2"/>
      </rPr>
      <t>Smart Capital strategy</t>
    </r>
    <r>
      <rPr>
        <sz val="12"/>
        <color rgb="FF000000"/>
        <rFont val="Arial"/>
        <family val="2"/>
      </rPr>
      <t>, Intel is managing investments efficiently to drive long-term growth.</t>
    </r>
  </si>
  <si>
    <t>Industry Overview</t>
  </si>
  <si>
    <t>Sales Growth Forecast</t>
  </si>
  <si>
    <t>Sources</t>
  </si>
  <si>
    <t>Market Research Future</t>
  </si>
  <si>
    <t>https://www.marketresearchfuture.com/reports/client-computing-market-16110</t>
  </si>
  <si>
    <t>edge ai + vision</t>
  </si>
  <si>
    <t>https://www.edge-ai-vision.com/2025/04/ai-chips-for-data-centers-and-cloud-2025-2035-technologies-market-forecasts/</t>
  </si>
  <si>
    <t>https://www.marketresearchfuture.com/reports/us-intelligent-network-market-15455</t>
  </si>
  <si>
    <t>Weighted Average</t>
  </si>
  <si>
    <t>Key Drivers</t>
  </si>
  <si>
    <t>Artificial Intelligence (AI)</t>
  </si>
  <si>
    <t>AI is rapidly reshaping the semiconductor landscape. From cloud-based training of large models to real-time inference in AI PCs and edge devices, demand is growing for chips optimized for AI workloads. This includes GPUs, NPUs, and accelerators, all driving innovation and investment across the industry.</t>
  </si>
  <si>
    <t>Cloud &amp; Edge Computing</t>
  </si>
  <si>
    <t>As data volumes grow, processing is shifting to both large-scale cloud data centers and local edge environments. The cloud demands high-performance chips, while edge computing requires low-power, real-time processors. This dual trend is broadening the types of chips needed and driving architectural diversity.</t>
  </si>
  <si>
    <t>Advanced Manufacturing Technology</t>
  </si>
  <si>
    <t>With traditional scaling slowing, progress now depends on innovations in process nodes and packaging. Technologies like 3nm chips, chiplets, and 3D stacking are enabling better performance and power efficiency, helping the industry continue to advance despite physical limitations.</t>
  </si>
  <si>
    <t>Supply Chain &amp; Geopolitical Realignment</t>
  </si>
  <si>
    <t>Semiconductors are now seen as strategic assets. Trade tensions and supply disruptions have led governments to invest in domestic production. Initiatives like the CHIPS Act are pushing for localized, secure, and diversified supply chains, reshaping global manufacturing dynamics.</t>
  </si>
  <si>
    <t>Industry Trends</t>
  </si>
  <si>
    <t>AI Integration Across Devices</t>
  </si>
  <si>
    <r>
      <t>AI is rapidly expanding beyond cloud infrastructure into everyday hardware. This trend is evident in the rise of </t>
    </r>
    <r>
      <rPr>
        <b/>
        <sz val="11"/>
        <color rgb="FF000000"/>
        <rFont val="Arial"/>
      </rPr>
      <t>AI PCs</t>
    </r>
    <r>
      <rPr>
        <sz val="11"/>
        <color rgb="FF000000"/>
        <rFont val="Arial"/>
      </rPr>
      <t>, smartphones with </t>
    </r>
    <r>
      <rPr>
        <b/>
        <sz val="11"/>
        <color rgb="FF000000"/>
        <rFont val="Arial"/>
      </rPr>
      <t>on-device inference</t>
    </r>
    <r>
      <rPr>
        <sz val="11"/>
        <color rgb="FF000000"/>
        <rFont val="Arial"/>
      </rPr>
      <t>, and AI-enabled edge systems. Consumers and enterprises alike are expecting smarter, faster, and more context-aware devices. As a result, chipmakers are embedding AI accelerators into CPUs and SoCs, making AI a core feature rather than an add-on.</t>
    </r>
  </si>
  <si>
    <t>Custom and Domain-Specific Chip Design</t>
  </si>
  <si>
    <t>There’s growing demand for chips optimized for specific tasks—like AI training, 5G networking, or autonomous driving. Major tech companies are increasingly designing custom silicon to gain performance advantages and efficiency. This trend is reshaping the competitive landscape, as traditional chipmakers now compete not only with each other but also with their largest customers.</t>
  </si>
  <si>
    <t>Market Share</t>
  </si>
  <si>
    <t>Headquarters</t>
  </si>
  <si>
    <t>Revenues</t>
  </si>
  <si>
    <t>(in MM of USD)</t>
  </si>
  <si>
    <t>USA</t>
  </si>
  <si>
    <t>Netherlands</t>
  </si>
  <si>
    <t>Others</t>
  </si>
  <si>
    <t>--</t>
  </si>
  <si>
    <t>Industry Size</t>
  </si>
  <si>
    <t>Source: Statista</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</si>
  <si>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</si>
  <si>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</si>
  <si>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</si>
  <si>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</si>
  <si>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</si>
  <si>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</si>
  <si>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</si>
  <si>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</si>
  <si>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</si>
  <si>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</si>
  <si>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</si>
  <si>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</si>
  <si>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</si>
  <si>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</si>
  <si>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</si>
  <si>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</si>
  <si>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</si>
  <si>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</si>
  <si>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</si>
  <si>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</si>
  <si>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</si>
  <si>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</si>
  <si>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</si>
  <si>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</si>
  <si>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</si>
  <si>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</si>
  <si>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</si>
  <si>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</si>
  <si>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</si>
  <si>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</si>
  <si>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</si>
  <si>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</si>
  <si>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Revenue Growth</t>
  </si>
  <si>
    <t>Profit Margin</t>
  </si>
  <si>
    <t>EV / Revenue</t>
  </si>
  <si>
    <t>Peers</t>
  </si>
  <si>
    <t>Ticker</t>
  </si>
  <si>
    <t>NVIDIA</t>
  </si>
  <si>
    <t>AMD</t>
  </si>
  <si>
    <t>Broadcom Inc.</t>
  </si>
  <si>
    <t>ASML</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</si>
  <si>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</si>
  <si>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</si>
  <si>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</si>
  <si>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</si>
  <si>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</si>
  <si>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</si>
  <si>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</si>
  <si>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</si>
  <si>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</si>
  <si>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</si>
  <si>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</si>
  <si>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</si>
  <si>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</si>
  <si>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</si>
  <si>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</si>
  <si>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</si>
  <si>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</si>
  <si>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</si>
  <si>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</si>
  <si>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</si>
  <si>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 xml:space="preserve">  </t>
  </si>
  <si>
    <t>Operating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</si>
  <si>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</si>
  <si>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</si>
  <si>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</si>
  <si>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</si>
  <si>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</si>
  <si>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</si>
  <si>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</si>
  <si>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</si>
  <si>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</si>
  <si>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</si>
  <si>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</si>
  <si>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</si>
  <si>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</si>
  <si>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</si>
  <si>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</si>
  <si>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</si>
  <si>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</si>
  <si>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</si>
  <si>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</si>
  <si>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</si>
  <si>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</si>
  <si>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</si>
  <si>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</si>
  <si>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</si>
  <si>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</si>
  <si>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</si>
  <si>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</si>
  <si>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</si>
  <si>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</si>
  <si>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</si>
  <si>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</si>
  <si>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</si>
  <si>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</si>
  <si>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</si>
  <si>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</si>
  <si>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 Revenues in the US</t>
  </si>
  <si>
    <t>Income Statement</t>
  </si>
  <si>
    <t>PEER 5</t>
  </si>
  <si>
    <t>PEER 6</t>
  </si>
  <si>
    <t>PEER 7</t>
  </si>
  <si>
    <t>PEER 8</t>
  </si>
  <si>
    <t>PEER 9</t>
  </si>
  <si>
    <t>PEER 10</t>
  </si>
  <si>
    <t>EBITDA (2023)</t>
  </si>
  <si>
    <t>Net Income (2023)</t>
  </si>
  <si>
    <t>COGS (Cost of Goods Sold)</t>
  </si>
  <si>
    <t>Gross Profit</t>
  </si>
  <si>
    <t>Operating Income (EBIT)</t>
  </si>
  <si>
    <t>Net Interest Expense (Income)</t>
  </si>
  <si>
    <t>Pre-Tax Income (EBT)</t>
  </si>
  <si>
    <t>Tax Expense (Benefits)</t>
  </si>
  <si>
    <t>Net Income</t>
  </si>
  <si>
    <t>EPS basic</t>
  </si>
  <si>
    <t>2.97</t>
  </si>
  <si>
    <t>393,3</t>
  </si>
  <si>
    <t>R&amp;D (Research &amp; Development)</t>
  </si>
  <si>
    <t>Balance Sheet</t>
  </si>
  <si>
    <t>Cash &amp; Cash Equivalents</t>
  </si>
  <si>
    <t>Accounts Receivable</t>
  </si>
  <si>
    <t>Beginning Inventory</t>
  </si>
  <si>
    <t>Ending Inventory</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</si>
  <si>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</si>
  <si>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</si>
  <si>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</si>
  <si>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</si>
  <si>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</si>
  <si>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</si>
  <si>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</si>
  <si>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</si>
  <si>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</si>
  <si>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</si>
  <si>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</si>
  <si>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</si>
  <si>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</si>
  <si>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</si>
  <si>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</si>
  <si>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t>Environmental, Social and Governance Analysis</t>
  </si>
  <si>
    <t>Author:</t>
  </si>
  <si>
    <t xml:space="preserve">Guilherme </t>
  </si>
  <si>
    <t>Highlights</t>
  </si>
  <si>
    <t>Recent News</t>
  </si>
  <si>
    <t>Overview</t>
  </si>
  <si>
    <t>.</t>
  </si>
  <si>
    <t>Last Update</t>
  </si>
  <si>
    <t>Latest year with data</t>
  </si>
  <si>
    <t>GICS Sector</t>
  </si>
  <si>
    <t>Information Technology</t>
  </si>
  <si>
    <t>GICS Industry Group</t>
  </si>
  <si>
    <t>Semiconductors &amp; Semiconductor Equipment</t>
  </si>
  <si>
    <t>Final Review</t>
  </si>
  <si>
    <t>ESG Scores</t>
  </si>
  <si>
    <t>GHG Scope 1 and 2 Emissions:</t>
  </si>
  <si>
    <t>Water, Waste, Energy Management:</t>
  </si>
  <si>
    <t>?</t>
  </si>
  <si>
    <t>AA</t>
  </si>
  <si>
    <t>Industry ESG Overview:</t>
  </si>
  <si>
    <t>ENVIRONMENTAL</t>
  </si>
  <si>
    <t>Targets</t>
  </si>
  <si>
    <t>Improvements</t>
  </si>
  <si>
    <t>Comments</t>
  </si>
  <si>
    <t>GHG (or CO2) Scope 1 Emissions</t>
  </si>
  <si>
    <t>Reduce Scope 1 (and 2 greenhouse) gas emissions by 10% between 2020 and 2030. Achieve net-zero emissions for these categories by 2040.</t>
  </si>
  <si>
    <t>In 2023, 100% renewable electricity in US, Europe, Israel, Malaysia, Vietnam, and China locations, was reached China locations</t>
  </si>
  <si>
    <t>N/A</t>
  </si>
  <si>
    <t>Water Consumption</t>
  </si>
  <si>
    <t>Save 60 billion gallons of water and support external projects that help restore water sources to achieve net positive water by 2030.</t>
  </si>
  <si>
    <t>In 2023, it was maintained the net positive water in the US and India and reached 2 additional countries (Costa Rica and México)</t>
  </si>
  <si>
    <t>Intel was the first semiconductor company in the US to achieve the Alliance for Water Stewardship (AWS) platinum certification (2023)</t>
  </si>
  <si>
    <t>Energy Consumption</t>
  </si>
  <si>
    <t>Transition to 100% renewable electricity and reduce electricity consumption by 4 billion kWh by 2030.</t>
  </si>
  <si>
    <t>In 2023 Intel had conserved a cumulative total of 1.6 billion kWh of electricity since  the baseline date, which tends to raise every year (aimed at more 125 million in 2024)</t>
  </si>
  <si>
    <t>Waste Management</t>
  </si>
  <si>
    <t>Achieve 0 waste to landfill. Adopt circular economy practices for at least 60% of the manufacturing waste streams by 2030</t>
  </si>
  <si>
    <t xml:space="preserve">Intel continues to find ways to recover materials and regenerate resources to create circular economy solutions reducing costs and impact. </t>
  </si>
  <si>
    <t>63% manufacturing waste upcycled in 2023</t>
  </si>
  <si>
    <t>Other</t>
  </si>
  <si>
    <t>SOCIAL</t>
  </si>
  <si>
    <t>Important Sources:</t>
  </si>
  <si>
    <t>Annual Report</t>
  </si>
  <si>
    <t>https://d1io3yog0oux5.cloudfront.net/_7836e22efae1ffbd5e36f11a2d4b09f6/intel/db/888/9122/file/2024+ARS+Form+10-K+after+filing.pdf</t>
  </si>
  <si>
    <t>Employee Turnover %</t>
  </si>
  <si>
    <t>Its was 4% in 2020. In summer of 2024 due to a plan to reduce costs, Intel layed off roughly 15%.</t>
  </si>
  <si>
    <t>Sustainability Report</t>
  </si>
  <si>
    <t>Proxy Statement</t>
  </si>
  <si>
    <t>https://d1io3yog0oux5.cloudfront.net/_7836e22efae1ffbd5e36f11a2d4b09f6/intel/db/888/9121/file/2025+Proxy+Statement+Final.pdf</t>
  </si>
  <si>
    <t>Salaries &amp; Compensation</t>
  </si>
  <si>
    <t>Intel is comitted to globay pay equity.</t>
  </si>
  <si>
    <t>To support employees during Covid19 more than $100 milion  is being invested in employer benefits. Intel uses analysis to ensure fair pay. The median yearly total compensation reported at Intel is $174,771.</t>
  </si>
  <si>
    <t>Retiree Annual Enrollment Guide</t>
  </si>
  <si>
    <t>Retiree Benefits Enrollment Guide</t>
  </si>
  <si>
    <t>Reputation</t>
  </si>
  <si>
    <t>Commitment with lauching a new chip (Intel’s Panther Lake chipset) in the second half of 2025</t>
  </si>
  <si>
    <t>(possible improvement) New CEO (18/3) strategy that consits in continuing to compound on what the company already does well can show relience and improve reputation</t>
  </si>
  <si>
    <t>Intel was named by Forbes as one of the 2019 World’s Most Reputable Companies. However, since then in January 2025 the company’s annual revenue presented a loss of about 33% in four years.</t>
  </si>
  <si>
    <t>Responsability Report</t>
  </si>
  <si>
    <t>https://csrreportbuilder.intel.com/pdfbuilder/pdfs/CSR-2023-24-Full-Report.pdf</t>
  </si>
  <si>
    <t>Discrimination Events</t>
  </si>
  <si>
    <t>(Sept. 2024) Processo por discriminação contra a Intel (“Intel failed to protect a talented Israeli employee from workplace discrimination, instead punishing him for raising concerns about his hostile anti-Israel manager.")</t>
  </si>
  <si>
    <t>Work Safety</t>
  </si>
  <si>
    <t>In 2023 there was a reduction of 15% in office CTD(the most prevalent type of injury experienced 
at Intel in 2023) rates compared to 2022</t>
  </si>
  <si>
    <t>In 2023 Intel had an OSHA(course that promotes workplace safety and improves compliance) recordable rate of 0.83 per 100 employees. (bigger than the industry average). Employees are required to complete EHS training.</t>
  </si>
  <si>
    <t>Damage to consumer health</t>
  </si>
  <si>
    <t>Intel's products alone won't damage consumer health. But, they boost the future of healthcare and life sciences (with AI-powered automation for example)</t>
  </si>
  <si>
    <t>Pension Plan</t>
  </si>
  <si>
    <t>Annual deductible for High-Deductible Health Plans has increased +-8% in 2025 compared to 2024</t>
  </si>
  <si>
    <t xml:space="preserve">    For Intel employees, there is the Intel Pension Plan that plays an important role in securing financial stability during retirement.</t>
  </si>
  <si>
    <t>Supply chain</t>
  </si>
  <si>
    <t>(2030)Scale the supplier responsibility programs to ensure 
respect for human rights across 100% of the contracted suppliers  and all high-risk-identified suppliers in the supply chain.</t>
  </si>
  <si>
    <t>In 2023, was reached the 25% of suppliers with respect for human rights ensured.</t>
  </si>
  <si>
    <t>Community involvement</t>
  </si>
  <si>
    <t>(Intel Digital Readiness Program Portfolio(to advance inclusion and accessibility for millions of people who do not have the technology, skills, or resources)) 2030 goal: 30 countries, 30000 Institutions, 30milion people empowered.</t>
  </si>
  <si>
    <t>In 2023 the Intel Disability and Accessibility Network was expanded and formalized.</t>
  </si>
  <si>
    <t>Increase global annual spending with diverse suppliers by 100% to $2 billion.  20% Intel Capital (venture capital organization) investments in diverse start-ups. Intel employees and US retirees have donated more than 21.6 million hours of service</t>
  </si>
  <si>
    <t>Public Sector</t>
  </si>
  <si>
    <t>Intel has a public policy and works with  governments, organizations and industries around the world.</t>
  </si>
  <si>
    <t>Litigation</t>
  </si>
  <si>
    <t>AMD Patent Settlement(2009); European Union Antitrust Fine(2009) won by Intel; A Jewish former employee of Intel (2025)</t>
  </si>
  <si>
    <t>GOVERNANCE</t>
  </si>
  <si>
    <t>Diversity (Gender, Age, Industry, Region)</t>
  </si>
  <si>
    <t>(downgrade) According to the proxy statement of 2023, 33% of the directors were women which was a higher number than the current 27%</t>
  </si>
  <si>
    <t>The average age is  62years, and 45% were born outside the US. Also there is a 18% racially/ethincally diverse.</t>
  </si>
  <si>
    <t>% Independence</t>
  </si>
  <si>
    <t>The board believes that a majority should be independent of management</t>
  </si>
  <si>
    <t>According to the proxy statement of 2023, 83% of the directores were independent</t>
  </si>
  <si>
    <t>91% independentof the board directores are independent. (10 out of 11 nominees are independent)</t>
  </si>
  <si>
    <t>Average time as independent directors</t>
  </si>
  <si>
    <t>(not necessarilyan improvement)According to the proxy statement of 2019 it was 5.3 years</t>
  </si>
  <si>
    <t>The average tenure is 4.4years</t>
  </si>
  <si>
    <t>Departures of C-level executives</t>
  </si>
  <si>
    <t>The previous CEO Patrick Gelsinger was forced out after the lost of confidence of the board</t>
  </si>
  <si>
    <t>CEO/Chairman duality</t>
  </si>
  <si>
    <t>In the past there were exemples where the CEO was also the Chairman (for exemple in 2005)</t>
  </si>
  <si>
    <t>The CEO (Lip-Bu Tan) in not the same person as the Chairman (Frank D. Yeary).</t>
  </si>
  <si>
    <t>Transparency when reporting</t>
  </si>
  <si>
    <t>Especialy the proxy statement contains the details of the directors benefits and compensations.</t>
  </si>
  <si>
    <t>Time taken to report</t>
  </si>
  <si>
    <t>The 2024 annual report was released in January 31 of 2025, and the annual report to security holders on March 27, 2025.</t>
  </si>
  <si>
    <t>CEO or Chairman in other boards?</t>
  </si>
  <si>
    <t>Frank D. Yeary is a managing member of Darwin Capital Advisors LLC and Lip-Bu Tan is the executive chairman of Cadence Design Systems</t>
  </si>
  <si>
    <t>Audit / Consulting</t>
  </si>
  <si>
    <t>Intel is required by U.S. securitie laws to have annual audicts conducted by an independent registered public accounting firm. Ernst &amp; Young LLC is Intel’s auditor since 1968.</t>
  </si>
  <si>
    <t>ESG-compensation related</t>
  </si>
  <si>
    <t>Intel is recognized as a leader in ESG issues, and since 2008, it has been integrated the commitment to corporate responsibility and sustainability leadership into the compensation program.</t>
  </si>
  <si>
    <t>The ESG incentive bonus accounts for up to 7% of its annual cash bonus plan. (2022 proxy statement)</t>
  </si>
  <si>
    <t>Management compensation schemes</t>
  </si>
  <si>
    <t>Commitment to consult stockholders to better understand any significant views.</t>
  </si>
  <si>
    <t>(2023) The board voted and adopted a policy providing for an annual advisory stockholder vote to aprove the executive officers compensation</t>
  </si>
  <si>
    <t>ESG Inputs</t>
  </si>
  <si>
    <t>x</t>
  </si>
  <si>
    <t>Total GHG Scope 1 Emissions</t>
  </si>
  <si>
    <t>Total GHG Scope 2 (Location-Based) Emissions</t>
  </si>
  <si>
    <t>Total Energy Usage</t>
  </si>
  <si>
    <t>Total Water Consumption</t>
  </si>
  <si>
    <t>Total Waste Production</t>
  </si>
  <si>
    <t>ND</t>
  </si>
  <si>
    <t>GHG Scope 1 and 2 Emissions</t>
  </si>
  <si>
    <t>DCF</t>
  </si>
  <si>
    <t>Key Assumptions</t>
  </si>
  <si>
    <t>Switches</t>
  </si>
  <si>
    <t>Bear Case</t>
  </si>
  <si>
    <t>Base Case</t>
  </si>
  <si>
    <t>Bull Case</t>
  </si>
  <si>
    <t>FCFE</t>
  </si>
  <si>
    <t>Tax Shield</t>
  </si>
  <si>
    <t>Total Payout</t>
  </si>
  <si>
    <t>NOPAT</t>
  </si>
  <si>
    <t>Cash Balance</t>
  </si>
  <si>
    <t>Total Liabilities</t>
  </si>
  <si>
    <t>Most Recent Fiscal Year</t>
  </si>
  <si>
    <t>EBIT</t>
  </si>
  <si>
    <t>End of Fiscal Year</t>
  </si>
  <si>
    <t>WACC</t>
  </si>
  <si>
    <t>Most Recent Quarter End Date</t>
  </si>
  <si>
    <t>TGR</t>
  </si>
  <si>
    <t>Valuation Date</t>
  </si>
  <si>
    <t>Operating Assumptions</t>
  </si>
  <si>
    <t>CCD</t>
  </si>
  <si>
    <t>% OF REVENUE</t>
  </si>
  <si>
    <t>growth rate in %</t>
  </si>
  <si>
    <t>In millions of USD</t>
  </si>
  <si>
    <t>Revenue (Sales)</t>
  </si>
  <si>
    <t>% of growth</t>
  </si>
  <si>
    <t>% of revenue</t>
  </si>
  <si>
    <t>SG&amp;A (Selling, General &amp; Administrative)</t>
  </si>
  <si>
    <t>Other Operating (Income) Expenses</t>
  </si>
  <si>
    <t>D&amp;A (Depreciation &amp; Amortization)</t>
  </si>
  <si>
    <t>% of PP&amp;E+ROU Assets+Intangibles excl. Goodwill</t>
  </si>
  <si>
    <t>Depreciation Expense</t>
  </si>
  <si>
    <t>% of PP&amp;E+ROU Assets</t>
  </si>
  <si>
    <t>Amortization Expense</t>
  </si>
  <si>
    <t>% of Intangibles excl. Goodwill</t>
  </si>
  <si>
    <t>% of Net Debt</t>
  </si>
  <si>
    <t>Interest Expense</t>
  </si>
  <si>
    <t>% of Debt</t>
  </si>
  <si>
    <t>Interest Income</t>
  </si>
  <si>
    <t>% Cash &amp; Cash Eq. &amp; ST Investments</t>
  </si>
  <si>
    <t>FX (Gain) Loss</t>
  </si>
  <si>
    <t>Other Non-Operating (Income) Expenses</t>
  </si>
  <si>
    <t>% of EBT</t>
  </si>
  <si>
    <t>Assets</t>
  </si>
  <si>
    <t>Cash &amp; Cash Equivalents &amp; ST Investments</t>
  </si>
  <si>
    <t>DSO</t>
  </si>
  <si>
    <t>Inventory</t>
  </si>
  <si>
    <t>DIH</t>
  </si>
  <si>
    <t>Prepaid expenses and Other Current Assets</t>
  </si>
  <si>
    <t>Net PP&amp;E (Property, Plant and Equipment) + ROU Assets</t>
  </si>
  <si>
    <t>Gross PP&amp;E (Property, Plant and Equipment) + ROU Assets</t>
  </si>
  <si>
    <t>Right-of-Use Assets</t>
  </si>
  <si>
    <t>Accumulated Depreciation</t>
  </si>
  <si>
    <t>Intangibles excl. Goodwill</t>
  </si>
  <si>
    <t>growing with % of R&amp;D</t>
  </si>
  <si>
    <t>Liabilities</t>
  </si>
  <si>
    <t>DPO</t>
  </si>
  <si>
    <t>Accrued Expenses and Other Current Liabilities</t>
  </si>
  <si>
    <t>growing with revenue</t>
  </si>
  <si>
    <t>Total Borrowings</t>
  </si>
  <si>
    <t>S</t>
  </si>
  <si>
    <t>Total Leases</t>
  </si>
  <si>
    <t>% of revenues</t>
  </si>
  <si>
    <t>Stock Based Compensation</t>
  </si>
  <si>
    <t>% of SG&amp;A</t>
  </si>
  <si>
    <t>Changes in Net Working Capital</t>
  </si>
  <si>
    <t>Other Operating Adjustments</t>
  </si>
  <si>
    <t>Net CapEx</t>
  </si>
  <si>
    <t>Acquisition of Fixed &amp; Intangibles</t>
  </si>
  <si>
    <t>Growth rate %</t>
  </si>
  <si>
    <t>Disposal of Fixed &amp; Intangibles</t>
  </si>
  <si>
    <t>Disposal Rate (% Gross PP&amp;E)</t>
  </si>
  <si>
    <t>Net Cash from Investments &amp; Acquisitions</t>
  </si>
  <si>
    <t>Other Investing Inflows (Outflows)</t>
  </si>
  <si>
    <t>Dividends</t>
  </si>
  <si>
    <t>Dividend payout</t>
  </si>
  <si>
    <t>Increase (Repurchase) of Shares</t>
  </si>
  <si>
    <t>Repurchase payout</t>
  </si>
  <si>
    <t>Lease Payments</t>
  </si>
  <si>
    <t>% of Right-of-Use Assets</t>
  </si>
  <si>
    <t>% of FCFE</t>
  </si>
  <si>
    <t>Other Financing Inflows (Outflows)</t>
  </si>
  <si>
    <t>FCFF Valuation</t>
  </si>
  <si>
    <t>Depreciation &amp; Amortization</t>
  </si>
  <si>
    <t>Changes in NWC</t>
  </si>
  <si>
    <t>Present Value of FCFF</t>
  </si>
  <si>
    <t>FCFF 2025</t>
  </si>
  <si>
    <t>Sensitivity to the Period</t>
  </si>
  <si>
    <t>FCFF 2026</t>
  </si>
  <si>
    <t>Period</t>
  </si>
  <si>
    <t>Terminal Value</t>
  </si>
  <si>
    <t>Present Value of Terminal Value</t>
  </si>
  <si>
    <t>Enterprise Value</t>
  </si>
  <si>
    <t>(+) Cash</t>
  </si>
  <si>
    <t>(-) Minority Interest</t>
  </si>
  <si>
    <t>(-) Preferred Stock</t>
  </si>
  <si>
    <t>(-) Debt</t>
  </si>
  <si>
    <t>Shares outstanding</t>
  </si>
  <si>
    <t>Implicit Stock Value</t>
  </si>
  <si>
    <t>Stock value</t>
  </si>
  <si>
    <t>Upside (downside)</t>
  </si>
  <si>
    <t>APV Valuation</t>
  </si>
  <si>
    <t>Unlevered Present Value of FCFF</t>
  </si>
  <si>
    <t>Present Value of Tax Shield</t>
  </si>
  <si>
    <t>Terminal Value of Unlevered FCFF</t>
  </si>
  <si>
    <t>Present Value of Unlevered FCFF Terminal Value</t>
  </si>
  <si>
    <t>Terminal Value of Tax Shield</t>
  </si>
  <si>
    <t>Present Value of Tax Shield Terminal Value</t>
  </si>
  <si>
    <t>APV</t>
  </si>
  <si>
    <t>FCFE Valuation</t>
  </si>
  <si>
    <t>Debt Borrowing (Repayment)</t>
  </si>
  <si>
    <t>Present Value of FCFE</t>
  </si>
  <si>
    <t>DDM</t>
  </si>
  <si>
    <t>Total Payout Ratio</t>
  </si>
  <si>
    <t>Plowback Ratio</t>
  </si>
  <si>
    <t>Present Value of Total Payout</t>
  </si>
  <si>
    <t>Priority</t>
  </si>
  <si>
    <t>Allocation priority is to invest in R&amp;D and capital spending to capitalize on the opportunity presented by the world's demand for semiconductors. In 2024, we continued
 our focus on capital investment and the deployment of their Smart Capital strategy</t>
  </si>
  <si>
    <t>Optimization of manufacturing process</t>
  </si>
  <si>
    <t>Build manufacturing capacity efficiently to meet the growing long-term global demand for semiconductors. So the company will continue to invest in R&amp;D and capital spending to capitalize on the opportunity presented by the world's demand for semiconductors.</t>
  </si>
  <si>
    <t>M&amp;A</t>
  </si>
  <si>
    <t>Company focus their capital allocation on strategic opportunistic investments and acquisition of companies that complement their strategic objectives to strengthen their capital and R&amp;D investments</t>
  </si>
  <si>
    <t>Sensitivity Analysis</t>
  </si>
  <si>
    <t>Stock Price (in USD)</t>
  </si>
  <si>
    <t>7.99%</t>
  </si>
  <si>
    <t>Company has 35 out of 108 facilities located in the US, although it almost 20% of revenues in Taiwan tariifss cause a problem to compasny's financial stability</t>
  </si>
  <si>
    <t>Notes</t>
  </si>
  <si>
    <t>Inputs</t>
  </si>
  <si>
    <t>in millions of USD</t>
  </si>
  <si>
    <t>EPS diluted</t>
  </si>
  <si>
    <t>Basic Weighted Average Shares</t>
  </si>
  <si>
    <t xml:space="preserve"> </t>
  </si>
  <si>
    <t>Diluted Weighted Average Shares</t>
  </si>
  <si>
    <t>Short-Term Investments</t>
  </si>
  <si>
    <t>Gross PP&amp;E (Property, Plant and Equipment)</t>
  </si>
  <si>
    <t>Intangibles</t>
  </si>
  <si>
    <t>Goodwill</t>
  </si>
  <si>
    <t>Other Non-Current Assets</t>
  </si>
  <si>
    <t>Non-Current Assets</t>
  </si>
  <si>
    <t>Short-Term Debt</t>
  </si>
  <si>
    <t>Short-Term Borrowings</t>
  </si>
  <si>
    <t>Current Portion of Lease Liabilities</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</si>
  <si>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</si>
  <si>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</si>
  <si>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</si>
  <si>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</si>
  <si>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</si>
  <si>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</si>
  <si>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</si>
  <si>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</si>
  <si>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</si>
  <si>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Accounts Payables</t>
  </si>
  <si>
    <t>Increase (Decrease) in Other</t>
  </si>
  <si>
    <t>Acquisitions</t>
  </si>
  <si>
    <t>Divestitures</t>
  </si>
  <si>
    <t>Increase in LT Investment</t>
  </si>
  <si>
    <t>Decrease in LT Investment</t>
  </si>
  <si>
    <t>Effect of Foreign Exchange</t>
  </si>
  <si>
    <t>in billionsof USD</t>
  </si>
  <si>
    <t>Capital Structure</t>
  </si>
  <si>
    <t>Market Capitalization</t>
  </si>
  <si>
    <t>Preferred Stock</t>
  </si>
  <si>
    <t>Cash</t>
  </si>
  <si>
    <t>v</t>
  </si>
  <si>
    <t>Fixed</t>
  </si>
  <si>
    <t>Floating</t>
  </si>
  <si>
    <t>Additional</t>
  </si>
  <si>
    <t>Net Debt</t>
  </si>
  <si>
    <t>Effective Tax Rate</t>
  </si>
  <si>
    <t>WACC = % of Equity x Cost of Equity + % de Debt x Cost of Debt x (1 - Tax Rate)</t>
  </si>
  <si>
    <t>Cost of Equity = Risk-Free Rate + Beta x Equity Risk Premium</t>
  </si>
  <si>
    <t>Region</t>
  </si>
  <si>
    <t>ERP</t>
  </si>
  <si>
    <t>Beta (Unlevered)</t>
  </si>
  <si>
    <t> </t>
  </si>
  <si>
    <r>
      <rPr>
        <sz val="11"/>
        <color rgb="FF000000"/>
        <rFont val="Arial"/>
        <family val="2"/>
      </rPr>
      <t>Market Cap</t>
    </r>
    <r>
      <rPr>
        <sz val="9"/>
        <color rgb="FF000000"/>
        <rFont val="Arial"/>
        <family val="2"/>
      </rPr>
      <t xml:space="preserve"> </t>
    </r>
    <r>
      <rPr>
        <i/>
        <sz val="9"/>
        <color rgb="FF000000"/>
        <rFont val="Arial"/>
        <family val="2"/>
      </rPr>
      <t>(in millions)</t>
    </r>
  </si>
  <si>
    <t>% of Equity</t>
  </si>
  <si>
    <t>Cost of Equity</t>
  </si>
  <si>
    <t>Risk-Free Rate</t>
  </si>
  <si>
    <t>Unlevered Beta</t>
  </si>
  <si>
    <t>Other regions</t>
  </si>
  <si>
    <t>Equity Risk Premium</t>
  </si>
  <si>
    <t>Unlevered Cost of Equity</t>
  </si>
  <si>
    <r>
      <rPr>
        <sz val="11"/>
        <color rgb="FF000000"/>
        <rFont val="Arial"/>
        <family val="2"/>
      </rPr>
      <t>Debt</t>
    </r>
    <r>
      <rPr>
        <i/>
        <sz val="9"/>
        <color rgb="FF000000"/>
        <rFont val="Arial"/>
        <family val="2"/>
      </rPr>
      <t xml:space="preserve"> (in millions)</t>
    </r>
  </si>
  <si>
    <t>Cost of debt</t>
  </si>
  <si>
    <t>Tax Rate</t>
  </si>
  <si>
    <t>Multiples</t>
  </si>
  <si>
    <t>Valuation</t>
  </si>
  <si>
    <t>EBT Margin</t>
  </si>
  <si>
    <t>Efficiency</t>
  </si>
  <si>
    <t>Days Sales Outstanding</t>
  </si>
  <si>
    <t>Days Payable Outstanding</t>
  </si>
  <si>
    <t>Days Inventory Outstanding</t>
  </si>
  <si>
    <t>Leverage</t>
  </si>
  <si>
    <t>Interest Coverage</t>
  </si>
  <si>
    <t>Debt Repayment to Debt Borrowing</t>
  </si>
  <si>
    <t>Sensitivity Analisys - FCFF</t>
  </si>
  <si>
    <t>Variables</t>
  </si>
  <si>
    <t>St Dev</t>
  </si>
  <si>
    <t>Simulations: 10,000</t>
  </si>
  <si>
    <t>Upside</t>
  </si>
  <si>
    <t>min</t>
  </si>
  <si>
    <t>mean</t>
  </si>
  <si>
    <t>median</t>
  </si>
  <si>
    <t>max</t>
  </si>
  <si>
    <t>st dev</t>
  </si>
  <si>
    <t>Iterations</t>
  </si>
  <si>
    <t>Intel Corp (INTC US) - BBG Adjusted</t>
  </si>
  <si>
    <t>In Millions of USD except Per Share</t>
  </si>
  <si>
    <t>FY 2013</t>
  </si>
  <si>
    <t>FY 2014</t>
  </si>
  <si>
    <t>FY 2015</t>
  </si>
  <si>
    <t>FY 2016</t>
  </si>
  <si>
    <t>FY 2017</t>
  </si>
  <si>
    <t>FY 2018</t>
  </si>
  <si>
    <t>FY 2019</t>
  </si>
  <si>
    <t>FY 2020</t>
  </si>
  <si>
    <t>FY 2021</t>
  </si>
  <si>
    <t>FY 2022</t>
  </si>
  <si>
    <t>FY 2023</t>
  </si>
  <si>
    <t>FY 2024</t>
  </si>
  <si>
    <t>Last 12M</t>
  </si>
  <si>
    <t>FY 2025 Est</t>
  </si>
  <si>
    <t>FY 2026 Est</t>
  </si>
  <si>
    <t>12 Months Ending</t>
  </si>
  <si>
    <t xml:space="preserve">    + Sales &amp; Services Revenue</t>
  </si>
  <si>
    <t xml:space="preserve">  - Cost of Revenue</t>
  </si>
  <si>
    <t xml:space="preserve">    + Cost of Goods &amp; Services</t>
  </si>
  <si>
    <t xml:space="preserve">  + Other Operating Income</t>
  </si>
  <si>
    <t xml:space="preserve">  - Operating Expenses</t>
  </si>
  <si>
    <t xml:space="preserve">    + Selling, General &amp; Admin</t>
  </si>
  <si>
    <t xml:space="preserve">    + Research &amp; Development</t>
  </si>
  <si>
    <t xml:space="preserve">    + Other Operating Expense</t>
  </si>
  <si>
    <t>Operating Income (Loss)</t>
  </si>
  <si>
    <t xml:space="preserve">  - Non-Operating (Income) Loss</t>
  </si>
  <si>
    <t xml:space="preserve">    + Interest Expense, Net</t>
  </si>
  <si>
    <t xml:space="preserve">    + Interest Expense</t>
  </si>
  <si>
    <t xml:space="preserve">    - Interest Income</t>
  </si>
  <si>
    <t xml:space="preserve">    + Foreign Exch (Gain) Loss</t>
  </si>
  <si>
    <t>—</t>
  </si>
  <si>
    <t xml:space="preserve">    + (Income) Loss from Affiliates</t>
  </si>
  <si>
    <t xml:space="preserve">    + Other Non-Op (Income) Loss</t>
  </si>
  <si>
    <t>Pretax Income (Loss), Adjusted</t>
  </si>
  <si>
    <t xml:space="preserve">  - Abnormal Losses (Gains)</t>
  </si>
  <si>
    <t xml:space="preserve">    + Merger/Acquisition Expense</t>
  </si>
  <si>
    <t xml:space="preserve">    + Abnormal Derivatives</t>
  </si>
  <si>
    <t xml:space="preserve">    + Asset Write-Down</t>
  </si>
  <si>
    <t xml:space="preserve">    + Gain/Loss on Sale/Acquisition of Business</t>
  </si>
  <si>
    <t xml:space="preserve">    + Legal Settlement</t>
  </si>
  <si>
    <t xml:space="preserve">    + Restructuring</t>
  </si>
  <si>
    <t xml:space="preserve">    + Sale of Investments</t>
  </si>
  <si>
    <t xml:space="preserve">    + Unrealized Investments</t>
  </si>
  <si>
    <t xml:space="preserve">    + Other Abnormal Items</t>
  </si>
  <si>
    <t>Pretax Income (Loss), GAAP</t>
  </si>
  <si>
    <t xml:space="preserve">  - Income Tax Expense (Benefit)</t>
  </si>
  <si>
    <t xml:space="preserve">    + Current Income Tax</t>
  </si>
  <si>
    <t xml:space="preserve">    + Deferred Income Tax</t>
  </si>
  <si>
    <t xml:space="preserve">    + Tax Allowance/Credit</t>
  </si>
  <si>
    <t>Income (Loss) from Cont Ops</t>
  </si>
  <si>
    <t xml:space="preserve">  - Net Extraordinary Losses (Gains)</t>
  </si>
  <si>
    <t xml:space="preserve">    + Discontinued Operations</t>
  </si>
  <si>
    <t xml:space="preserve">    + XO &amp; Accounting Changes</t>
  </si>
  <si>
    <t>Income (Loss) Incl. MI</t>
  </si>
  <si>
    <t xml:space="preserve">  - Minority Interest</t>
  </si>
  <si>
    <t>Net Income, GAAP</t>
  </si>
  <si>
    <t xml:space="preserve">  - Preferred Dividends</t>
  </si>
  <si>
    <t xml:space="preserve">  - Other Adjustments</t>
  </si>
  <si>
    <t>Net Income Avail to Common, GAAP</t>
  </si>
  <si>
    <t>Net Income Avail to Common, Adj</t>
  </si>
  <si>
    <t xml:space="preserve">  Net Abnormal Losses (Gains)</t>
  </si>
  <si>
    <t xml:space="preserve">  Net Extraordinary Losses (Gains)</t>
  </si>
  <si>
    <t>Basic Weighted Avg Shares</t>
  </si>
  <si>
    <t>Basic EPS, GAAP</t>
  </si>
  <si>
    <t>Basic EPS from Cont Ops, GAAP</t>
  </si>
  <si>
    <t>Basic EPS from Cont Ops, Adjusted</t>
  </si>
  <si>
    <t>Diluted Weighted Avg Shares</t>
  </si>
  <si>
    <t>Diluted EPS, GAAP</t>
  </si>
  <si>
    <t>Diluted EPS from Cont Ops, GAAP</t>
  </si>
  <si>
    <t>Diluted EPS from Cont Ops, Adjusted</t>
  </si>
  <si>
    <t>Reference Items</t>
  </si>
  <si>
    <t>Accounting Standard</t>
  </si>
  <si>
    <t>US GAAP</t>
  </si>
  <si>
    <t>EBITDA Margin (T12M)</t>
  </si>
  <si>
    <t>EBITA</t>
  </si>
  <si>
    <t>Gross Margin</t>
  </si>
  <si>
    <t>Sales per Employee</t>
  </si>
  <si>
    <t>Dividends per Share</t>
  </si>
  <si>
    <t>Total Cash Common Dividends</t>
  </si>
  <si>
    <t>Capitalized Interest Expense</t>
  </si>
  <si>
    <t>Rental Expense</t>
  </si>
  <si>
    <t>Source: Bloomberg</t>
  </si>
  <si>
    <t>Right click to show data transparency (not supported for all values)</t>
  </si>
  <si>
    <t>Amortization</t>
  </si>
  <si>
    <t>Intel Corp (INTC US) - Standardized</t>
  </si>
  <si>
    <t xml:space="preserve">  + Cash, Cash Equivalents &amp; STI</t>
  </si>
  <si>
    <t xml:space="preserve">    + Cash &amp; Cash Equivalents</t>
  </si>
  <si>
    <t xml:space="preserve">    + ST Investments</t>
  </si>
  <si>
    <t xml:space="preserve">  + Accounts &amp; Notes Receiv</t>
  </si>
  <si>
    <t xml:space="preserve">    + Accounts Receivable, Net</t>
  </si>
  <si>
    <t xml:space="preserve">    + Notes Receivable, Net</t>
  </si>
  <si>
    <t xml:space="preserve">  + Inventories</t>
  </si>
  <si>
    <t xml:space="preserve">    + Raw Materials</t>
  </si>
  <si>
    <t xml:space="preserve">    + Work In Process</t>
  </si>
  <si>
    <t xml:space="preserve">    + Finished Goods</t>
  </si>
  <si>
    <t xml:space="preserve">    + Other Inventory</t>
  </si>
  <si>
    <t xml:space="preserve">  + Other ST Assets</t>
  </si>
  <si>
    <t xml:space="preserve">    + Derivative &amp; Hedging Assets</t>
  </si>
  <si>
    <t xml:space="preserve">    + Assets Held-for-Sale</t>
  </si>
  <si>
    <t xml:space="preserve">    + Deferred Tax Assets</t>
  </si>
  <si>
    <t xml:space="preserve">    + Misc ST Assets</t>
  </si>
  <si>
    <t>Total Current Assets</t>
  </si>
  <si>
    <t xml:space="preserve">  + Property, Plant &amp; Equip, Net</t>
  </si>
  <si>
    <t xml:space="preserve">    + Property, Plant &amp; Equip</t>
  </si>
  <si>
    <t xml:space="preserve">    - Accumulated Depreciation</t>
  </si>
  <si>
    <t xml:space="preserve">  + LT Investments &amp; Receivables</t>
  </si>
  <si>
    <t xml:space="preserve">    + LT Investments</t>
  </si>
  <si>
    <t xml:space="preserve">    + LT Marketable Securities</t>
  </si>
  <si>
    <t xml:space="preserve">    + LT Receivables</t>
  </si>
  <si>
    <t xml:space="preserve">  + Other LT Assets</t>
  </si>
  <si>
    <t xml:space="preserve">    + Total Intangible Assets</t>
  </si>
  <si>
    <t xml:space="preserve">    + Goodwill</t>
  </si>
  <si>
    <t xml:space="preserve">    + Other Intangible Assets</t>
  </si>
  <si>
    <t xml:space="preserve">    + Prepaid Expense</t>
  </si>
  <si>
    <t xml:space="preserve">    + Prepaid Pension Costs</t>
  </si>
  <si>
    <t xml:space="preserve">    + Investments in Affiliates</t>
  </si>
  <si>
    <t xml:space="preserve">    + Misc LT Assets</t>
  </si>
  <si>
    <t>Total Noncurrent Assets</t>
  </si>
  <si>
    <t>Liabilities &amp; Shareholders' Equity</t>
  </si>
  <si>
    <t xml:space="preserve">  + Payables &amp; Accruals</t>
  </si>
  <si>
    <t xml:space="preserve">    + Accounts Payable</t>
  </si>
  <si>
    <t xml:space="preserve">    + Accrued Taxes</t>
  </si>
  <si>
    <t xml:space="preserve">    + Interest &amp; Dividends Payable</t>
  </si>
  <si>
    <t xml:space="preserve">    + Other Payables &amp; Accruals</t>
  </si>
  <si>
    <t xml:space="preserve">  + ST Debt</t>
  </si>
  <si>
    <t xml:space="preserve">    + ST Borrowings</t>
  </si>
  <si>
    <t xml:space="preserve">    + ST Lease Liabilities</t>
  </si>
  <si>
    <t xml:space="preserve">      + ST Finance Leases</t>
  </si>
  <si>
    <t xml:space="preserve">      + ST Operating Leases</t>
  </si>
  <si>
    <t xml:space="preserve">    + Current Portion of LT Debt</t>
  </si>
  <si>
    <t xml:space="preserve">  + Other ST Liabilities</t>
  </si>
  <si>
    <t xml:space="preserve">    + Deferred Revenue</t>
  </si>
  <si>
    <t xml:space="preserve">    + Derivatives &amp; Hedging</t>
  </si>
  <si>
    <t xml:space="preserve">    + Misc ST Liabilities</t>
  </si>
  <si>
    <t>Total Current Liabilities</t>
  </si>
  <si>
    <t xml:space="preserve">  + LT Debt</t>
  </si>
  <si>
    <t xml:space="preserve">    + LT Borrowings</t>
  </si>
  <si>
    <t xml:space="preserve">    + LT Lease Liabilities</t>
  </si>
  <si>
    <t xml:space="preserve">      + LT Finance Leases</t>
  </si>
  <si>
    <t xml:space="preserve">      + LT Operating Leases</t>
  </si>
  <si>
    <t xml:space="preserve">  + Other LT Liabilities</t>
  </si>
  <si>
    <t xml:space="preserve">    + Accrued Liabilities</t>
  </si>
  <si>
    <t xml:space="preserve">    + Pension Liabilities</t>
  </si>
  <si>
    <t xml:space="preserve">    + Deferred Tax Liabilities</t>
  </si>
  <si>
    <t xml:space="preserve">    + Misc LT Liabilities</t>
  </si>
  <si>
    <t>Total Noncurrent Liabilities</t>
  </si>
  <si>
    <t xml:space="preserve">  + Preferred Equity and Hybrid Capital</t>
  </si>
  <si>
    <t xml:space="preserve">  + Share Capital &amp; APIC</t>
  </si>
  <si>
    <t xml:space="preserve">    + Common Stock</t>
  </si>
  <si>
    <t xml:space="preserve">    + Additional Paid in Capital</t>
  </si>
  <si>
    <t xml:space="preserve">  - Treasury Stock</t>
  </si>
  <si>
    <t xml:space="preserve">  + Retained Earnings</t>
  </si>
  <si>
    <t xml:space="preserve">  + Other Equity</t>
  </si>
  <si>
    <t>Equity Before Minority Interest</t>
  </si>
  <si>
    <t xml:space="preserve">  + Minority/Non Controlling Interest</t>
  </si>
  <si>
    <t>Total Equity</t>
  </si>
  <si>
    <t>Total Liabilities &amp; Equity</t>
  </si>
  <si>
    <t>Shares Outstanding</t>
  </si>
  <si>
    <t>Number of Treasury Shares</t>
  </si>
  <si>
    <t>Pension Obligations</t>
  </si>
  <si>
    <t>Future Minimum Operating Lease Obligations</t>
  </si>
  <si>
    <t>Capital Leases - Total</t>
  </si>
  <si>
    <t>Options Granted During Period</t>
  </si>
  <si>
    <t>Options Outstanding at Period End</t>
  </si>
  <si>
    <t>Net Debt to Equity</t>
  </si>
  <si>
    <t>Tangible Common Equity Ratio</t>
  </si>
  <si>
    <t>Cash Held Overseas</t>
  </si>
  <si>
    <t>Number of Employees</t>
  </si>
  <si>
    <t>FY 2011</t>
  </si>
  <si>
    <t>FY 2012</t>
  </si>
  <si>
    <t>Cash from Operating Activities</t>
  </si>
  <si>
    <t xml:space="preserve">  + Net Income</t>
  </si>
  <si>
    <t xml:space="preserve">  + Depreciation &amp; Amortization</t>
  </si>
  <si>
    <t xml:space="preserve">  + Non-Cash Items</t>
  </si>
  <si>
    <t xml:space="preserve">    + Stock-Based Compensation</t>
  </si>
  <si>
    <t xml:space="preserve">    + Deferred Income Taxes</t>
  </si>
  <si>
    <t xml:space="preserve">    + Other Non-Cash Adj</t>
  </si>
  <si>
    <t xml:space="preserve">  + Chg in Non-Cash Work Cap</t>
  </si>
  <si>
    <t xml:space="preserve">    + (Inc) Dec in Accts Receiv</t>
  </si>
  <si>
    <t xml:space="preserve">    + (Inc) Dec in Inventories</t>
  </si>
  <si>
    <t xml:space="preserve">    + Inc (Dec) in Accts Payable</t>
  </si>
  <si>
    <t xml:space="preserve">    + Inc (Dec) in Other</t>
  </si>
  <si>
    <t xml:space="preserve">  + Net Cash From Disc Ops</t>
  </si>
  <si>
    <t>Cash from Investing Activities</t>
  </si>
  <si>
    <t xml:space="preserve">  + Change in Fixed &amp; Intang</t>
  </si>
  <si>
    <t xml:space="preserve">    + Disp in Fixed &amp; Intang</t>
  </si>
  <si>
    <t xml:space="preserve">    + Disp of Fixed Prod Assets</t>
  </si>
  <si>
    <t xml:space="preserve">    + Disp of Intangible Assets</t>
  </si>
  <si>
    <t xml:space="preserve">    + Acq of Fixed &amp; Intang</t>
  </si>
  <si>
    <t xml:space="preserve">    + Acq of Fixed Prod Assets</t>
  </si>
  <si>
    <t xml:space="preserve">    + Acq of Intangible Assets</t>
  </si>
  <si>
    <t xml:space="preserve">  + Net Change in LT Investment</t>
  </si>
  <si>
    <t xml:space="preserve">    + Dec in LT Investment</t>
  </si>
  <si>
    <t xml:space="preserve">    + Inc in LT Investment</t>
  </si>
  <si>
    <t xml:space="preserve">  + Net Cash From Acq &amp; Div</t>
  </si>
  <si>
    <t xml:space="preserve">    + Cash from Divestitures</t>
  </si>
  <si>
    <t xml:space="preserve">    + Cash for Acq of Subs</t>
  </si>
  <si>
    <t xml:space="preserve">    + Cash for JVs</t>
  </si>
  <si>
    <t xml:space="preserve">  + Other Investing Activities</t>
  </si>
  <si>
    <t>Cash from Financing Activities</t>
  </si>
  <si>
    <t xml:space="preserve">  + Dividends Paid</t>
  </si>
  <si>
    <t xml:space="preserve">  + Cash From (Repayment) Debt</t>
  </si>
  <si>
    <t xml:space="preserve">    + Cash From (Repay) ST Debt</t>
  </si>
  <si>
    <t xml:space="preserve">    + Cash From LT Debt</t>
  </si>
  <si>
    <t xml:space="preserve">    + Repayments of LT Debt</t>
  </si>
  <si>
    <t xml:space="preserve">  + Cash (Repurchase) of Equity</t>
  </si>
  <si>
    <t xml:space="preserve">    + Increase in Capital Stock</t>
  </si>
  <si>
    <t xml:space="preserve">    + Decrease in Capital Stock</t>
  </si>
  <si>
    <t xml:space="preserve">  + Other Financing Activities</t>
  </si>
  <si>
    <t xml:space="preserve">  Effect of Foreign Exchange Rates</t>
  </si>
  <si>
    <t>Cash Paid for Taxes</t>
  </si>
  <si>
    <t>Cash Paid for Interest</t>
  </si>
  <si>
    <t>Trailing 12M EBITDA Margin</t>
  </si>
  <si>
    <t>Net Cash Paid for Acquisitions</t>
  </si>
  <si>
    <t>Tax Benefit from Stock Options</t>
  </si>
  <si>
    <t>Free Cash Flow</t>
  </si>
  <si>
    <t>Free Cash Flow to Firm</t>
  </si>
  <si>
    <t>Free Cash Flow to Equity</t>
  </si>
  <si>
    <t>Free Cash Flow per Basic Share</t>
  </si>
  <si>
    <t>Price to Free Cash Flow</t>
  </si>
  <si>
    <t>Adjustable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</si>
</sst>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0.00\ &quot;€&quot;_-;\-* #,##0.00\ &quot;€&quot;_-;_-* &quot;-&quot;??\ &quot;€&quot;_-;_-@_-"/>
    <numFmt numFmtId="164" formatCode="_(* #,##0.00_);_(* \(#,##0.00\);_(* &quot;-&quot;??_);_(@_)"/>
    <numFmt numFmtId="165" formatCode="0&quot;A&quot;"/>
    <numFmt numFmtId="166" formatCode="0&quot;E&quot;"/>
    <numFmt numFmtId="167" formatCode="_-* #,##0.00\ _€_-;\-* #,##0.00\ _€_-;_-* &quot;-&quot;??\ _€_-;_-@_-"/>
    <numFmt numFmtId="168" formatCode="0.00\x"/>
    <numFmt numFmtId="169" formatCode="0.00&quot;M&quot;"/>
    <numFmt numFmtId="170" formatCode="0.0%"/>
    <numFmt numFmtId="171" formatCode="&quot;$&quot;#,##0"/>
    <numFmt numFmtId="172" formatCode="_(* #,##0_);_(* \(#,##0\);_(* &quot;-&quot;??_);_(@_)"/>
    <numFmt numFmtId="173" formatCode="0.0"/>
    <numFmt numFmtId="174" formatCode="&quot;$&quot;#,##0.00"/>
    <numFmt numFmtId="175" formatCode="_([$$-409]* #,##0_);_([$$-409]* \(#,##0\);_([$$-409]* &quot;-&quot;??_);_(@_)"/>
    <numFmt numFmtId="176" formatCode="_([$$-409]* #,##0.00_);_([$$-409]* \(#,##0.00\);_([$$-409]* &quot;-&quot;??_);_(@_)"/>
    <numFmt numFmtId="177" formatCode="#,##0.0"/>
    <numFmt numFmtId="178" formatCode="[$-409]d\-mmm;@"/>
    <numFmt numFmtId="179" formatCode="0.000%"/>
    <numFmt numFmtId="180" formatCode="0&quot;+&quot;"/>
  </numFmts>
  <fonts count="90">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i/>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i/>
      <sz val="8"/>
      <color theme="1"/>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color theme="0"/>
      <name val="Consolas"/>
      <family val="3"/>
    </font>
    <font>
      <sz val="11"/>
      <name val="Arial"/>
      <family val="2"/>
    </font>
    <font>
      <b/>
      <sz val="9"/>
      <color theme="0"/>
      <name val="Arial"/>
      <family val="2"/>
    </font>
    <font>
      <sz val="9"/>
      <color theme="0"/>
      <name val="Arial"/>
      <family val="2"/>
    </font>
    <font>
      <sz val="9"/>
      <name val="Arial"/>
      <family val="2"/>
    </font>
    <font>
      <sz val="10"/>
      <color rgb="FFFF0000"/>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sz val="9"/>
      <color theme="1"/>
      <name val="Arial"/>
      <family val="2"/>
    </font>
    <font>
      <b/>
      <sz val="16"/>
      <color rgb="FF000000"/>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
      <sz val="9"/>
      <color indexed="81"/>
      <name val="Tahoma"/>
      <charset val="1"/>
    </font>
    <font>
      <b/>
      <sz val="9"/>
      <color indexed="81"/>
      <name val="Tahoma"/>
      <charset val="1"/>
    </font>
    <font>
      <sz val="8"/>
      <name val="Arial"/>
      <family val="2"/>
    </font>
    <font>
      <sz val="11"/>
      <color rgb="FF000000"/>
      <name val="Arial"/>
    </font>
    <font>
      <b/>
      <sz val="11"/>
      <color rgb="FF000000"/>
      <name val="Arial"/>
    </font>
    <font>
      <sz val="8"/>
      <color rgb="FF000000"/>
      <name val="Arial"/>
      <family val="2"/>
    </font>
    <font>
      <sz val="10"/>
      <color rgb="FF000000"/>
      <name val="Arial"/>
    </font>
    <font>
      <b/>
      <sz val="10"/>
      <color rgb="FF000000"/>
      <name val="Arial"/>
    </font>
    <font>
      <sz val="10"/>
      <color rgb="FF000000"/>
      <name val="Arial"/>
      <family val="2"/>
    </font>
    <font>
      <sz val="11"/>
      <color rgb="FF455F7C"/>
      <name val="Open Sans"/>
      <charset val="1"/>
    </font>
    <font>
      <sz val="12"/>
      <color theme="2" tint="-0.249977111117893"/>
      <name val="Arial"/>
      <family val="2"/>
    </font>
    <font>
      <i/>
      <sz val="9"/>
      <color theme="2" tint="-0.249977111117893"/>
      <name val="Arial"/>
      <family val="2"/>
    </font>
    <font>
      <sz val="11"/>
      <color rgb="FF0070C0"/>
      <name val="Arial"/>
    </font>
    <font>
      <b/>
      <sz val="11"/>
      <color rgb="FFFFFFFF"/>
      <name val="Calibri"/>
      <family val="2"/>
    </font>
    <font>
      <sz val="11"/>
      <color rgb="FF000000"/>
      <name val="Calibri"/>
      <family val="2"/>
    </font>
    <font>
      <u/>
      <sz val="8"/>
      <color theme="10"/>
      <name val="Arial"/>
      <family val="2"/>
    </font>
  </fonts>
  <fills count="19">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FFFFFF"/>
        <bgColor indexed="64"/>
      </patternFill>
    </fill>
    <fill>
      <patternFill patternType="solid">
        <fgColor theme="9"/>
        <bgColor indexed="64"/>
      </patternFill>
    </fill>
    <fill>
      <patternFill patternType="solid">
        <fgColor rgb="FFF5F5F5"/>
        <bgColor indexed="64"/>
      </patternFill>
    </fill>
    <fill>
      <patternFill patternType="solid">
        <fgColor rgb="FF4F81BD"/>
        <bgColor rgb="FF000000"/>
      </patternFill>
    </fill>
  </fills>
  <borders count="81">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dotted">
        <color rgb="FF000000"/>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rgb="FF000000"/>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right style="thin">
        <color rgb="FF000000"/>
      </right>
      <top style="thin">
        <color rgb="FF000000"/>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medium">
        <color theme="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indexed="64"/>
      </right>
      <top style="dotted">
        <color rgb="FF000000"/>
      </top>
      <bottom style="dotted">
        <color rgb="FF000000"/>
      </bottom>
      <diagonal/>
    </border>
    <border>
      <left/>
      <right style="dotted">
        <color theme="0"/>
      </right>
      <top/>
      <bottom/>
      <diagonal/>
    </border>
    <border>
      <left/>
      <right style="dotted">
        <color theme="0"/>
      </right>
      <top/>
      <bottom style="thin">
        <color theme="0"/>
      </bottom>
      <diagonal/>
    </border>
    <border>
      <left/>
      <right style="dotted">
        <color theme="0"/>
      </right>
      <top/>
      <bottom style="medium">
        <color theme="0"/>
      </bottom>
      <diagonal/>
    </border>
    <border>
      <left style="dotted">
        <color theme="0"/>
      </left>
      <right/>
      <top/>
      <bottom/>
      <diagonal/>
    </border>
    <border>
      <left style="dotted">
        <color theme="0"/>
      </left>
      <right/>
      <top/>
      <bottom style="thin">
        <color theme="0"/>
      </bottom>
      <diagonal/>
    </border>
    <border>
      <left style="dotted">
        <color theme="0"/>
      </left>
      <right/>
      <top/>
      <bottom style="medium">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dotted">
        <color indexed="64"/>
      </right>
      <top style="dotted">
        <color indexed="64"/>
      </top>
      <bottom/>
      <diagonal/>
    </border>
    <border>
      <left/>
      <right style="dotted">
        <color indexed="64"/>
      </right>
      <top/>
      <bottom style="dotted">
        <color indexed="64"/>
      </bottom>
      <diagonal/>
    </border>
    <border>
      <left/>
      <right style="medium">
        <color indexed="64"/>
      </right>
      <top style="medium">
        <color auto="1"/>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s>
  <cellStyleXfs count="13">
    <xf numFmtId="0" fontId="0" fillId="0" borderId="0"/>
    <xf numFmtId="167"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9" fontId="1" fillId="0" borderId="0" applyFont="0" applyFill="0" applyBorder="0" applyAlignment="0" applyProtection="0"/>
    <xf numFmtId="0" fontId="1" fillId="0" borderId="0"/>
    <xf numFmtId="44" fontId="2" fillId="0" borderId="0" applyFont="0" applyFill="0" applyBorder="0" applyAlignment="0" applyProtection="0"/>
    <xf numFmtId="0" fontId="1" fillId="0" borderId="0"/>
    <xf numFmtId="0" fontId="45" fillId="12" borderId="44">
      <alignment horizontal="right"/>
    </xf>
    <xf numFmtId="0" fontId="73" fillId="12" borderId="0"/>
  </cellStyleXfs>
  <cellXfs count="855">
    <xf numFmtId="0" fontId="0" fillId="0" borderId="0" xfId="0"/>
    <xf numFmtId="0" fontId="3" fillId="0" borderId="0" xfId="0" applyFont="1"/>
    <xf numFmtId="0" fontId="4" fillId="2" borderId="0" xfId="0" applyFont="1" applyFill="1"/>
    <xf numFmtId="0" fontId="5" fillId="2" borderId="0" xfId="0" applyFont="1" applyFill="1"/>
    <xf numFmtId="165" fontId="4" fillId="2" borderId="0" xfId="0" applyNumberFormat="1" applyFont="1" applyFill="1"/>
    <xf numFmtId="166" fontId="4" fillId="2" borderId="0" xfId="0" applyNumberFormat="1" applyFont="1" applyFill="1"/>
    <xf numFmtId="0" fontId="0" fillId="0" borderId="0" xfId="0" applyAlignment="1">
      <alignment horizontal="center"/>
    </xf>
    <xf numFmtId="0" fontId="6" fillId="2" borderId="0" xfId="0" applyFont="1" applyFill="1" applyAlignment="1">
      <alignment horizontal="left"/>
    </xf>
    <xf numFmtId="0" fontId="0" fillId="0" borderId="0" xfId="0" applyAlignment="1">
      <alignment horizontal="left"/>
    </xf>
    <xf numFmtId="165" fontId="4" fillId="2" borderId="1" xfId="0" applyNumberFormat="1" applyFont="1" applyFill="1" applyBorder="1"/>
    <xf numFmtId="0" fontId="10" fillId="0" borderId="0" xfId="0" applyFont="1"/>
    <xf numFmtId="0" fontId="11" fillId="0" borderId="0" xfId="0" applyFont="1"/>
    <xf numFmtId="3" fontId="11" fillId="0" borderId="2" xfId="1" applyNumberFormat="1" applyFont="1" applyBorder="1" applyAlignment="1">
      <alignment horizontal="right"/>
    </xf>
    <xf numFmtId="3" fontId="11" fillId="3" borderId="0" xfId="1" applyNumberFormat="1" applyFont="1" applyFill="1" applyAlignment="1">
      <alignment horizontal="right"/>
    </xf>
    <xf numFmtId="0" fontId="12" fillId="0" borderId="0" xfId="0" applyFont="1" applyAlignment="1">
      <alignment horizontal="left"/>
    </xf>
    <xf numFmtId="168" fontId="0" fillId="0" borderId="0" xfId="1" applyNumberFormat="1" applyFont="1" applyAlignment="1">
      <alignment horizontal="right"/>
    </xf>
    <xf numFmtId="10" fontId="0" fillId="0" borderId="0" xfId="2" applyNumberFormat="1" applyFont="1"/>
    <xf numFmtId="3" fontId="13" fillId="0" borderId="0" xfId="0" applyNumberFormat="1" applyFont="1" applyAlignment="1">
      <alignment horizontal="left"/>
    </xf>
    <xf numFmtId="170" fontId="12" fillId="0" borderId="0" xfId="4" applyNumberFormat="1" applyFont="1" applyAlignment="1">
      <alignment horizontal="left"/>
    </xf>
    <xf numFmtId="0" fontId="3" fillId="0" borderId="0" xfId="0" applyFont="1" applyAlignment="1">
      <alignment horizontal="left" indent="1"/>
    </xf>
    <xf numFmtId="0" fontId="3"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4" fillId="2" borderId="4" xfId="0" applyFont="1" applyFill="1" applyBorder="1" applyAlignment="1">
      <alignment horizontal="center"/>
    </xf>
    <xf numFmtId="165" fontId="16" fillId="0" borderId="4" xfId="0" applyNumberFormat="1" applyFont="1" applyBorder="1" applyAlignment="1">
      <alignment horizontal="center"/>
    </xf>
    <xf numFmtId="166" fontId="16" fillId="3" borderId="4" xfId="0" applyNumberFormat="1" applyFont="1" applyFill="1" applyBorder="1" applyAlignment="1">
      <alignment horizontal="center"/>
    </xf>
    <xf numFmtId="170" fontId="12" fillId="4" borderId="0" xfId="4" applyNumberFormat="1" applyFont="1" applyFill="1" applyAlignment="1">
      <alignment horizontal="left"/>
    </xf>
    <xf numFmtId="10" fontId="0" fillId="0" borderId="0" xfId="0" applyNumberFormat="1"/>
    <xf numFmtId="0" fontId="13" fillId="0" borderId="0" xfId="0" applyFont="1" applyAlignment="1">
      <alignment horizontal="left"/>
    </xf>
    <xf numFmtId="164"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1" fontId="0" fillId="0" borderId="0" xfId="0" applyNumberFormat="1"/>
    <xf numFmtId="0" fontId="18" fillId="0" borderId="9" xfId="0" applyFont="1" applyBorder="1"/>
    <xf numFmtId="0" fontId="13" fillId="0" borderId="9" xfId="0" applyFont="1" applyBorder="1"/>
    <xf numFmtId="0" fontId="13" fillId="0" borderId="9" xfId="0" applyFont="1" applyBorder="1" applyAlignment="1">
      <alignment horizontal="center"/>
    </xf>
    <xf numFmtId="0" fontId="19" fillId="0" borderId="0" xfId="5" applyFont="1" applyAlignment="1">
      <alignment vertical="center"/>
    </xf>
    <xf numFmtId="0" fontId="14" fillId="0" borderId="0" xfId="5" applyAlignment="1">
      <alignment vertical="center"/>
    </xf>
    <xf numFmtId="0" fontId="0" fillId="0" borderId="11" xfId="0" applyBorder="1" applyAlignment="1">
      <alignment horizontal="left" indent="1"/>
    </xf>
    <xf numFmtId="14" fontId="3" fillId="0" borderId="11" xfId="0" applyNumberFormat="1" applyFont="1" applyBorder="1"/>
    <xf numFmtId="0" fontId="3" fillId="0" borderId="11" xfId="0" applyFont="1" applyBorder="1" applyAlignment="1">
      <alignment horizontal="left" indent="1"/>
    </xf>
    <xf numFmtId="14" fontId="0" fillId="0" borderId="11" xfId="0" applyNumberFormat="1" applyBorder="1"/>
    <xf numFmtId="173" fontId="3" fillId="9" borderId="0" xfId="0" applyNumberFormat="1" applyFont="1" applyFill="1"/>
    <xf numFmtId="0" fontId="3" fillId="6" borderId="0" xfId="0" applyFont="1" applyFill="1" applyAlignment="1">
      <alignment horizontal="right"/>
    </xf>
    <xf numFmtId="9" fontId="3" fillId="10" borderId="0" xfId="0" applyNumberFormat="1" applyFont="1" applyFill="1" applyAlignment="1">
      <alignment horizontal="right"/>
    </xf>
    <xf numFmtId="0" fontId="6" fillId="2" borderId="0" xfId="0" applyFont="1" applyFill="1"/>
    <xf numFmtId="0" fontId="13" fillId="11" borderId="0" xfId="0" applyFont="1" applyFill="1"/>
    <xf numFmtId="0" fontId="14" fillId="0" borderId="3" xfId="5" applyBorder="1" applyAlignment="1">
      <alignment vertical="center"/>
    </xf>
    <xf numFmtId="0" fontId="19" fillId="0" borderId="3" xfId="5" applyFont="1" applyBorder="1" applyAlignment="1">
      <alignment vertical="center"/>
    </xf>
    <xf numFmtId="0" fontId="20" fillId="2" borderId="0" xfId="0" applyFont="1" applyFill="1"/>
    <xf numFmtId="1" fontId="6" fillId="2" borderId="0" xfId="0" applyNumberFormat="1" applyFont="1" applyFill="1"/>
    <xf numFmtId="1" fontId="6" fillId="2" borderId="0" xfId="0" applyNumberFormat="1" applyFont="1" applyFill="1" applyAlignment="1">
      <alignment horizontal="center"/>
    </xf>
    <xf numFmtId="1" fontId="21" fillId="2" borderId="0" xfId="0" applyNumberFormat="1" applyFont="1" applyFill="1"/>
    <xf numFmtId="0" fontId="13" fillId="11" borderId="0" xfId="0" applyFont="1" applyFill="1" applyAlignment="1">
      <alignment horizontal="center"/>
    </xf>
    <xf numFmtId="0" fontId="9" fillId="0" borderId="0" xfId="3"/>
    <xf numFmtId="10" fontId="0" fillId="3" borderId="0" xfId="2" applyNumberFormat="1" applyFont="1" applyFill="1"/>
    <xf numFmtId="2" fontId="0" fillId="3" borderId="0" xfId="2" applyNumberFormat="1" applyFont="1" applyFill="1"/>
    <xf numFmtId="10" fontId="0" fillId="0" borderId="0" xfId="2" applyNumberFormat="1" applyFont="1" applyAlignment="1">
      <alignment horizontal="center"/>
    </xf>
    <xf numFmtId="170" fontId="0" fillId="0" borderId="0" xfId="2" applyNumberFormat="1" applyFont="1"/>
    <xf numFmtId="10" fontId="3" fillId="0" borderId="0" xfId="2" applyNumberFormat="1" applyFont="1" applyFill="1"/>
    <xf numFmtId="10" fontId="3" fillId="0" borderId="0" xfId="2" applyNumberFormat="1" applyFont="1" applyAlignment="1">
      <alignment horizontal="center"/>
    </xf>
    <xf numFmtId="170" fontId="3" fillId="0" borderId="0" xfId="2" applyNumberFormat="1" applyFont="1"/>
    <xf numFmtId="0" fontId="22" fillId="5" borderId="0" xfId="0" applyFont="1" applyFill="1"/>
    <xf numFmtId="0" fontId="13" fillId="5" borderId="0" xfId="0" applyFont="1" applyFill="1"/>
    <xf numFmtId="0" fontId="13" fillId="2" borderId="0" xfId="0" applyFont="1" applyFill="1"/>
    <xf numFmtId="0" fontId="0" fillId="0" borderId="0" xfId="0" applyAlignment="1">
      <alignment horizontal="left" vertical="center"/>
    </xf>
    <xf numFmtId="37" fontId="0" fillId="0" borderId="0" xfId="0" applyNumberFormat="1"/>
    <xf numFmtId="1" fontId="23" fillId="2" borderId="0" xfId="0" applyNumberFormat="1" applyFont="1" applyFill="1" applyAlignment="1">
      <alignment horizontal="center"/>
    </xf>
    <xf numFmtId="1" fontId="24" fillId="2" borderId="0" xfId="0" applyNumberFormat="1" applyFont="1" applyFill="1"/>
    <xf numFmtId="0" fontId="3" fillId="0" borderId="8" xfId="0" applyFont="1" applyBorder="1"/>
    <xf numFmtId="0" fontId="3" fillId="4" borderId="8" xfId="0" applyFont="1" applyFill="1" applyBorder="1"/>
    <xf numFmtId="3" fontId="3" fillId="3" borderId="8" xfId="0" applyNumberFormat="1" applyFont="1" applyFill="1" applyBorder="1" applyAlignment="1">
      <alignment horizontal="center"/>
    </xf>
    <xf numFmtId="9" fontId="3" fillId="0" borderId="8" xfId="0" applyNumberFormat="1" applyFont="1" applyBorder="1" applyAlignment="1">
      <alignment horizontal="center"/>
    </xf>
    <xf numFmtId="0" fontId="0" fillId="4" borderId="0" xfId="0" applyFill="1"/>
    <xf numFmtId="3" fontId="0" fillId="3" borderId="0" xfId="0" applyNumberFormat="1" applyFill="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0" fontId="0" fillId="4" borderId="8" xfId="0" quotePrefix="1" applyFill="1" applyBorder="1"/>
    <xf numFmtId="3" fontId="0" fillId="0" borderId="8" xfId="0" applyNumberFormat="1" applyBorder="1" applyAlignment="1">
      <alignment horizontal="center"/>
    </xf>
    <xf numFmtId="9" fontId="0" fillId="0" borderId="8" xfId="0" applyNumberFormat="1" applyBorder="1" applyAlignment="1">
      <alignment horizontal="center"/>
    </xf>
    <xf numFmtId="0" fontId="0" fillId="0" borderId="0" xfId="0" quotePrefix="1"/>
    <xf numFmtId="9" fontId="3" fillId="0" borderId="0" xfId="0" applyNumberFormat="1" applyFont="1" applyAlignment="1">
      <alignment horizontal="center"/>
    </xf>
    <xf numFmtId="0" fontId="25" fillId="0" borderId="0" xfId="0" applyFont="1"/>
    <xf numFmtId="0" fontId="3" fillId="0" borderId="0" xfId="0" applyFont="1" applyAlignment="1">
      <alignment horizontal="center"/>
    </xf>
    <xf numFmtId="0" fontId="0" fillId="3" borderId="0" xfId="0" applyFill="1" applyAlignment="1">
      <alignment horizontal="center"/>
    </xf>
    <xf numFmtId="9" fontId="0" fillId="0" borderId="0" xfId="2" applyFont="1"/>
    <xf numFmtId="37" fontId="0" fillId="3" borderId="0" xfId="0" applyNumberFormat="1" applyFill="1"/>
    <xf numFmtId="170" fontId="3" fillId="0" borderId="0" xfId="2" applyNumberFormat="1" applyFont="1" applyFill="1"/>
    <xf numFmtId="37" fontId="3" fillId="0" borderId="0" xfId="0" applyNumberFormat="1" applyFont="1"/>
    <xf numFmtId="9" fontId="0" fillId="0" borderId="0" xfId="0" applyNumberFormat="1"/>
    <xf numFmtId="9" fontId="0" fillId="0" borderId="0" xfId="2" applyFont="1" applyFill="1"/>
    <xf numFmtId="0" fontId="22" fillId="5" borderId="0" xfId="0" applyFont="1" applyFill="1" applyAlignment="1">
      <alignment horizontal="center"/>
    </xf>
    <xf numFmtId="0" fontId="13" fillId="5" borderId="0" xfId="0" applyFont="1" applyFill="1" applyAlignment="1">
      <alignment horizontal="center"/>
    </xf>
    <xf numFmtId="0" fontId="13" fillId="2" borderId="0" xfId="0" applyFont="1" applyFill="1" applyAlignment="1">
      <alignment horizontal="center"/>
    </xf>
    <xf numFmtId="10" fontId="0" fillId="0" borderId="0" xfId="2" applyNumberFormat="1" applyFont="1" applyFill="1" applyAlignment="1">
      <alignment horizontal="center"/>
    </xf>
    <xf numFmtId="1" fontId="6" fillId="2" borderId="4" xfId="0" applyNumberFormat="1" applyFont="1" applyFill="1" applyBorder="1"/>
    <xf numFmtId="166" fontId="6" fillId="2" borderId="0" xfId="0" applyNumberFormat="1" applyFont="1" applyFill="1"/>
    <xf numFmtId="0" fontId="13" fillId="11" borderId="4" xfId="0" applyFont="1" applyFill="1" applyBorder="1"/>
    <xf numFmtId="1" fontId="0" fillId="0" borderId="0" xfId="2" applyNumberFormat="1" applyFont="1" applyAlignment="1">
      <alignment horizontal="right"/>
    </xf>
    <xf numFmtId="170" fontId="0" fillId="0" borderId="0" xfId="2" applyNumberFormat="1" applyFont="1" applyFill="1"/>
    <xf numFmtId="170" fontId="0" fillId="0" borderId="4" xfId="2" applyNumberFormat="1" applyFont="1" applyFill="1" applyBorder="1"/>
    <xf numFmtId="170" fontId="0" fillId="3" borderId="0" xfId="2" applyNumberFormat="1" applyFont="1" applyFill="1"/>
    <xf numFmtId="170" fontId="0" fillId="0" borderId="17" xfId="2" applyNumberFormat="1" applyFont="1" applyBorder="1"/>
    <xf numFmtId="37" fontId="0" fillId="3" borderId="4" xfId="0" applyNumberFormat="1" applyFill="1" applyBorder="1"/>
    <xf numFmtId="37" fontId="3" fillId="0" borderId="4" xfId="0" applyNumberFormat="1" applyFont="1" applyBorder="1"/>
    <xf numFmtId="0" fontId="0" fillId="2" borderId="0" xfId="0" applyFill="1"/>
    <xf numFmtId="0" fontId="5" fillId="2" borderId="0" xfId="0" applyFont="1" applyFill="1" applyAlignment="1">
      <alignment horizontal="right"/>
    </xf>
    <xf numFmtId="0" fontId="4" fillId="11" borderId="0" xfId="0" applyFont="1" applyFill="1"/>
    <xf numFmtId="0" fontId="5" fillId="11" borderId="0" xfId="0" applyFont="1" applyFill="1"/>
    <xf numFmtId="0" fontId="0" fillId="11" borderId="0" xfId="0" applyFill="1"/>
    <xf numFmtId="0" fontId="5" fillId="11" borderId="0" xfId="0" applyFont="1" applyFill="1" applyAlignment="1">
      <alignment horizontal="right"/>
    </xf>
    <xf numFmtId="0" fontId="5" fillId="5" borderId="0" xfId="0" applyFont="1" applyFill="1" applyAlignment="1">
      <alignment horizontal="right"/>
    </xf>
    <xf numFmtId="0" fontId="7" fillId="0" borderId="0" xfId="0" applyFont="1"/>
    <xf numFmtId="175" fontId="0" fillId="0" borderId="0" xfId="9" applyNumberFormat="1" applyFont="1" applyFill="1" applyAlignment="1">
      <alignment horizontal="right"/>
    </xf>
    <xf numFmtId="10" fontId="32" fillId="3" borderId="0" xfId="0" applyNumberFormat="1" applyFont="1" applyFill="1"/>
    <xf numFmtId="10" fontId="0" fillId="3" borderId="24" xfId="2" applyNumberFormat="1" applyFont="1" applyFill="1" applyBorder="1"/>
    <xf numFmtId="2" fontId="0" fillId="0" borderId="0" xfId="0" applyNumberFormat="1"/>
    <xf numFmtId="3" fontId="0" fillId="3" borderId="24" xfId="0" applyNumberFormat="1" applyFill="1" applyBorder="1"/>
    <xf numFmtId="10" fontId="3" fillId="0" borderId="0" xfId="2" applyNumberFormat="1" applyFont="1"/>
    <xf numFmtId="0" fontId="13" fillId="0" borderId="0" xfId="0" applyFont="1"/>
    <xf numFmtId="0" fontId="20" fillId="0" borderId="0" xfId="0" applyFont="1"/>
    <xf numFmtId="0" fontId="6" fillId="11" borderId="0" xfId="0" applyFont="1" applyFill="1"/>
    <xf numFmtId="0" fontId="20" fillId="11" borderId="0" xfId="0" applyFont="1" applyFill="1"/>
    <xf numFmtId="0" fontId="34" fillId="0" borderId="0" xfId="0" applyFont="1"/>
    <xf numFmtId="0" fontId="12" fillId="0" borderId="0" xfId="0" applyFont="1"/>
    <xf numFmtId="0" fontId="13" fillId="0" borderId="0" xfId="0" applyFont="1" applyAlignment="1">
      <alignment wrapText="1"/>
    </xf>
    <xf numFmtId="10" fontId="13" fillId="0" borderId="0" xfId="0" applyNumberFormat="1" applyFont="1"/>
    <xf numFmtId="9" fontId="12" fillId="0" borderId="0" xfId="2" applyFont="1"/>
    <xf numFmtId="10" fontId="12" fillId="0" borderId="0" xfId="2" applyNumberFormat="1" applyFont="1" applyFill="1" applyBorder="1" applyAlignment="1">
      <alignment horizontal="center"/>
    </xf>
    <xf numFmtId="164" fontId="12" fillId="0" borderId="0" xfId="0" applyNumberFormat="1" applyFont="1"/>
    <xf numFmtId="165" fontId="6" fillId="2" borderId="0" xfId="0" applyNumberFormat="1" applyFont="1" applyFill="1"/>
    <xf numFmtId="165" fontId="6" fillId="2" borderId="26" xfId="0" applyNumberFormat="1" applyFont="1" applyFill="1" applyBorder="1"/>
    <xf numFmtId="0" fontId="13" fillId="5" borderId="26" xfId="0" applyFont="1" applyFill="1" applyBorder="1"/>
    <xf numFmtId="3" fontId="37" fillId="0" borderId="0" xfId="0" applyNumberFormat="1" applyFont="1"/>
    <xf numFmtId="3" fontId="37" fillId="0" borderId="26" xfId="0" applyNumberFormat="1" applyFont="1" applyBorder="1"/>
    <xf numFmtId="3" fontId="12" fillId="0" borderId="0" xfId="0" applyNumberFormat="1" applyFont="1"/>
    <xf numFmtId="2" fontId="12" fillId="0" borderId="0" xfId="0" applyNumberFormat="1" applyFont="1"/>
    <xf numFmtId="170" fontId="35" fillId="5" borderId="0" xfId="0" applyNumberFormat="1" applyFont="1" applyFill="1"/>
    <xf numFmtId="3" fontId="13" fillId="0" borderId="0" xfId="0" applyNumberFormat="1" applyFont="1"/>
    <xf numFmtId="0" fontId="40" fillId="0" borderId="0" xfId="0" applyFont="1"/>
    <xf numFmtId="0" fontId="13" fillId="0" borderId="26" xfId="0" applyFont="1" applyBorder="1"/>
    <xf numFmtId="166" fontId="6" fillId="0" borderId="0" xfId="0" applyNumberFormat="1" applyFont="1"/>
    <xf numFmtId="0" fontId="41" fillId="0" borderId="0" xfId="0" applyFont="1"/>
    <xf numFmtId="172" fontId="37" fillId="0" borderId="0" xfId="1" applyNumberFormat="1" applyFont="1" applyFill="1"/>
    <xf numFmtId="172" fontId="12" fillId="0" borderId="0" xfId="1" applyNumberFormat="1" applyFont="1" applyFill="1"/>
    <xf numFmtId="0" fontId="42" fillId="0" borderId="0" xfId="0" applyFont="1"/>
    <xf numFmtId="170" fontId="12" fillId="0" borderId="0" xfId="2" applyNumberFormat="1" applyFont="1" applyFill="1"/>
    <xf numFmtId="170" fontId="13" fillId="0" borderId="0" xfId="2" applyNumberFormat="1" applyFont="1" applyFill="1"/>
    <xf numFmtId="170" fontId="13" fillId="0" borderId="17" xfId="2" applyNumberFormat="1" applyFont="1" applyFill="1" applyBorder="1"/>
    <xf numFmtId="170" fontId="12" fillId="0" borderId="0" xfId="2" applyNumberFormat="1" applyFont="1" applyFill="1" applyBorder="1"/>
    <xf numFmtId="172" fontId="12" fillId="0" borderId="0" xfId="1" applyNumberFormat="1" applyFont="1" applyFill="1" applyBorder="1"/>
    <xf numFmtId="0" fontId="13" fillId="0" borderId="17" xfId="0" applyFont="1" applyBorder="1"/>
    <xf numFmtId="9" fontId="12" fillId="0" borderId="0" xfId="2" applyFont="1" applyFill="1" applyBorder="1"/>
    <xf numFmtId="170" fontId="35" fillId="0" borderId="0" xfId="2" applyNumberFormat="1" applyFont="1" applyFill="1"/>
    <xf numFmtId="37" fontId="12" fillId="0" borderId="0" xfId="1" applyNumberFormat="1" applyFont="1" applyFill="1" applyAlignment="1">
      <alignment wrapText="1"/>
    </xf>
    <xf numFmtId="170" fontId="13" fillId="0" borderId="26" xfId="2" applyNumberFormat="1" applyFont="1" applyFill="1" applyBorder="1"/>
    <xf numFmtId="165" fontId="6" fillId="2" borderId="17" xfId="0" applyNumberFormat="1" applyFont="1" applyFill="1" applyBorder="1"/>
    <xf numFmtId="0" fontId="42" fillId="11" borderId="0" xfId="0" applyFont="1" applyFill="1"/>
    <xf numFmtId="0" fontId="13" fillId="11" borderId="17" xfId="0" applyFont="1" applyFill="1" applyBorder="1"/>
    <xf numFmtId="37" fontId="37" fillId="0" borderId="0" xfId="1" applyNumberFormat="1" applyFont="1" applyFill="1" applyAlignment="1">
      <alignment wrapText="1"/>
    </xf>
    <xf numFmtId="37" fontId="37" fillId="0" borderId="17" xfId="1" applyNumberFormat="1" applyFont="1" applyFill="1" applyBorder="1"/>
    <xf numFmtId="172" fontId="13" fillId="0" borderId="0" xfId="0" applyNumberFormat="1" applyFont="1"/>
    <xf numFmtId="3" fontId="35" fillId="0" borderId="0" xfId="0" applyNumberFormat="1" applyFont="1"/>
    <xf numFmtId="3" fontId="35" fillId="0" borderId="17" xfId="0" applyNumberFormat="1" applyFont="1" applyBorder="1"/>
    <xf numFmtId="170" fontId="12" fillId="0" borderId="0" xfId="0" applyNumberFormat="1" applyFont="1"/>
    <xf numFmtId="0" fontId="37" fillId="11" borderId="0" xfId="0" applyFont="1" applyFill="1"/>
    <xf numFmtId="0" fontId="37" fillId="11" borderId="17" xfId="0" applyFont="1" applyFill="1" applyBorder="1"/>
    <xf numFmtId="172" fontId="36" fillId="0" borderId="0" xfId="1" applyNumberFormat="1" applyFont="1" applyFill="1"/>
    <xf numFmtId="172" fontId="12" fillId="0" borderId="17" xfId="1" applyNumberFormat="1" applyFont="1" applyFill="1" applyBorder="1"/>
    <xf numFmtId="172" fontId="13" fillId="0" borderId="0" xfId="1" applyNumberFormat="1" applyFont="1" applyFill="1"/>
    <xf numFmtId="170" fontId="13" fillId="0" borderId="0" xfId="2" applyNumberFormat="1" applyFont="1"/>
    <xf numFmtId="0" fontId="13" fillId="0" borderId="31" xfId="0" applyFont="1" applyBorder="1"/>
    <xf numFmtId="0" fontId="13" fillId="0" borderId="32" xfId="0" applyFont="1" applyBorder="1"/>
    <xf numFmtId="172" fontId="13" fillId="0" borderId="32" xfId="0" applyNumberFormat="1" applyFont="1" applyBorder="1"/>
    <xf numFmtId="172" fontId="13" fillId="0" borderId="0" xfId="1" applyNumberFormat="1" applyFont="1" applyFill="1" applyBorder="1"/>
    <xf numFmtId="172" fontId="12" fillId="0" borderId="26" xfId="1" applyNumberFormat="1" applyFont="1" applyFill="1" applyBorder="1"/>
    <xf numFmtId="0" fontId="13" fillId="0" borderId="34" xfId="0" applyFont="1" applyBorder="1"/>
    <xf numFmtId="0" fontId="13" fillId="0" borderId="35" xfId="0" applyFont="1" applyBorder="1"/>
    <xf numFmtId="172" fontId="13" fillId="0" borderId="35" xfId="0" applyNumberFormat="1" applyFont="1" applyBorder="1"/>
    <xf numFmtId="172" fontId="13" fillId="0" borderId="36" xfId="0" applyNumberFormat="1" applyFont="1" applyBorder="1"/>
    <xf numFmtId="0" fontId="13" fillId="0" borderId="37" xfId="0" applyFont="1" applyBorder="1"/>
    <xf numFmtId="0" fontId="13" fillId="0" borderId="7" xfId="0" applyFont="1" applyBorder="1"/>
    <xf numFmtId="0" fontId="13" fillId="0" borderId="38" xfId="0" applyFont="1" applyBorder="1"/>
    <xf numFmtId="172" fontId="13" fillId="0" borderId="7" xfId="0" applyNumberFormat="1" applyFont="1" applyBorder="1"/>
    <xf numFmtId="172" fontId="13" fillId="0" borderId="39" xfId="0" applyNumberFormat="1" applyFont="1" applyBorder="1"/>
    <xf numFmtId="2" fontId="13" fillId="0" borderId="0" xfId="0" applyNumberFormat="1" applyFont="1"/>
    <xf numFmtId="14" fontId="20" fillId="0" borderId="0" xfId="0" applyNumberFormat="1" applyFont="1"/>
    <xf numFmtId="0" fontId="20" fillId="0" borderId="26" xfId="0" applyFont="1" applyBorder="1"/>
    <xf numFmtId="172" fontId="36" fillId="0" borderId="0" xfId="1" applyNumberFormat="1" applyFont="1"/>
    <xf numFmtId="14" fontId="13" fillId="0" borderId="0" xfId="0" applyNumberFormat="1" applyFont="1"/>
    <xf numFmtId="172" fontId="13" fillId="0" borderId="0" xfId="1" applyNumberFormat="1" applyFont="1"/>
    <xf numFmtId="0" fontId="36" fillId="0" borderId="0" xfId="0" applyFont="1"/>
    <xf numFmtId="0" fontId="32" fillId="0" borderId="0" xfId="0" applyFont="1"/>
    <xf numFmtId="172" fontId="13" fillId="4" borderId="0" xfId="0" applyNumberFormat="1" applyFont="1" applyFill="1"/>
    <xf numFmtId="164" fontId="13" fillId="0" borderId="0" xfId="0" applyNumberFormat="1" applyFont="1"/>
    <xf numFmtId="176" fontId="13" fillId="0" borderId="0" xfId="0" applyNumberFormat="1" applyFont="1"/>
    <xf numFmtId="0" fontId="41" fillId="0" borderId="26" xfId="0" applyFont="1" applyBorder="1"/>
    <xf numFmtId="10" fontId="41" fillId="0" borderId="0" xfId="0" applyNumberFormat="1" applyFont="1"/>
    <xf numFmtId="0" fontId="13" fillId="11" borderId="26" xfId="0" applyFont="1" applyFill="1" applyBorder="1"/>
    <xf numFmtId="172" fontId="13" fillId="0" borderId="26" xfId="0" applyNumberFormat="1" applyFont="1" applyBorder="1"/>
    <xf numFmtId="37" fontId="13" fillId="0" borderId="0" xfId="0" applyNumberFormat="1" applyFont="1"/>
    <xf numFmtId="37" fontId="13" fillId="0" borderId="26" xfId="0" applyNumberFormat="1" applyFont="1" applyBorder="1"/>
    <xf numFmtId="9" fontId="13" fillId="0" borderId="0" xfId="0" applyNumberFormat="1" applyFont="1"/>
    <xf numFmtId="9" fontId="13" fillId="0" borderId="26" xfId="0" applyNumberFormat="1" applyFont="1" applyBorder="1"/>
    <xf numFmtId="9" fontId="35" fillId="0" borderId="0" xfId="0" applyNumberFormat="1" applyFont="1"/>
    <xf numFmtId="172" fontId="13" fillId="0" borderId="0" xfId="0" applyNumberFormat="1" applyFont="1" applyAlignment="1">
      <alignment horizontal="left"/>
    </xf>
    <xf numFmtId="0" fontId="13" fillId="0" borderId="40" xfId="0" applyFont="1" applyBorder="1"/>
    <xf numFmtId="0" fontId="13" fillId="0" borderId="41" xfId="0" applyFont="1" applyBorder="1"/>
    <xf numFmtId="0" fontId="13" fillId="0" borderId="42" xfId="0" applyFont="1" applyBorder="1"/>
    <xf numFmtId="172" fontId="13" fillId="0" borderId="41" xfId="0" applyNumberFormat="1" applyFont="1" applyBorder="1"/>
    <xf numFmtId="9" fontId="41" fillId="0" borderId="0" xfId="0" applyNumberFormat="1" applyFont="1"/>
    <xf numFmtId="0" fontId="13" fillId="0" borderId="9" xfId="0" applyFont="1" applyBorder="1" applyAlignment="1">
      <alignment horizontal="right"/>
    </xf>
    <xf numFmtId="0" fontId="23" fillId="2" borderId="0" xfId="0" applyFont="1" applyFill="1"/>
    <xf numFmtId="1" fontId="6" fillId="2" borderId="0" xfId="0" applyNumberFormat="1" applyFont="1" applyFill="1" applyAlignment="1">
      <alignment horizontal="right"/>
    </xf>
    <xf numFmtId="0" fontId="13" fillId="11" borderId="0" xfId="0" applyFont="1" applyFill="1" applyAlignment="1">
      <alignment horizontal="right"/>
    </xf>
    <xf numFmtId="37" fontId="28" fillId="3" borderId="0" xfId="0" applyNumberFormat="1" applyFont="1" applyFill="1" applyAlignment="1">
      <alignment horizontal="right"/>
    </xf>
    <xf numFmtId="37" fontId="3" fillId="4" borderId="0" xfId="0" applyNumberFormat="1" applyFont="1" applyFill="1" applyAlignment="1">
      <alignment horizontal="right"/>
    </xf>
    <xf numFmtId="37" fontId="3" fillId="0" borderId="0" xfId="0" applyNumberFormat="1" applyFont="1" applyAlignment="1">
      <alignment horizontal="right"/>
    </xf>
    <xf numFmtId="39" fontId="43" fillId="3" borderId="0" xfId="0" applyNumberFormat="1" applyFont="1" applyFill="1" applyAlignment="1">
      <alignment horizontal="right"/>
    </xf>
    <xf numFmtId="9" fontId="13" fillId="11" borderId="0" xfId="2" applyFont="1" applyFill="1" applyBorder="1"/>
    <xf numFmtId="9" fontId="13" fillId="11" borderId="0" xfId="2" applyFont="1" applyFill="1" applyBorder="1" applyAlignment="1">
      <alignment horizontal="right"/>
    </xf>
    <xf numFmtId="37" fontId="7" fillId="4" borderId="8" xfId="0" applyNumberFormat="1" applyFont="1" applyFill="1" applyBorder="1" applyAlignment="1">
      <alignment horizontal="right"/>
    </xf>
    <xf numFmtId="10" fontId="0" fillId="0" borderId="8" xfId="2" applyNumberFormat="1" applyFont="1" applyBorder="1" applyAlignment="1">
      <alignment horizontal="center"/>
    </xf>
    <xf numFmtId="10" fontId="3" fillId="0" borderId="8" xfId="2" applyNumberFormat="1" applyFont="1" applyBorder="1" applyAlignment="1">
      <alignment horizontal="center"/>
    </xf>
    <xf numFmtId="37" fontId="7" fillId="4" borderId="0" xfId="0" applyNumberFormat="1" applyFont="1" applyFill="1" applyAlignment="1">
      <alignment horizontal="right"/>
    </xf>
    <xf numFmtId="37" fontId="43" fillId="3" borderId="0" xfId="0" applyNumberFormat="1" applyFont="1" applyFill="1" applyAlignment="1">
      <alignment horizontal="right"/>
    </xf>
    <xf numFmtId="10" fontId="3" fillId="0" borderId="0" xfId="2" applyNumberFormat="1" applyFont="1" applyBorder="1" applyAlignment="1">
      <alignment horizontal="center"/>
    </xf>
    <xf numFmtId="0" fontId="3" fillId="0" borderId="20" xfId="0" applyFont="1" applyBorder="1"/>
    <xf numFmtId="37" fontId="3" fillId="0" borderId="20" xfId="0" applyNumberFormat="1" applyFont="1" applyBorder="1" applyAlignment="1">
      <alignment horizontal="right"/>
    </xf>
    <xf numFmtId="10" fontId="3" fillId="0" borderId="20" xfId="2" applyNumberFormat="1" applyFont="1" applyBorder="1" applyAlignment="1">
      <alignment horizontal="center"/>
    </xf>
    <xf numFmtId="37" fontId="7" fillId="0" borderId="8" xfId="0" applyNumberFormat="1" applyFont="1" applyBorder="1" applyAlignment="1">
      <alignment horizontal="right"/>
    </xf>
    <xf numFmtId="37" fontId="0" fillId="0" borderId="0" xfId="0" applyNumberFormat="1" applyAlignment="1">
      <alignment horizontal="right"/>
    </xf>
    <xf numFmtId="0" fontId="32" fillId="3" borderId="0" xfId="0" applyFont="1" applyFill="1" applyAlignment="1">
      <alignment horizontal="right"/>
    </xf>
    <xf numFmtId="172" fontId="0" fillId="0" borderId="0" xfId="0" applyNumberFormat="1" applyAlignment="1">
      <alignment horizontal="right"/>
    </xf>
    <xf numFmtId="0" fontId="6" fillId="2" borderId="0" xfId="0" applyFont="1" applyFill="1" applyAlignment="1">
      <alignment horizontal="right"/>
    </xf>
    <xf numFmtId="0" fontId="13" fillId="0" borderId="0" xfId="0" applyFont="1" applyAlignment="1">
      <alignment horizontal="center"/>
    </xf>
    <xf numFmtId="0" fontId="13" fillId="4" borderId="0" xfId="0" applyFont="1" applyFill="1"/>
    <xf numFmtId="0" fontId="18" fillId="0" borderId="9" xfId="10" applyFont="1" applyBorder="1" applyAlignment="1">
      <alignment horizontal="left"/>
    </xf>
    <xf numFmtId="0" fontId="30" fillId="0" borderId="9" xfId="10" applyFont="1" applyBorder="1"/>
    <xf numFmtId="0" fontId="0" fillId="0" borderId="9" xfId="10" applyFont="1" applyBorder="1" applyAlignment="1">
      <alignment horizontal="right"/>
    </xf>
    <xf numFmtId="0" fontId="13" fillId="11" borderId="0" xfId="0" applyFont="1" applyFill="1" applyAlignment="1">
      <alignment horizontal="left"/>
    </xf>
    <xf numFmtId="170" fontId="12" fillId="0" borderId="0" xfId="4" applyNumberFormat="1" applyFont="1" applyFill="1" applyBorder="1" applyAlignment="1">
      <alignment horizontal="left"/>
    </xf>
    <xf numFmtId="170" fontId="38" fillId="0" borderId="0" xfId="4" applyNumberFormat="1" applyFont="1" applyFill="1" applyBorder="1" applyAlignment="1">
      <alignment horizontal="left"/>
    </xf>
    <xf numFmtId="0" fontId="13" fillId="0" borderId="0" xfId="0" applyFont="1" applyAlignment="1">
      <alignment horizontal="right"/>
    </xf>
    <xf numFmtId="170" fontId="12" fillId="4" borderId="0" xfId="4" applyNumberFormat="1" applyFont="1" applyFill="1" applyBorder="1" applyAlignment="1">
      <alignment horizontal="left"/>
    </xf>
    <xf numFmtId="10" fontId="0" fillId="0" borderId="0" xfId="2" applyNumberFormat="1" applyFont="1" applyAlignment="1">
      <alignment horizontal="right"/>
    </xf>
    <xf numFmtId="10" fontId="13" fillId="0" borderId="0" xfId="0" applyNumberFormat="1" applyFont="1" applyAlignment="1">
      <alignment horizontal="right"/>
    </xf>
    <xf numFmtId="39" fontId="0" fillId="0" borderId="0" xfId="1" applyNumberFormat="1" applyFont="1" applyAlignment="1">
      <alignment horizontal="right"/>
    </xf>
    <xf numFmtId="0" fontId="0" fillId="0" borderId="0" xfId="0" quotePrefix="1" applyAlignment="1">
      <alignment horizontal="right"/>
    </xf>
    <xf numFmtId="37" fontId="43" fillId="3" borderId="8" xfId="0" applyNumberFormat="1" applyFont="1" applyFill="1" applyBorder="1" applyAlignment="1">
      <alignment horizontal="right"/>
    </xf>
    <xf numFmtId="37" fontId="7" fillId="0" borderId="0" xfId="0" applyNumberFormat="1" applyFont="1" applyAlignment="1">
      <alignment horizontal="right"/>
    </xf>
    <xf numFmtId="0" fontId="25" fillId="0" borderId="0" xfId="0" applyFont="1" applyAlignment="1">
      <alignment horizontal="left" indent="1"/>
    </xf>
    <xf numFmtId="37" fontId="46" fillId="3" borderId="0" xfId="0" applyNumberFormat="1" applyFont="1" applyFill="1" applyAlignment="1">
      <alignment horizontal="right"/>
    </xf>
    <xf numFmtId="37" fontId="47" fillId="4" borderId="0" xfId="0" applyNumberFormat="1" applyFont="1" applyFill="1" applyAlignment="1">
      <alignment horizontal="right"/>
    </xf>
    <xf numFmtId="0" fontId="3" fillId="0" borderId="19" xfId="0" applyFont="1" applyBorder="1"/>
    <xf numFmtId="37" fontId="43" fillId="3" borderId="19" xfId="0" applyNumberFormat="1" applyFont="1" applyFill="1" applyBorder="1" applyAlignment="1">
      <alignment horizontal="right"/>
    </xf>
    <xf numFmtId="10" fontId="3" fillId="0" borderId="19" xfId="2" applyNumberFormat="1" applyFont="1" applyBorder="1" applyAlignment="1">
      <alignment horizontal="center"/>
    </xf>
    <xf numFmtId="0" fontId="3" fillId="0" borderId="48" xfId="0" applyFont="1" applyBorder="1"/>
    <xf numFmtId="10" fontId="3" fillId="0" borderId="48" xfId="2" applyNumberFormat="1" applyFont="1" applyBorder="1" applyAlignment="1">
      <alignment horizontal="center"/>
    </xf>
    <xf numFmtId="37" fontId="43" fillId="0" borderId="19" xfId="0" applyNumberFormat="1" applyFont="1" applyBorder="1" applyAlignment="1">
      <alignment horizontal="right"/>
    </xf>
    <xf numFmtId="0" fontId="0" fillId="0" borderId="48" xfId="0" applyBorder="1"/>
    <xf numFmtId="37" fontId="43" fillId="3" borderId="48" xfId="0" applyNumberFormat="1" applyFont="1" applyFill="1" applyBorder="1" applyAlignment="1">
      <alignment horizontal="right"/>
    </xf>
    <xf numFmtId="172" fontId="37" fillId="0" borderId="26" xfId="1" applyNumberFormat="1" applyFont="1" applyFill="1" applyBorder="1"/>
    <xf numFmtId="0" fontId="42" fillId="4" borderId="0" xfId="0" applyFont="1" applyFill="1"/>
    <xf numFmtId="170" fontId="13" fillId="4" borderId="0" xfId="2" applyNumberFormat="1" applyFont="1" applyFill="1"/>
    <xf numFmtId="170" fontId="13" fillId="4" borderId="17" xfId="2" applyNumberFormat="1" applyFont="1" applyFill="1" applyBorder="1"/>
    <xf numFmtId="170" fontId="35" fillId="4" borderId="0" xfId="2" applyNumberFormat="1" applyFont="1" applyFill="1"/>
    <xf numFmtId="9" fontId="12" fillId="4" borderId="0" xfId="2" applyFont="1" applyFill="1" applyBorder="1"/>
    <xf numFmtId="37" fontId="48" fillId="3" borderId="0" xfId="0" applyNumberFormat="1" applyFont="1" applyFill="1" applyAlignment="1">
      <alignment horizontal="right"/>
    </xf>
    <xf numFmtId="0" fontId="13" fillId="0" borderId="0" xfId="0" applyFont="1" applyAlignment="1">
      <alignment horizontal="left" indent="1"/>
    </xf>
    <xf numFmtId="0" fontId="49" fillId="0" borderId="0" xfId="0" applyFont="1"/>
    <xf numFmtId="0" fontId="49" fillId="0" borderId="0" xfId="0" applyFont="1" applyAlignment="1">
      <alignment horizontal="left"/>
    </xf>
    <xf numFmtId="170" fontId="49" fillId="0" borderId="0" xfId="2" applyNumberFormat="1" applyFont="1" applyFill="1"/>
    <xf numFmtId="170" fontId="49" fillId="0" borderId="0" xfId="1" applyNumberFormat="1" applyFont="1" applyFill="1"/>
    <xf numFmtId="170" fontId="49" fillId="0" borderId="17" xfId="1" applyNumberFormat="1" applyFont="1" applyFill="1" applyBorder="1"/>
    <xf numFmtId="170" fontId="49" fillId="4" borderId="0" xfId="1" applyNumberFormat="1" applyFont="1" applyFill="1"/>
    <xf numFmtId="170" fontId="49" fillId="0" borderId="26" xfId="2" applyNumberFormat="1" applyFont="1" applyFill="1" applyBorder="1"/>
    <xf numFmtId="170" fontId="49" fillId="0" borderId="17" xfId="2" applyNumberFormat="1" applyFont="1" applyFill="1" applyBorder="1"/>
    <xf numFmtId="170" fontId="50" fillId="0" borderId="0" xfId="2" applyNumberFormat="1" applyFont="1" applyFill="1"/>
    <xf numFmtId="0" fontId="49" fillId="0" borderId="0" xfId="0" applyFont="1" applyAlignment="1">
      <alignment horizontal="left" indent="1"/>
    </xf>
    <xf numFmtId="0" fontId="50" fillId="0" borderId="0" xfId="0" applyFont="1"/>
    <xf numFmtId="37" fontId="32" fillId="3" borderId="0" xfId="0" applyNumberFormat="1" applyFont="1" applyFill="1" applyAlignment="1">
      <alignment horizontal="right"/>
    </xf>
    <xf numFmtId="37" fontId="37" fillId="0" borderId="17" xfId="1" applyNumberFormat="1" applyFont="1" applyBorder="1"/>
    <xf numFmtId="37" fontId="37" fillId="0" borderId="0" xfId="1" applyNumberFormat="1" applyFont="1" applyAlignment="1">
      <alignment wrapText="1"/>
    </xf>
    <xf numFmtId="170" fontId="49" fillId="0" borderId="0" xfId="2" applyNumberFormat="1" applyFont="1"/>
    <xf numFmtId="170" fontId="49" fillId="0" borderId="26" xfId="2" applyNumberFormat="1" applyFont="1" applyBorder="1"/>
    <xf numFmtId="172" fontId="37" fillId="0" borderId="0" xfId="1" applyNumberFormat="1" applyFont="1"/>
    <xf numFmtId="172" fontId="37" fillId="0" borderId="26" xfId="1" applyNumberFormat="1" applyFont="1" applyBorder="1"/>
    <xf numFmtId="170" fontId="35" fillId="0" borderId="0" xfId="0" applyNumberFormat="1" applyFont="1"/>
    <xf numFmtId="170" fontId="49" fillId="0" borderId="0" xfId="2" applyNumberFormat="1" applyFont="1" applyFill="1" applyBorder="1"/>
    <xf numFmtId="0" fontId="13" fillId="0" borderId="0" xfId="0" applyFont="1" applyAlignment="1">
      <alignment horizontal="left" indent="2"/>
    </xf>
    <xf numFmtId="0" fontId="49" fillId="0" borderId="0" xfId="0" applyFont="1" applyAlignment="1">
      <alignment horizontal="left" indent="2"/>
    </xf>
    <xf numFmtId="0" fontId="42" fillId="0" borderId="0" xfId="0" applyFont="1" applyAlignment="1">
      <alignment horizontal="left" indent="2"/>
    </xf>
    <xf numFmtId="172" fontId="51" fillId="0" borderId="0" xfId="1" applyNumberFormat="1" applyFont="1" applyFill="1"/>
    <xf numFmtId="172" fontId="51" fillId="0" borderId="26" xfId="1" applyNumberFormat="1" applyFont="1" applyFill="1" applyBorder="1"/>
    <xf numFmtId="172" fontId="39" fillId="0" borderId="0" xfId="1" applyNumberFormat="1" applyFont="1" applyFill="1"/>
    <xf numFmtId="172" fontId="20" fillId="0" borderId="0" xfId="1" applyNumberFormat="1" applyFont="1" applyFill="1"/>
    <xf numFmtId="170" fontId="48" fillId="5" borderId="0" xfId="2" applyNumberFormat="1" applyFont="1" applyFill="1"/>
    <xf numFmtId="37" fontId="12" fillId="0" borderId="0" xfId="1" applyNumberFormat="1" applyFont="1" applyAlignment="1">
      <alignment wrapText="1"/>
    </xf>
    <xf numFmtId="170" fontId="32" fillId="5" borderId="0" xfId="2" applyNumberFormat="1" applyFont="1" applyFill="1"/>
    <xf numFmtId="170" fontId="48" fillId="5" borderId="0" xfId="0" applyNumberFormat="1" applyFont="1" applyFill="1"/>
    <xf numFmtId="170" fontId="49" fillId="0" borderId="0" xfId="0" applyNumberFormat="1" applyFont="1"/>
    <xf numFmtId="170" fontId="49" fillId="0" borderId="17" xfId="0" applyNumberFormat="1" applyFont="1" applyBorder="1"/>
    <xf numFmtId="1" fontId="48" fillId="5" borderId="0" xfId="0" applyNumberFormat="1" applyFont="1" applyFill="1"/>
    <xf numFmtId="177" fontId="49" fillId="0" borderId="0" xfId="0" applyNumberFormat="1" applyFont="1"/>
    <xf numFmtId="177" fontId="49" fillId="0" borderId="17" xfId="0" applyNumberFormat="1" applyFont="1" applyBorder="1"/>
    <xf numFmtId="177" fontId="48" fillId="5" borderId="0" xfId="0" applyNumberFormat="1" applyFont="1" applyFill="1"/>
    <xf numFmtId="0" fontId="42" fillId="0" borderId="0" xfId="0" applyFont="1" applyAlignment="1">
      <alignment horizontal="left" indent="1"/>
    </xf>
    <xf numFmtId="170" fontId="50" fillId="0" borderId="17" xfId="2" applyNumberFormat="1" applyFont="1" applyFill="1" applyBorder="1"/>
    <xf numFmtId="172" fontId="51" fillId="0" borderId="0" xfId="1" applyNumberFormat="1" applyFont="1" applyFill="1" applyAlignment="1">
      <alignment horizontal="right"/>
    </xf>
    <xf numFmtId="172" fontId="51" fillId="0" borderId="26" xfId="1" applyNumberFormat="1" applyFont="1" applyBorder="1" applyAlignment="1">
      <alignment horizontal="right"/>
    </xf>
    <xf numFmtId="172" fontId="42" fillId="0" borderId="0" xfId="0" applyNumberFormat="1" applyFont="1" applyAlignment="1">
      <alignment horizontal="right"/>
    </xf>
    <xf numFmtId="172" fontId="51" fillId="0" borderId="0" xfId="1" applyNumberFormat="1" applyFont="1"/>
    <xf numFmtId="172" fontId="51" fillId="0" borderId="26" xfId="1" applyNumberFormat="1" applyFont="1" applyBorder="1"/>
    <xf numFmtId="172" fontId="42" fillId="0" borderId="0" xfId="0" applyNumberFormat="1" applyFont="1"/>
    <xf numFmtId="172" fontId="37" fillId="0" borderId="0" xfId="1" applyNumberFormat="1" applyFont="1" applyBorder="1"/>
    <xf numFmtId="172" fontId="51" fillId="0" borderId="26" xfId="1" applyNumberFormat="1" applyFont="1" applyFill="1" applyBorder="1" applyAlignment="1">
      <alignment horizontal="right"/>
    </xf>
    <xf numFmtId="0" fontId="25" fillId="0" borderId="0" xfId="0" applyFont="1" applyAlignment="1">
      <alignment horizontal="left" indent="2"/>
    </xf>
    <xf numFmtId="170" fontId="12" fillId="4" borderId="0" xfId="0" applyNumberFormat="1" applyFont="1" applyFill="1"/>
    <xf numFmtId="170" fontId="12" fillId="4" borderId="17" xfId="0" applyNumberFormat="1" applyFont="1" applyFill="1" applyBorder="1"/>
    <xf numFmtId="170" fontId="35" fillId="4" borderId="0" xfId="0" applyNumberFormat="1" applyFont="1" applyFill="1"/>
    <xf numFmtId="170" fontId="12" fillId="0" borderId="26" xfId="0" applyNumberFormat="1" applyFont="1" applyBorder="1"/>
    <xf numFmtId="0" fontId="52" fillId="0" borderId="0" xfId="0" applyFont="1"/>
    <xf numFmtId="172" fontId="13" fillId="0" borderId="33" xfId="0" applyNumberFormat="1" applyFont="1" applyBorder="1"/>
    <xf numFmtId="172" fontId="13" fillId="0" borderId="49" xfId="0" applyNumberFormat="1" applyFont="1" applyBorder="1"/>
    <xf numFmtId="172" fontId="13" fillId="0" borderId="50" xfId="0" applyNumberFormat="1" applyFont="1" applyBorder="1"/>
    <xf numFmtId="170" fontId="48" fillId="0" borderId="0" xfId="0" applyNumberFormat="1" applyFont="1"/>
    <xf numFmtId="172" fontId="35" fillId="5" borderId="0" xfId="1" applyNumberFormat="1" applyFont="1" applyFill="1"/>
    <xf numFmtId="172" fontId="35" fillId="5" borderId="0" xfId="0" applyNumberFormat="1" applyFont="1" applyFill="1"/>
    <xf numFmtId="172" fontId="51" fillId="0" borderId="0" xfId="1" applyNumberFormat="1" applyFont="1" applyBorder="1"/>
    <xf numFmtId="9" fontId="49" fillId="0" borderId="0" xfId="0" applyNumberFormat="1" applyFont="1"/>
    <xf numFmtId="9" fontId="49" fillId="0" borderId="26" xfId="0" applyNumberFormat="1" applyFont="1" applyBorder="1"/>
    <xf numFmtId="9" fontId="48" fillId="5" borderId="0" xfId="0" applyNumberFormat="1" applyFont="1" applyFill="1"/>
    <xf numFmtId="172" fontId="37" fillId="0" borderId="0" xfId="1" applyNumberFormat="1" applyFont="1" applyFill="1" applyBorder="1"/>
    <xf numFmtId="0" fontId="13" fillId="0" borderId="22" xfId="0" applyFont="1" applyBorder="1"/>
    <xf numFmtId="172" fontId="37" fillId="0" borderId="22" xfId="1" applyNumberFormat="1" applyFont="1" applyBorder="1"/>
    <xf numFmtId="172" fontId="37" fillId="0" borderId="51" xfId="1" applyNumberFormat="1" applyFont="1" applyBorder="1"/>
    <xf numFmtId="172" fontId="13" fillId="0" borderId="22" xfId="0" applyNumberFormat="1" applyFont="1" applyBorder="1"/>
    <xf numFmtId="172" fontId="44" fillId="0" borderId="0" xfId="1" applyNumberFormat="1" applyFont="1" applyBorder="1"/>
    <xf numFmtId="172" fontId="44" fillId="0" borderId="26" xfId="1" applyNumberFormat="1" applyFont="1" applyBorder="1"/>
    <xf numFmtId="172" fontId="44" fillId="0" borderId="22" xfId="1" applyNumberFormat="1" applyFont="1" applyFill="1" applyBorder="1"/>
    <xf numFmtId="172" fontId="44" fillId="0" borderId="51" xfId="1" applyNumberFormat="1" applyFont="1" applyFill="1" applyBorder="1"/>
    <xf numFmtId="172" fontId="41" fillId="0" borderId="22" xfId="0" applyNumberFormat="1" applyFont="1" applyBorder="1"/>
    <xf numFmtId="172" fontId="41" fillId="0" borderId="0" xfId="0" applyNumberFormat="1" applyFont="1"/>
    <xf numFmtId="0" fontId="35" fillId="5" borderId="0" xfId="0" applyFont="1" applyFill="1" applyAlignment="1">
      <alignment horizontal="right"/>
    </xf>
    <xf numFmtId="14" fontId="35" fillId="5" borderId="0" xfId="0" applyNumberFormat="1" applyFont="1" applyFill="1" applyAlignment="1">
      <alignment horizontal="right"/>
    </xf>
    <xf numFmtId="165" fontId="4" fillId="2" borderId="2" xfId="0" applyNumberFormat="1" applyFont="1" applyFill="1" applyBorder="1"/>
    <xf numFmtId="168" fontId="0" fillId="0" borderId="2" xfId="1" applyNumberFormat="1" applyFont="1" applyBorder="1" applyAlignment="1">
      <alignment horizontal="right"/>
    </xf>
    <xf numFmtId="0" fontId="0" fillId="0" borderId="2" xfId="0" applyBorder="1" applyAlignment="1">
      <alignment horizontal="right"/>
    </xf>
    <xf numFmtId="0" fontId="13" fillId="11" borderId="2" xfId="0" applyFont="1" applyFill="1" applyBorder="1" applyAlignment="1">
      <alignment horizontal="right"/>
    </xf>
    <xf numFmtId="0" fontId="13" fillId="0" borderId="2" xfId="0" applyFont="1" applyBorder="1" applyAlignment="1">
      <alignment horizontal="right"/>
    </xf>
    <xf numFmtId="10" fontId="0" fillId="0" borderId="2" xfId="2" applyNumberFormat="1" applyFont="1" applyBorder="1" applyAlignment="1">
      <alignment horizontal="right"/>
    </xf>
    <xf numFmtId="10" fontId="13" fillId="0" borderId="2" xfId="0" applyNumberFormat="1" applyFont="1" applyBorder="1" applyAlignment="1">
      <alignment horizontal="right"/>
    </xf>
    <xf numFmtId="39" fontId="0" fillId="0" borderId="2" xfId="1" applyNumberFormat="1" applyFont="1" applyBorder="1" applyAlignment="1">
      <alignment horizontal="right"/>
    </xf>
    <xf numFmtId="168" fontId="0" fillId="3" borderId="0" xfId="1" applyNumberFormat="1" applyFont="1" applyFill="1" applyAlignment="1">
      <alignment horizontal="right"/>
    </xf>
    <xf numFmtId="0" fontId="13" fillId="3" borderId="0" xfId="0" applyFont="1" applyFill="1" applyAlignment="1">
      <alignment horizontal="right"/>
    </xf>
    <xf numFmtId="10" fontId="0" fillId="3" borderId="0" xfId="2" applyNumberFormat="1" applyFont="1" applyFill="1" applyAlignment="1">
      <alignment horizontal="right"/>
    </xf>
    <xf numFmtId="10" fontId="13"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0" fontId="53" fillId="0" borderId="0" xfId="0" applyFont="1"/>
    <xf numFmtId="37" fontId="46" fillId="0" borderId="0" xfId="1" applyNumberFormat="1" applyFont="1" applyFill="1" applyBorder="1"/>
    <xf numFmtId="37" fontId="46"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6" fontId="6" fillId="2" borderId="0" xfId="0" applyNumberFormat="1" applyFont="1" applyFill="1" applyAlignment="1">
      <alignment horizontal="right"/>
    </xf>
    <xf numFmtId="165" fontId="6" fillId="2" borderId="0" xfId="0" applyNumberFormat="1" applyFont="1" applyFill="1" applyAlignment="1">
      <alignment horizontal="right"/>
    </xf>
    <xf numFmtId="165" fontId="6" fillId="2" borderId="2" xfId="0" applyNumberFormat="1" applyFont="1" applyFill="1" applyBorder="1" applyAlignment="1">
      <alignment horizontal="right"/>
    </xf>
    <xf numFmtId="168" fontId="0" fillId="0" borderId="0" xfId="1" applyNumberFormat="1" applyFont="1" applyBorder="1" applyAlignment="1">
      <alignment horizontal="right"/>
    </xf>
    <xf numFmtId="0" fontId="54" fillId="0" borderId="0" xfId="5" applyFont="1"/>
    <xf numFmtId="0" fontId="29" fillId="0" borderId="0" xfId="5" applyFont="1"/>
    <xf numFmtId="0" fontId="29" fillId="5" borderId="0" xfId="5" applyFont="1" applyFill="1"/>
    <xf numFmtId="0" fontId="54" fillId="0" borderId="0" xfId="5" applyFont="1" applyAlignment="1">
      <alignment vertical="center"/>
    </xf>
    <xf numFmtId="0" fontId="13" fillId="0" borderId="8" xfId="0" applyFont="1" applyBorder="1"/>
    <xf numFmtId="172" fontId="37" fillId="0" borderId="8" xfId="1" applyNumberFormat="1" applyFont="1" applyFill="1" applyBorder="1"/>
    <xf numFmtId="172" fontId="37" fillId="0" borderId="23" xfId="1" applyNumberFormat="1" applyFont="1" applyFill="1" applyBorder="1"/>
    <xf numFmtId="172" fontId="13" fillId="0" borderId="8" xfId="0" applyNumberFormat="1" applyFont="1" applyBorder="1"/>
    <xf numFmtId="172" fontId="42" fillId="0" borderId="8" xfId="0" applyNumberFormat="1" applyFont="1" applyBorder="1"/>
    <xf numFmtId="0" fontId="29" fillId="0" borderId="0" xfId="5" applyFont="1" applyAlignment="1">
      <alignment vertical="center"/>
    </xf>
    <xf numFmtId="0" fontId="55" fillId="2" borderId="0" xfId="5" applyFont="1" applyFill="1" applyAlignment="1">
      <alignment horizontal="center" vertical="center"/>
    </xf>
    <xf numFmtId="0" fontId="56" fillId="2" borderId="21" xfId="5" applyFont="1" applyFill="1" applyBorder="1" applyAlignment="1">
      <alignment horizontal="center" vertical="center" wrapText="1"/>
    </xf>
    <xf numFmtId="0" fontId="56" fillId="2" borderId="56" xfId="5" applyFont="1" applyFill="1" applyBorder="1" applyAlignment="1">
      <alignment horizontal="center" vertical="center" wrapText="1"/>
    </xf>
    <xf numFmtId="0" fontId="56" fillId="2" borderId="0" xfId="5" applyFont="1" applyFill="1" applyAlignment="1">
      <alignment horizontal="center" vertical="center" wrapText="1"/>
    </xf>
    <xf numFmtId="0" fontId="56" fillId="2" borderId="26" xfId="5" applyFont="1" applyFill="1" applyBorder="1" applyAlignment="1">
      <alignment horizontal="center" vertical="center" wrapText="1"/>
    </xf>
    <xf numFmtId="0" fontId="57" fillId="5" borderId="21" xfId="5" applyFont="1" applyFill="1" applyBorder="1"/>
    <xf numFmtId="0" fontId="57" fillId="5" borderId="56" xfId="5" applyFont="1" applyFill="1" applyBorder="1"/>
    <xf numFmtId="0" fontId="57" fillId="5" borderId="0" xfId="5" applyFont="1" applyFill="1"/>
    <xf numFmtId="0" fontId="57" fillId="5" borderId="26" xfId="5" applyFont="1" applyFill="1" applyBorder="1"/>
    <xf numFmtId="2" fontId="29" fillId="5" borderId="0" xfId="2" applyNumberFormat="1" applyFont="1" applyFill="1" applyBorder="1" applyAlignment="1">
      <alignment horizontal="center" vertical="center"/>
    </xf>
    <xf numFmtId="10" fontId="7" fillId="3" borderId="24" xfId="2" applyNumberFormat="1" applyFont="1" applyFill="1" applyBorder="1"/>
    <xf numFmtId="164" fontId="41" fillId="0" borderId="0" xfId="0" applyNumberFormat="1" applyFont="1"/>
    <xf numFmtId="0" fontId="31" fillId="0" borderId="0" xfId="0" applyFont="1"/>
    <xf numFmtId="165" fontId="16" fillId="0" borderId="38" xfId="0" applyNumberFormat="1" applyFont="1" applyBorder="1" applyAlignment="1">
      <alignment horizontal="center"/>
    </xf>
    <xf numFmtId="2" fontId="3" fillId="0" borderId="0" xfId="0" applyNumberFormat="1" applyFont="1" applyAlignment="1">
      <alignment horizontal="center"/>
    </xf>
    <xf numFmtId="0" fontId="10" fillId="0" borderId="0" xfId="5" applyFont="1"/>
    <xf numFmtId="0" fontId="4" fillId="4" borderId="0" xfId="5" applyFont="1" applyFill="1" applyAlignment="1">
      <alignment vertical="center" wrapText="1"/>
    </xf>
    <xf numFmtId="0" fontId="4" fillId="2" borderId="0" xfId="5" applyFont="1" applyFill="1"/>
    <xf numFmtId="0" fontId="4" fillId="2" borderId="0" xfId="5" applyFont="1" applyFill="1" applyAlignment="1">
      <alignment horizontal="center"/>
    </xf>
    <xf numFmtId="0" fontId="4" fillId="0" borderId="0" xfId="5" applyFont="1"/>
    <xf numFmtId="0" fontId="4" fillId="0" borderId="55" xfId="5" applyFont="1" applyBorder="1"/>
    <xf numFmtId="0" fontId="5" fillId="0" borderId="55" xfId="5" applyFont="1" applyBorder="1"/>
    <xf numFmtId="0" fontId="4" fillId="5" borderId="54" xfId="5" applyFont="1" applyFill="1" applyBorder="1"/>
    <xf numFmtId="0" fontId="4" fillId="0" borderId="54" xfId="5" applyFont="1" applyBorder="1"/>
    <xf numFmtId="0" fontId="10" fillId="0" borderId="0" xfId="5" applyFont="1" applyAlignment="1">
      <alignment vertical="center"/>
    </xf>
    <xf numFmtId="0" fontId="7" fillId="0" borderId="0" xfId="5" applyFont="1" applyAlignment="1">
      <alignment vertical="center"/>
    </xf>
    <xf numFmtId="0" fontId="32" fillId="0" borderId="0" xfId="5" applyFont="1" applyAlignment="1">
      <alignment vertical="center"/>
    </xf>
    <xf numFmtId="173" fontId="10" fillId="0" borderId="0" xfId="5" applyNumberFormat="1" applyFont="1" applyAlignment="1">
      <alignment vertical="center"/>
    </xf>
    <xf numFmtId="4" fontId="10" fillId="0" borderId="0" xfId="5" applyNumberFormat="1" applyFont="1" applyAlignment="1">
      <alignment vertical="center"/>
    </xf>
    <xf numFmtId="4" fontId="10" fillId="0" borderId="0" xfId="5" applyNumberFormat="1" applyFont="1" applyAlignment="1">
      <alignment horizontal="center" vertical="center"/>
    </xf>
    <xf numFmtId="2" fontId="10" fillId="0" borderId="0" xfId="2" applyNumberFormat="1" applyFont="1" applyBorder="1" applyAlignment="1">
      <alignment horizontal="center" vertical="center"/>
    </xf>
    <xf numFmtId="2" fontId="10" fillId="0" borderId="0" xfId="5" applyNumberFormat="1" applyFont="1" applyAlignment="1">
      <alignment vertical="center"/>
    </xf>
    <xf numFmtId="3" fontId="10" fillId="0" borderId="0" xfId="5" applyNumberFormat="1" applyFont="1" applyAlignment="1">
      <alignment vertical="center"/>
    </xf>
    <xf numFmtId="10" fontId="10" fillId="0" borderId="0" xfId="5" applyNumberFormat="1" applyFont="1" applyAlignment="1">
      <alignment vertical="center"/>
    </xf>
    <xf numFmtId="174" fontId="32" fillId="0" borderId="0" xfId="5" applyNumberFormat="1" applyFont="1" applyAlignment="1">
      <alignment vertical="center"/>
    </xf>
    <xf numFmtId="170" fontId="10" fillId="0" borderId="0" xfId="5" applyNumberFormat="1" applyFont="1" applyAlignment="1">
      <alignment vertical="center"/>
    </xf>
    <xf numFmtId="0" fontId="7" fillId="0" borderId="0" xfId="5" applyFont="1"/>
    <xf numFmtId="0" fontId="32" fillId="0" borderId="0" xfId="5" applyFont="1"/>
    <xf numFmtId="173" fontId="10" fillId="0" borderId="0" xfId="5" applyNumberFormat="1" applyFont="1"/>
    <xf numFmtId="4" fontId="10" fillId="0" borderId="0" xfId="5" applyNumberFormat="1" applyFont="1"/>
    <xf numFmtId="4" fontId="10" fillId="0" borderId="0" xfId="5" applyNumberFormat="1" applyFont="1" applyAlignment="1">
      <alignment horizontal="center"/>
    </xf>
    <xf numFmtId="9" fontId="10" fillId="0" borderId="0" xfId="2" applyFont="1" applyBorder="1" applyAlignment="1"/>
    <xf numFmtId="3" fontId="10" fillId="0" borderId="0" xfId="5" applyNumberFormat="1" applyFont="1"/>
    <xf numFmtId="2" fontId="10" fillId="0" borderId="0" xfId="5" applyNumberFormat="1" applyFont="1"/>
    <xf numFmtId="10" fontId="10" fillId="0" borderId="0" xfId="5" applyNumberFormat="1" applyFont="1"/>
    <xf numFmtId="174" fontId="32" fillId="0" borderId="0" xfId="5" applyNumberFormat="1" applyFont="1"/>
    <xf numFmtId="170" fontId="10" fillId="0" borderId="0" xfId="5" applyNumberFormat="1" applyFont="1"/>
    <xf numFmtId="0" fontId="7" fillId="0" borderId="0" xfId="5" applyFont="1" applyAlignment="1">
      <alignment vertical="center" wrapText="1"/>
    </xf>
    <xf numFmtId="2" fontId="10" fillId="0" borderId="0" xfId="2" applyNumberFormat="1" applyFont="1" applyFill="1" applyBorder="1" applyAlignment="1"/>
    <xf numFmtId="9" fontId="10" fillId="0" borderId="0" xfId="2" applyFont="1" applyFill="1" applyBorder="1" applyAlignment="1"/>
    <xf numFmtId="0" fontId="10" fillId="5" borderId="0" xfId="5" applyFont="1" applyFill="1"/>
    <xf numFmtId="9" fontId="10" fillId="0" borderId="0" xfId="5" applyNumberFormat="1" applyFont="1"/>
    <xf numFmtId="0" fontId="5" fillId="2" borderId="0" xfId="5" applyFont="1" applyFill="1"/>
    <xf numFmtId="0" fontId="5" fillId="0" borderId="0" xfId="5" applyFont="1"/>
    <xf numFmtId="0" fontId="4" fillId="2" borderId="0" xfId="5" applyFont="1" applyFill="1" applyAlignment="1">
      <alignment horizontal="left"/>
    </xf>
    <xf numFmtId="0" fontId="4" fillId="5" borderId="0" xfId="5" applyFont="1" applyFill="1" applyAlignment="1">
      <alignment horizontal="left"/>
    </xf>
    <xf numFmtId="0" fontId="5" fillId="5" borderId="0" xfId="5" applyFont="1" applyFill="1"/>
    <xf numFmtId="3" fontId="10" fillId="0" borderId="0" xfId="5" applyNumberFormat="1" applyFont="1" applyAlignment="1">
      <alignment horizontal="center"/>
    </xf>
    <xf numFmtId="174" fontId="10" fillId="0" borderId="0" xfId="5" applyNumberFormat="1" applyFont="1" applyAlignment="1">
      <alignment horizontal="center"/>
    </xf>
    <xf numFmtId="0" fontId="10" fillId="0" borderId="0" xfId="5" applyFont="1" applyAlignment="1">
      <alignment horizontal="center"/>
    </xf>
    <xf numFmtId="0" fontId="4" fillId="2" borderId="0" xfId="5" applyFont="1" applyFill="1" applyAlignment="1">
      <alignment horizontal="center" vertical="center"/>
    </xf>
    <xf numFmtId="0" fontId="10" fillId="5" borderId="0" xfId="5" applyFont="1" applyFill="1" applyAlignment="1">
      <alignment horizontal="center"/>
    </xf>
    <xf numFmtId="0" fontId="2" fillId="0" borderId="0" xfId="0" applyFont="1"/>
    <xf numFmtId="170" fontId="10" fillId="0" borderId="0" xfId="5" applyNumberFormat="1" applyFont="1" applyAlignment="1">
      <alignment horizontal="center"/>
    </xf>
    <xf numFmtId="168" fontId="2" fillId="0" borderId="0" xfId="1" applyNumberFormat="1" applyFont="1" applyAlignment="1">
      <alignment horizontal="center"/>
    </xf>
    <xf numFmtId="10" fontId="32" fillId="3" borderId="0" xfId="5" applyNumberFormat="1" applyFont="1" applyFill="1" applyAlignment="1">
      <alignment horizontal="center"/>
    </xf>
    <xf numFmtId="10" fontId="10" fillId="0" borderId="0" xfId="5" applyNumberFormat="1" applyFont="1" applyAlignment="1">
      <alignment horizontal="center"/>
    </xf>
    <xf numFmtId="0" fontId="5" fillId="2" borderId="0" xfId="5" applyFont="1" applyFill="1" applyAlignment="1">
      <alignment horizontal="left"/>
    </xf>
    <xf numFmtId="0" fontId="5" fillId="5" borderId="0" xfId="5" applyFont="1" applyFill="1" applyAlignment="1">
      <alignment horizontal="left"/>
    </xf>
    <xf numFmtId="1" fontId="10" fillId="4" borderId="8" xfId="8" applyNumberFormat="1" applyFont="1" applyFill="1" applyBorder="1" applyAlignment="1">
      <alignment horizontal="left" vertical="center"/>
    </xf>
    <xf numFmtId="0" fontId="10" fillId="0" borderId="8" xfId="5" applyFont="1" applyBorder="1"/>
    <xf numFmtId="37" fontId="28" fillId="0" borderId="18" xfId="8" applyNumberFormat="1" applyFont="1" applyBorder="1" applyAlignment="1">
      <alignment horizontal="center"/>
    </xf>
    <xf numFmtId="37" fontId="32" fillId="3" borderId="57" xfId="8" applyNumberFormat="1" applyFont="1" applyFill="1" applyBorder="1" applyAlignment="1">
      <alignment horizontal="center"/>
    </xf>
    <xf numFmtId="37" fontId="32" fillId="3" borderId="23" xfId="8" applyNumberFormat="1" applyFont="1" applyFill="1" applyBorder="1" applyAlignment="1">
      <alignment horizontal="center"/>
    </xf>
    <xf numFmtId="37" fontId="32" fillId="3" borderId="8" xfId="5" applyNumberFormat="1" applyFont="1" applyFill="1" applyBorder="1" applyAlignment="1">
      <alignment horizontal="center"/>
    </xf>
    <xf numFmtId="1" fontId="10" fillId="4" borderId="0" xfId="8" applyNumberFormat="1" applyFont="1" applyFill="1" applyAlignment="1">
      <alignment horizontal="left" vertical="center"/>
    </xf>
    <xf numFmtId="37" fontId="28" fillId="0" borderId="21" xfId="8" applyNumberFormat="1" applyFont="1" applyBorder="1" applyAlignment="1">
      <alignment horizontal="center"/>
    </xf>
    <xf numFmtId="37" fontId="32" fillId="3" borderId="56" xfId="8" applyNumberFormat="1" applyFont="1" applyFill="1" applyBorder="1" applyAlignment="1">
      <alignment horizontal="center"/>
    </xf>
    <xf numFmtId="37" fontId="32" fillId="3" borderId="26" xfId="8" applyNumberFormat="1" applyFont="1" applyFill="1" applyBorder="1" applyAlignment="1">
      <alignment horizontal="center"/>
    </xf>
    <xf numFmtId="37" fontId="32" fillId="3" borderId="0" xfId="5" applyNumberFormat="1" applyFont="1" applyFill="1" applyAlignment="1">
      <alignment horizontal="center"/>
    </xf>
    <xf numFmtId="37" fontId="32" fillId="3" borderId="56" xfId="8" applyNumberFormat="1" applyFont="1" applyFill="1" applyBorder="1" applyAlignment="1">
      <alignment horizontal="center" wrapText="1"/>
    </xf>
    <xf numFmtId="1" fontId="2" fillId="4" borderId="0" xfId="8" applyNumberFormat="1" applyFont="1" applyFill="1" applyAlignment="1">
      <alignment horizontal="left"/>
    </xf>
    <xf numFmtId="1" fontId="2" fillId="0" borderId="0" xfId="8" applyNumberFormat="1" applyFont="1" applyAlignment="1">
      <alignment horizontal="left"/>
    </xf>
    <xf numFmtId="37" fontId="32" fillId="3" borderId="26" xfId="8" applyNumberFormat="1" applyFont="1" applyFill="1" applyBorder="1" applyAlignment="1">
      <alignment horizontal="center" wrapText="1"/>
    </xf>
    <xf numFmtId="37" fontId="7" fillId="3" borderId="0" xfId="5" applyNumberFormat="1" applyFont="1" applyFill="1" applyAlignment="1">
      <alignment horizontal="center"/>
    </xf>
    <xf numFmtId="39" fontId="32" fillId="3" borderId="56" xfId="8" applyNumberFormat="1" applyFont="1" applyFill="1" applyBorder="1" applyAlignment="1">
      <alignment horizontal="center" wrapText="1"/>
    </xf>
    <xf numFmtId="39" fontId="32" fillId="3" borderId="26" xfId="8" applyNumberFormat="1" applyFont="1" applyFill="1" applyBorder="1" applyAlignment="1">
      <alignment horizontal="center" wrapText="1"/>
    </xf>
    <xf numFmtId="39" fontId="32" fillId="3" borderId="0" xfId="5" applyNumberFormat="1" applyFont="1" applyFill="1" applyAlignment="1">
      <alignment horizontal="center"/>
    </xf>
    <xf numFmtId="1" fontId="28" fillId="0" borderId="21" xfId="8" applyNumberFormat="1" applyFont="1" applyBorder="1" applyAlignment="1">
      <alignment horizontal="center" wrapText="1"/>
    </xf>
    <xf numFmtId="1" fontId="28" fillId="0" borderId="56" xfId="8" applyNumberFormat="1" applyFont="1" applyBorder="1" applyAlignment="1">
      <alignment horizontal="center" wrapText="1"/>
    </xf>
    <xf numFmtId="1" fontId="28" fillId="0" borderId="26" xfId="8" applyNumberFormat="1" applyFont="1" applyBorder="1" applyAlignment="1">
      <alignment horizontal="center" wrapText="1"/>
    </xf>
    <xf numFmtId="0" fontId="10" fillId="2" borderId="21" xfId="5" applyFont="1" applyFill="1" applyBorder="1"/>
    <xf numFmtId="0" fontId="10" fillId="2" borderId="56" xfId="5" applyFont="1" applyFill="1" applyBorder="1"/>
    <xf numFmtId="0" fontId="10" fillId="2" borderId="26" xfId="5" applyFont="1" applyFill="1" applyBorder="1"/>
    <xf numFmtId="0" fontId="10" fillId="2" borderId="0" xfId="5" applyFont="1" applyFill="1" applyAlignment="1">
      <alignment horizontal="center"/>
    </xf>
    <xf numFmtId="0" fontId="10" fillId="5" borderId="21" xfId="5" applyFont="1" applyFill="1" applyBorder="1"/>
    <xf numFmtId="0" fontId="10" fillId="5" borderId="56" xfId="5" applyFont="1" applyFill="1" applyBorder="1"/>
    <xf numFmtId="0" fontId="10" fillId="5" borderId="26" xfId="5" applyFont="1" applyFill="1" applyBorder="1"/>
    <xf numFmtId="0" fontId="10" fillId="0" borderId="56" xfId="5" applyFont="1" applyBorder="1"/>
    <xf numFmtId="37" fontId="28" fillId="0" borderId="56" xfId="8" applyNumberFormat="1" applyFont="1" applyBorder="1" applyAlignment="1">
      <alignment horizontal="center"/>
    </xf>
    <xf numFmtId="0" fontId="36" fillId="0" borderId="0" xfId="0" applyFont="1" applyAlignment="1">
      <alignment horizontal="left" indent="1"/>
    </xf>
    <xf numFmtId="172" fontId="31" fillId="0" borderId="0" xfId="1" applyNumberFormat="1" applyFont="1" applyBorder="1"/>
    <xf numFmtId="0" fontId="36" fillId="0" borderId="22" xfId="0" applyFont="1" applyBorder="1"/>
    <xf numFmtId="37" fontId="8" fillId="4" borderId="0" xfId="0" applyNumberFormat="1" applyFont="1" applyFill="1" applyAlignment="1">
      <alignment horizontal="right"/>
    </xf>
    <xf numFmtId="0" fontId="2" fillId="0" borderId="9" xfId="10" applyFont="1" applyBorder="1"/>
    <xf numFmtId="0" fontId="2" fillId="0" borderId="9" xfId="10" applyFont="1" applyBorder="1" applyAlignment="1">
      <alignment horizontal="right"/>
    </xf>
    <xf numFmtId="14" fontId="4" fillId="2" borderId="0" xfId="0" applyNumberFormat="1" applyFont="1" applyFill="1" applyAlignment="1">
      <alignment horizontal="right"/>
    </xf>
    <xf numFmtId="39" fontId="7" fillId="0" borderId="0" xfId="0" applyNumberFormat="1" applyFont="1" applyAlignment="1">
      <alignment horizontal="right"/>
    </xf>
    <xf numFmtId="172" fontId="13" fillId="0" borderId="58" xfId="0" applyNumberFormat="1" applyFont="1" applyBorder="1"/>
    <xf numFmtId="0" fontId="4" fillId="2" borderId="59" xfId="5" applyFont="1" applyFill="1" applyBorder="1" applyAlignment="1">
      <alignment horizontal="center"/>
    </xf>
    <xf numFmtId="0" fontId="4" fillId="5" borderId="61" xfId="5" applyFont="1" applyFill="1" applyBorder="1"/>
    <xf numFmtId="170" fontId="29" fillId="0" borderId="0" xfId="5" applyNumberFormat="1" applyFont="1" applyAlignment="1">
      <alignment horizontal="center" vertical="center"/>
    </xf>
    <xf numFmtId="170" fontId="29" fillId="0" borderId="59" xfId="5" applyNumberFormat="1" applyFont="1" applyBorder="1" applyAlignment="1">
      <alignment horizontal="center" vertical="center"/>
    </xf>
    <xf numFmtId="0" fontId="29" fillId="0" borderId="59" xfId="5" applyFont="1" applyBorder="1"/>
    <xf numFmtId="170" fontId="10" fillId="0" borderId="0" xfId="5" applyNumberFormat="1" applyFont="1" applyAlignment="1">
      <alignment horizontal="center" vertical="center"/>
    </xf>
    <xf numFmtId="170" fontId="10" fillId="0" borderId="59" xfId="5" applyNumberFormat="1" applyFont="1" applyBorder="1" applyAlignment="1">
      <alignment horizontal="center" vertical="center"/>
    </xf>
    <xf numFmtId="170" fontId="29" fillId="5" borderId="0" xfId="5" applyNumberFormat="1" applyFont="1" applyFill="1" applyAlignment="1">
      <alignment horizontal="center" vertical="center"/>
    </xf>
    <xf numFmtId="170" fontId="29" fillId="5" borderId="59" xfId="5" applyNumberFormat="1" applyFont="1" applyFill="1" applyBorder="1" applyAlignment="1">
      <alignment horizontal="center" vertical="center"/>
    </xf>
    <xf numFmtId="170" fontId="10" fillId="5" borderId="0" xfId="5" applyNumberFormat="1" applyFont="1" applyFill="1" applyAlignment="1">
      <alignment horizontal="center" vertical="center"/>
    </xf>
    <xf numFmtId="170" fontId="10" fillId="5" borderId="59" xfId="5" applyNumberFormat="1" applyFont="1" applyFill="1" applyBorder="1" applyAlignment="1">
      <alignment horizontal="center" vertical="center"/>
    </xf>
    <xf numFmtId="0" fontId="4" fillId="2" borderId="62" xfId="5" applyFont="1" applyFill="1" applyBorder="1" applyAlignment="1">
      <alignment horizontal="center"/>
    </xf>
    <xf numFmtId="0" fontId="4" fillId="5" borderId="64" xfId="5" applyFont="1" applyFill="1" applyBorder="1"/>
    <xf numFmtId="170" fontId="29" fillId="4" borderId="62" xfId="5" applyNumberFormat="1" applyFont="1" applyFill="1" applyBorder="1" applyAlignment="1">
      <alignment horizontal="center" vertical="center"/>
    </xf>
    <xf numFmtId="170" fontId="29" fillId="4" borderId="59" xfId="5" applyNumberFormat="1" applyFont="1" applyFill="1" applyBorder="1" applyAlignment="1">
      <alignment horizontal="center" vertical="center"/>
    </xf>
    <xf numFmtId="173" fontId="10" fillId="4" borderId="62" xfId="5" applyNumberFormat="1" applyFont="1" applyFill="1" applyBorder="1"/>
    <xf numFmtId="173" fontId="10" fillId="4" borderId="59" xfId="5" applyNumberFormat="1" applyFont="1" applyFill="1" applyBorder="1"/>
    <xf numFmtId="170" fontId="10" fillId="0" borderId="62" xfId="5" applyNumberFormat="1" applyFont="1" applyBorder="1" applyAlignment="1">
      <alignment horizontal="center" vertical="center"/>
    </xf>
    <xf numFmtId="170" fontId="29" fillId="5" borderId="62" xfId="5" applyNumberFormat="1" applyFont="1" applyFill="1" applyBorder="1" applyAlignment="1">
      <alignment horizontal="center" vertical="center"/>
    </xf>
    <xf numFmtId="170" fontId="10" fillId="5" borderId="62" xfId="5" applyNumberFormat="1" applyFont="1" applyFill="1" applyBorder="1" applyAlignment="1">
      <alignment horizontal="center" vertical="center"/>
    </xf>
    <xf numFmtId="170" fontId="29" fillId="0" borderId="62" xfId="5" applyNumberFormat="1" applyFont="1" applyBorder="1" applyAlignment="1">
      <alignment horizontal="center" vertical="center"/>
    </xf>
    <xf numFmtId="173" fontId="10" fillId="0" borderId="62" xfId="5" applyNumberFormat="1" applyFont="1" applyBorder="1"/>
    <xf numFmtId="173" fontId="10" fillId="0" borderId="59" xfId="5" applyNumberFormat="1" applyFont="1" applyBorder="1"/>
    <xf numFmtId="170" fontId="10" fillId="0" borderId="62" xfId="2" applyNumberFormat="1" applyFont="1" applyBorder="1" applyAlignment="1">
      <alignment horizontal="center" vertical="center"/>
    </xf>
    <xf numFmtId="9" fontId="29" fillId="5" borderId="62" xfId="2" applyFont="1" applyFill="1" applyBorder="1" applyAlignment="1">
      <alignment horizontal="center" vertical="center"/>
    </xf>
    <xf numFmtId="9" fontId="29" fillId="5" borderId="59" xfId="2" applyFont="1" applyFill="1" applyBorder="1" applyAlignment="1">
      <alignment horizontal="center" vertical="center"/>
    </xf>
    <xf numFmtId="0" fontId="4" fillId="2" borderId="59" xfId="5" applyFont="1" applyFill="1" applyBorder="1"/>
    <xf numFmtId="2" fontId="10" fillId="0" borderId="62" xfId="5" applyNumberFormat="1" applyFont="1" applyBorder="1" applyAlignment="1">
      <alignment horizontal="center" vertical="center"/>
    </xf>
    <xf numFmtId="2" fontId="10" fillId="0" borderId="59" xfId="5" applyNumberFormat="1" applyFont="1" applyBorder="1" applyAlignment="1">
      <alignment horizontal="center" vertical="center"/>
    </xf>
    <xf numFmtId="2" fontId="29" fillId="5" borderId="62" xfId="2" applyNumberFormat="1" applyFont="1" applyFill="1" applyBorder="1" applyAlignment="1">
      <alignment horizontal="center" vertical="center"/>
    </xf>
    <xf numFmtId="2" fontId="29" fillId="5" borderId="59" xfId="2" applyNumberFormat="1" applyFont="1" applyFill="1" applyBorder="1" applyAlignment="1">
      <alignment horizontal="center" vertical="center"/>
    </xf>
    <xf numFmtId="2" fontId="10" fillId="5" borderId="59" xfId="5" applyNumberFormat="1" applyFont="1" applyFill="1" applyBorder="1" applyAlignment="1">
      <alignment horizontal="center" vertical="center"/>
    </xf>
    <xf numFmtId="0" fontId="4" fillId="2" borderId="62" xfId="5" applyFont="1" applyFill="1" applyBorder="1"/>
    <xf numFmtId="4" fontId="10" fillId="0" borderId="62" xfId="5" applyNumberFormat="1" applyFont="1" applyBorder="1" applyAlignment="1">
      <alignment horizontal="center" vertical="center"/>
    </xf>
    <xf numFmtId="2" fontId="10" fillId="0" borderId="59" xfId="2" applyNumberFormat="1" applyFont="1" applyBorder="1" applyAlignment="1">
      <alignment horizontal="center" vertical="center"/>
    </xf>
    <xf numFmtId="4" fontId="10" fillId="0" borderId="62" xfId="5" applyNumberFormat="1" applyFont="1" applyBorder="1" applyAlignment="1">
      <alignment horizontal="center"/>
    </xf>
    <xf numFmtId="2" fontId="10" fillId="0" borderId="59" xfId="2" applyNumberFormat="1" applyFont="1" applyBorder="1" applyAlignment="1">
      <alignment horizontal="center"/>
    </xf>
    <xf numFmtId="0" fontId="5" fillId="5" borderId="4" xfId="5" applyFont="1" applyFill="1" applyBorder="1"/>
    <xf numFmtId="2" fontId="10" fillId="0" borderId="4" xfId="5" applyNumberFormat="1" applyFont="1" applyBorder="1" applyAlignment="1">
      <alignment horizontal="center"/>
    </xf>
    <xf numFmtId="3" fontId="10" fillId="0" borderId="4" xfId="5" applyNumberFormat="1" applyFont="1" applyBorder="1" applyAlignment="1">
      <alignment horizontal="center"/>
    </xf>
    <xf numFmtId="0" fontId="5" fillId="5" borderId="1" xfId="5" applyFont="1" applyFill="1" applyBorder="1"/>
    <xf numFmtId="2" fontId="10" fillId="0" borderId="1" xfId="5" applyNumberFormat="1" applyFont="1" applyBorder="1" applyAlignment="1">
      <alignment horizontal="center"/>
    </xf>
    <xf numFmtId="0" fontId="5" fillId="5" borderId="65" xfId="5" applyFont="1" applyFill="1" applyBorder="1"/>
    <xf numFmtId="2" fontId="10" fillId="0" borderId="65" xfId="5" applyNumberFormat="1" applyFont="1" applyBorder="1" applyAlignment="1">
      <alignment horizontal="center"/>
    </xf>
    <xf numFmtId="170" fontId="10" fillId="0" borderId="0" xfId="2" applyNumberFormat="1" applyFont="1" applyAlignment="1">
      <alignment horizontal="center"/>
    </xf>
    <xf numFmtId="0" fontId="4" fillId="0" borderId="0" xfId="5" applyFont="1" applyAlignment="1">
      <alignment horizontal="center"/>
    </xf>
    <xf numFmtId="0" fontId="5" fillId="0" borderId="0" xfId="5" applyFont="1" applyAlignment="1">
      <alignment horizontal="center"/>
    </xf>
    <xf numFmtId="2" fontId="5" fillId="0" borderId="0" xfId="2" applyNumberFormat="1" applyFont="1" applyFill="1" applyBorder="1" applyAlignment="1"/>
    <xf numFmtId="2" fontId="5" fillId="0" borderId="0" xfId="5" applyNumberFormat="1" applyFont="1"/>
    <xf numFmtId="174" fontId="5" fillId="0" borderId="0" xfId="5" applyNumberFormat="1" applyFont="1" applyAlignment="1">
      <alignment horizontal="center"/>
    </xf>
    <xf numFmtId="2" fontId="29" fillId="0" borderId="62" xfId="5" applyNumberFormat="1" applyFont="1" applyBorder="1" applyAlignment="1">
      <alignment horizontal="center" vertical="center"/>
    </xf>
    <xf numFmtId="2" fontId="29" fillId="0" borderId="59" xfId="5" applyNumberFormat="1" applyFont="1" applyBorder="1" applyAlignment="1">
      <alignment horizontal="center" vertical="center"/>
    </xf>
    <xf numFmtId="4" fontId="29" fillId="0" borderId="62" xfId="5" applyNumberFormat="1" applyFont="1" applyBorder="1" applyAlignment="1">
      <alignment horizontal="center" vertical="center"/>
    </xf>
    <xf numFmtId="2" fontId="29" fillId="0" borderId="59" xfId="2" applyNumberFormat="1" applyFont="1" applyBorder="1" applyAlignment="1">
      <alignment horizontal="center" vertical="center"/>
    </xf>
    <xf numFmtId="2" fontId="29" fillId="0" borderId="0" xfId="2" applyNumberFormat="1" applyFont="1" applyBorder="1" applyAlignment="1">
      <alignment horizontal="center" vertical="center"/>
    </xf>
    <xf numFmtId="4" fontId="29" fillId="0" borderId="0" xfId="5" applyNumberFormat="1" applyFont="1" applyAlignment="1">
      <alignment horizontal="center" vertical="center"/>
    </xf>
    <xf numFmtId="2" fontId="10" fillId="5" borderId="0" xfId="5" applyNumberFormat="1" applyFont="1" applyFill="1" applyAlignment="1">
      <alignment horizontal="center" vertical="center"/>
    </xf>
    <xf numFmtId="0" fontId="7" fillId="0" borderId="55" xfId="5" applyFont="1" applyBorder="1" applyAlignment="1">
      <alignment vertical="center"/>
    </xf>
    <xf numFmtId="0" fontId="32" fillId="0" borderId="55" xfId="5" applyFont="1" applyBorder="1" applyAlignment="1">
      <alignment vertical="center"/>
    </xf>
    <xf numFmtId="170" fontId="10" fillId="0" borderId="55" xfId="5" applyNumberFormat="1" applyFont="1" applyBorder="1" applyAlignment="1">
      <alignment horizontal="center" vertical="center"/>
    </xf>
    <xf numFmtId="170" fontId="10" fillId="0" borderId="60" xfId="5" applyNumberFormat="1" applyFont="1" applyBorder="1" applyAlignment="1">
      <alignment horizontal="center" vertical="center"/>
    </xf>
    <xf numFmtId="170" fontId="10" fillId="0" borderId="63" xfId="5" applyNumberFormat="1" applyFont="1" applyBorder="1" applyAlignment="1">
      <alignment horizontal="center" vertical="center"/>
    </xf>
    <xf numFmtId="170" fontId="10" fillId="0" borderId="63" xfId="2" applyNumberFormat="1" applyFont="1" applyBorder="1" applyAlignment="1">
      <alignment horizontal="center" vertical="center"/>
    </xf>
    <xf numFmtId="2" fontId="10" fillId="0" borderId="63" xfId="5" applyNumberFormat="1" applyFont="1" applyBorder="1" applyAlignment="1">
      <alignment horizontal="center" vertical="center"/>
    </xf>
    <xf numFmtId="2" fontId="10" fillId="0" borderId="60" xfId="5" applyNumberFormat="1" applyFont="1" applyBorder="1" applyAlignment="1">
      <alignment horizontal="center" vertical="center"/>
    </xf>
    <xf numFmtId="4" fontId="10" fillId="0" borderId="63" xfId="5" applyNumberFormat="1" applyFont="1" applyBorder="1" applyAlignment="1">
      <alignment horizontal="center" vertical="center"/>
    </xf>
    <xf numFmtId="2" fontId="10" fillId="0" borderId="60" xfId="2" applyNumberFormat="1" applyFont="1" applyBorder="1" applyAlignment="1">
      <alignment horizontal="center" vertical="center"/>
    </xf>
    <xf numFmtId="2" fontId="10" fillId="0" borderId="55" xfId="2" applyNumberFormat="1" applyFont="1" applyBorder="1" applyAlignment="1">
      <alignment horizontal="center" vertical="center"/>
    </xf>
    <xf numFmtId="4" fontId="10" fillId="0" borderId="55" xfId="5" applyNumberFormat="1" applyFont="1" applyBorder="1" applyAlignment="1">
      <alignment horizontal="center" vertical="center"/>
    </xf>
    <xf numFmtId="0" fontId="60" fillId="0" borderId="0" xfId="0" applyFont="1"/>
    <xf numFmtId="0" fontId="61" fillId="0" borderId="0" xfId="0" applyFont="1"/>
    <xf numFmtId="0" fontId="60" fillId="5" borderId="0" xfId="0" applyFont="1" applyFill="1"/>
    <xf numFmtId="0" fontId="62" fillId="0" borderId="0" xfId="0" applyFont="1" applyAlignment="1">
      <alignment horizontal="left" indent="2"/>
    </xf>
    <xf numFmtId="0" fontId="60" fillId="2" borderId="0" xfId="0" applyFont="1" applyFill="1"/>
    <xf numFmtId="0" fontId="61" fillId="2" borderId="0" xfId="0" applyFont="1" applyFill="1"/>
    <xf numFmtId="0" fontId="61" fillId="5" borderId="0" xfId="0" applyFont="1" applyFill="1"/>
    <xf numFmtId="0" fontId="63" fillId="0" borderId="0" xfId="0" applyFont="1"/>
    <xf numFmtId="0" fontId="64" fillId="0" borderId="0" xfId="0" applyFont="1"/>
    <xf numFmtId="0" fontId="4" fillId="2" borderId="0" xfId="0" applyFont="1" applyFill="1" applyAlignment="1">
      <alignment horizontal="right"/>
    </xf>
    <xf numFmtId="0" fontId="4" fillId="2" borderId="5" xfId="0" applyFont="1" applyFill="1" applyBorder="1" applyAlignment="1">
      <alignment horizontal="right"/>
    </xf>
    <xf numFmtId="166" fontId="4" fillId="2" borderId="5" xfId="0" applyNumberFormat="1" applyFont="1" applyFill="1" applyBorder="1" applyAlignment="1">
      <alignment horizontal="right"/>
    </xf>
    <xf numFmtId="171" fontId="11" fillId="0" borderId="0" xfId="0" applyNumberFormat="1" applyFont="1" applyAlignment="1">
      <alignment horizontal="right"/>
    </xf>
    <xf numFmtId="170" fontId="11" fillId="0" borderId="5" xfId="2" applyNumberFormat="1" applyFont="1" applyBorder="1" applyAlignment="1">
      <alignment horizontal="right"/>
    </xf>
    <xf numFmtId="171" fontId="11" fillId="0" borderId="5" xfId="2" applyNumberFormat="1" applyFont="1" applyBorder="1" applyAlignment="1">
      <alignment horizontal="right"/>
    </xf>
    <xf numFmtId="171" fontId="11" fillId="0" borderId="5" xfId="1" applyNumberFormat="1" applyFont="1" applyBorder="1" applyAlignment="1">
      <alignment horizontal="right"/>
    </xf>
    <xf numFmtId="3" fontId="11" fillId="0" borderId="5" xfId="0" applyNumberFormat="1" applyFont="1" applyBorder="1" applyAlignment="1">
      <alignment horizontal="right"/>
    </xf>
    <xf numFmtId="170" fontId="11" fillId="0" borderId="66" xfId="2" applyNumberFormat="1" applyFont="1" applyBorder="1" applyAlignment="1">
      <alignment horizontal="right"/>
    </xf>
    <xf numFmtId="3" fontId="11" fillId="0" borderId="4" xfId="2" applyNumberFormat="1" applyFont="1" applyBorder="1" applyAlignment="1">
      <alignment horizontal="right"/>
    </xf>
    <xf numFmtId="3" fontId="11" fillId="0" borderId="0" xfId="2" applyNumberFormat="1" applyFont="1" applyBorder="1" applyAlignment="1">
      <alignment horizontal="right"/>
    </xf>
    <xf numFmtId="3" fontId="11" fillId="0" borderId="53" xfId="0" applyNumberFormat="1" applyFont="1" applyBorder="1" applyAlignment="1">
      <alignment horizontal="right"/>
    </xf>
    <xf numFmtId="170" fontId="11" fillId="0" borderId="6" xfId="2" applyNumberFormat="1" applyFont="1" applyBorder="1" applyAlignment="1">
      <alignment horizontal="right"/>
    </xf>
    <xf numFmtId="3" fontId="11" fillId="0" borderId="53" xfId="2" applyNumberFormat="1" applyFont="1" applyBorder="1" applyAlignment="1">
      <alignment horizontal="right"/>
    </xf>
    <xf numFmtId="3" fontId="11" fillId="0" borderId="7" xfId="2" applyNumberFormat="1" applyFont="1" applyBorder="1" applyAlignment="1">
      <alignment horizontal="right"/>
    </xf>
    <xf numFmtId="3" fontId="11" fillId="3" borderId="0" xfId="0" applyNumberFormat="1" applyFont="1" applyFill="1" applyAlignment="1">
      <alignment horizontal="right"/>
    </xf>
    <xf numFmtId="170" fontId="11" fillId="3" borderId="66" xfId="2" applyNumberFormat="1" applyFont="1" applyFill="1" applyBorder="1" applyAlignment="1">
      <alignment horizontal="right"/>
    </xf>
    <xf numFmtId="3" fontId="11" fillId="3" borderId="4" xfId="2" applyNumberFormat="1" applyFont="1" applyFill="1" applyBorder="1" applyAlignment="1">
      <alignment horizontal="right"/>
    </xf>
    <xf numFmtId="178" fontId="0" fillId="0" borderId="0" xfId="0" applyNumberFormat="1"/>
    <xf numFmtId="0" fontId="17" fillId="5" borderId="67" xfId="0" applyFont="1" applyFill="1" applyBorder="1"/>
    <xf numFmtId="0" fontId="17" fillId="5" borderId="68" xfId="0" applyFont="1" applyFill="1" applyBorder="1"/>
    <xf numFmtId="0" fontId="4" fillId="2" borderId="0" xfId="0" applyFont="1" applyFill="1" applyAlignment="1">
      <alignment horizontal="left"/>
    </xf>
    <xf numFmtId="0" fontId="7" fillId="0" borderId="0" xfId="0" applyFont="1" applyAlignment="1">
      <alignment vertical="center" wrapText="1"/>
    </xf>
    <xf numFmtId="10" fontId="0" fillId="0" borderId="8" xfId="0" applyNumberFormat="1" applyBorder="1"/>
    <xf numFmtId="169" fontId="5" fillId="0" borderId="0" xfId="0" applyNumberFormat="1" applyFont="1"/>
    <xf numFmtId="170" fontId="13" fillId="5" borderId="27" xfId="2" applyNumberFormat="1" applyFont="1" applyFill="1" applyBorder="1"/>
    <xf numFmtId="170" fontId="13" fillId="5" borderId="28" xfId="2" applyNumberFormat="1" applyFont="1" applyFill="1" applyBorder="1"/>
    <xf numFmtId="170" fontId="12" fillId="5" borderId="29" xfId="2" applyNumberFormat="1" applyFont="1" applyFill="1" applyBorder="1"/>
    <xf numFmtId="170" fontId="12" fillId="5" borderId="30" xfId="2" applyNumberFormat="1" applyFont="1" applyFill="1" applyBorder="1"/>
    <xf numFmtId="170" fontId="13" fillId="5" borderId="29" xfId="2" applyNumberFormat="1" applyFont="1" applyFill="1" applyBorder="1"/>
    <xf numFmtId="170" fontId="13" fillId="5" borderId="30" xfId="2" applyNumberFormat="1" applyFont="1" applyFill="1" applyBorder="1"/>
    <xf numFmtId="1" fontId="35" fillId="5" borderId="25" xfId="0" applyNumberFormat="1" applyFont="1" applyFill="1" applyBorder="1" applyAlignment="1">
      <alignment horizontal="center"/>
    </xf>
    <xf numFmtId="10" fontId="12" fillId="5" borderId="25" xfId="2" applyNumberFormat="1" applyFont="1" applyFill="1" applyBorder="1" applyAlignment="1">
      <alignment horizontal="center"/>
    </xf>
    <xf numFmtId="10" fontId="36" fillId="5" borderId="25" xfId="0" applyNumberFormat="1" applyFont="1" applyFill="1" applyBorder="1" applyAlignment="1">
      <alignment horizontal="center"/>
    </xf>
    <xf numFmtId="10" fontId="37" fillId="5" borderId="25" xfId="0" applyNumberFormat="1" applyFont="1" applyFill="1" applyBorder="1" applyAlignment="1">
      <alignment horizontal="center"/>
    </xf>
    <xf numFmtId="10" fontId="35" fillId="5" borderId="25" xfId="0" applyNumberFormat="1" applyFont="1" applyFill="1" applyBorder="1" applyAlignment="1">
      <alignment horizontal="center"/>
    </xf>
    <xf numFmtId="10" fontId="36" fillId="5" borderId="25" xfId="2" applyNumberFormat="1" applyFont="1" applyFill="1" applyBorder="1" applyAlignment="1">
      <alignment horizontal="center"/>
    </xf>
    <xf numFmtId="10" fontId="0" fillId="0" borderId="8" xfId="2" applyNumberFormat="1" applyFont="1" applyBorder="1"/>
    <xf numFmtId="0" fontId="65" fillId="0" borderId="0" xfId="0" applyFont="1" applyAlignment="1">
      <alignment horizontal="left" vertical="top" indent="1"/>
    </xf>
    <xf numFmtId="0" fontId="8" fillId="0" borderId="0" xfId="5" applyFont="1"/>
    <xf numFmtId="171" fontId="11" fillId="0" borderId="52" xfId="1" applyNumberFormat="1" applyFont="1" applyBorder="1" applyAlignment="1">
      <alignment horizontal="right"/>
    </xf>
    <xf numFmtId="0" fontId="4" fillId="2" borderId="0" xfId="5" applyFont="1" applyFill="1" applyAlignment="1">
      <alignment horizontal="left" vertical="center"/>
    </xf>
    <xf numFmtId="0" fontId="4" fillId="2" borderId="0" xfId="5" applyFont="1" applyFill="1" applyAlignment="1">
      <alignment vertical="center"/>
    </xf>
    <xf numFmtId="0" fontId="2" fillId="0" borderId="0" xfId="0" applyFont="1" applyAlignment="1">
      <alignment vertical="center"/>
    </xf>
    <xf numFmtId="0" fontId="4" fillId="2" borderId="0" xfId="5" applyFont="1" applyFill="1" applyAlignment="1">
      <alignment horizontal="center" wrapText="1"/>
    </xf>
    <xf numFmtId="0" fontId="60" fillId="0" borderId="10" xfId="0" applyFont="1" applyBorder="1"/>
    <xf numFmtId="166" fontId="4" fillId="0" borderId="10" xfId="0" applyNumberFormat="1" applyFont="1" applyBorder="1"/>
    <xf numFmtId="168" fontId="0" fillId="0" borderId="10" xfId="1" applyNumberFormat="1" applyFont="1" applyFill="1" applyBorder="1" applyAlignment="1">
      <alignment horizontal="right"/>
    </xf>
    <xf numFmtId="0" fontId="0" fillId="0" borderId="10" xfId="0" applyBorder="1"/>
    <xf numFmtId="165" fontId="4" fillId="0" borderId="10" xfId="0" applyNumberFormat="1" applyFont="1" applyBorder="1"/>
    <xf numFmtId="0" fontId="67" fillId="0" borderId="0" xfId="3" applyFont="1" applyBorder="1" applyAlignment="1"/>
    <xf numFmtId="49" fontId="59" fillId="0" borderId="0" xfId="0" applyNumberFormat="1" applyFont="1"/>
    <xf numFmtId="0" fontId="0" fillId="0" borderId="47" xfId="0" applyBorder="1"/>
    <xf numFmtId="0" fontId="0" fillId="0" borderId="43" xfId="0" applyBorder="1"/>
    <xf numFmtId="0" fontId="0" fillId="0" borderId="13" xfId="0" applyBorder="1"/>
    <xf numFmtId="0" fontId="0" fillId="0" borderId="15" xfId="0" applyBorder="1"/>
    <xf numFmtId="172" fontId="13" fillId="0" borderId="74" xfId="0" applyNumberFormat="1" applyFont="1" applyBorder="1"/>
    <xf numFmtId="172" fontId="13" fillId="0" borderId="75" xfId="0" applyNumberFormat="1" applyFont="1" applyBorder="1"/>
    <xf numFmtId="172" fontId="12" fillId="0" borderId="0" xfId="0" applyNumberFormat="1" applyFont="1"/>
    <xf numFmtId="9" fontId="12"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76" xfId="0" applyBorder="1"/>
    <xf numFmtId="0" fontId="17" fillId="0" borderId="0" xfId="0" applyFont="1"/>
    <xf numFmtId="10" fontId="0" fillId="0" borderId="15" xfId="2" applyNumberFormat="1" applyFont="1" applyBorder="1"/>
    <xf numFmtId="0" fontId="3" fillId="0" borderId="12" xfId="0" applyFont="1" applyBorder="1"/>
    <xf numFmtId="10" fontId="2" fillId="0" borderId="14" xfId="2" applyNumberFormat="1" applyFont="1" applyBorder="1"/>
    <xf numFmtId="10" fontId="2" fillId="0" borderId="16" xfId="2" applyNumberFormat="1" applyFont="1" applyBorder="1"/>
    <xf numFmtId="179" fontId="0" fillId="0" borderId="0" xfId="0" applyNumberFormat="1"/>
    <xf numFmtId="0" fontId="17" fillId="0" borderId="9" xfId="0" applyFont="1" applyBorder="1"/>
    <xf numFmtId="0" fontId="0" fillId="0" borderId="0" xfId="0" applyAlignment="1">
      <alignment horizontal="left" vertical="top" wrapText="1"/>
    </xf>
    <xf numFmtId="0" fontId="18" fillId="0" borderId="8" xfId="0" applyFont="1" applyBorder="1"/>
    <xf numFmtId="9" fontId="13" fillId="11" borderId="0" xfId="0" applyNumberFormat="1" applyFont="1" applyFill="1"/>
    <xf numFmtId="9" fontId="13" fillId="11" borderId="0" xfId="0" applyNumberFormat="1" applyFont="1" applyFill="1" applyAlignment="1">
      <alignment horizontal="right"/>
    </xf>
    <xf numFmtId="9" fontId="13" fillId="11" borderId="0" xfId="0" applyNumberFormat="1" applyFont="1" applyFill="1" applyAlignment="1">
      <alignment horizontal="center"/>
    </xf>
    <xf numFmtId="0" fontId="0" fillId="3" borderId="0" xfId="0" applyFill="1"/>
    <xf numFmtId="0" fontId="32" fillId="3" borderId="0" xfId="0" applyFont="1" applyFill="1"/>
    <xf numFmtId="9" fontId="0" fillId="3" borderId="0" xfId="2" applyFont="1" applyFill="1"/>
    <xf numFmtId="37" fontId="28" fillId="0" borderId="0" xfId="8" applyNumberFormat="1" applyFont="1" applyAlignment="1">
      <alignment horizontal="center"/>
    </xf>
    <xf numFmtId="37" fontId="32" fillId="0" borderId="0" xfId="8" applyNumberFormat="1" applyFont="1" applyAlignment="1">
      <alignment horizontal="center" wrapText="1"/>
    </xf>
    <xf numFmtId="37" fontId="32" fillId="0" borderId="0" xfId="5" applyNumberFormat="1" applyFont="1" applyAlignment="1">
      <alignment horizontal="center"/>
    </xf>
    <xf numFmtId="37" fontId="28" fillId="0" borderId="17" xfId="8" applyNumberFormat="1" applyFont="1" applyBorder="1" applyAlignment="1">
      <alignment horizontal="center"/>
    </xf>
    <xf numFmtId="0" fontId="10" fillId="2" borderId="46" xfId="5" applyFont="1" applyFill="1" applyBorder="1"/>
    <xf numFmtId="0" fontId="10" fillId="5" borderId="17" xfId="5" applyFont="1" applyFill="1" applyBorder="1"/>
    <xf numFmtId="37" fontId="32" fillId="3" borderId="45" xfId="8" applyNumberFormat="1" applyFont="1" applyFill="1" applyBorder="1" applyAlignment="1">
      <alignment horizontal="center" wrapText="1"/>
    </xf>
    <xf numFmtId="0" fontId="10" fillId="2" borderId="45" xfId="5" applyFont="1" applyFill="1" applyBorder="1"/>
    <xf numFmtId="0" fontId="10" fillId="5" borderId="45" xfId="5" applyFont="1" applyFill="1" applyBorder="1"/>
    <xf numFmtId="0" fontId="56" fillId="2" borderId="17" xfId="5" applyFont="1" applyFill="1" applyBorder="1" applyAlignment="1">
      <alignment horizontal="center" vertical="center" wrapText="1"/>
    </xf>
    <xf numFmtId="0" fontId="57" fillId="5" borderId="17" xfId="5" applyFont="1" applyFill="1" applyBorder="1"/>
    <xf numFmtId="37" fontId="32" fillId="3" borderId="77" xfId="8" applyNumberFormat="1" applyFont="1" applyFill="1" applyBorder="1" applyAlignment="1">
      <alignment horizontal="center"/>
    </xf>
    <xf numFmtId="37" fontId="32" fillId="3" borderId="17" xfId="8" applyNumberFormat="1" applyFont="1" applyFill="1" applyBorder="1" applyAlignment="1">
      <alignment horizontal="center"/>
    </xf>
    <xf numFmtId="37" fontId="32" fillId="3" borderId="17" xfId="8" applyNumberFormat="1" applyFont="1" applyFill="1" applyBorder="1" applyAlignment="1">
      <alignment horizontal="center" wrapText="1"/>
    </xf>
    <xf numFmtId="39" fontId="32" fillId="3" borderId="17" xfId="8" applyNumberFormat="1" applyFont="1" applyFill="1" applyBorder="1" applyAlignment="1">
      <alignment horizontal="center" wrapText="1"/>
    </xf>
    <xf numFmtId="1" fontId="28" fillId="0" borderId="17" xfId="8" applyNumberFormat="1" applyFont="1" applyBorder="1" applyAlignment="1">
      <alignment horizontal="center" wrapText="1"/>
    </xf>
    <xf numFmtId="0" fontId="10" fillId="2" borderId="17" xfId="5" applyFont="1" applyFill="1" applyBorder="1"/>
    <xf numFmtId="0" fontId="56" fillId="2" borderId="45" xfId="5" applyFont="1" applyFill="1" applyBorder="1" applyAlignment="1">
      <alignment horizontal="center" vertical="center" wrapText="1"/>
    </xf>
    <xf numFmtId="0" fontId="57" fillId="5" borderId="45" xfId="5" applyFont="1" applyFill="1" applyBorder="1"/>
    <xf numFmtId="37" fontId="32" fillId="3" borderId="78" xfId="8" applyNumberFormat="1" applyFont="1" applyFill="1" applyBorder="1" applyAlignment="1">
      <alignment horizontal="center"/>
    </xf>
    <xf numFmtId="37" fontId="32" fillId="3" borderId="45" xfId="8" applyNumberFormat="1" applyFont="1" applyFill="1" applyBorder="1" applyAlignment="1">
      <alignment horizontal="center"/>
    </xf>
    <xf numFmtId="39" fontId="32" fillId="3" borderId="45" xfId="8" applyNumberFormat="1" applyFont="1" applyFill="1" applyBorder="1" applyAlignment="1">
      <alignment horizontal="center" wrapText="1"/>
    </xf>
    <xf numFmtId="1" fontId="28" fillId="0" borderId="45" xfId="8" applyNumberFormat="1" applyFont="1" applyBorder="1" applyAlignment="1">
      <alignment horizontal="center" wrapText="1"/>
    </xf>
    <xf numFmtId="37" fontId="7" fillId="3" borderId="45" xfId="8" applyNumberFormat="1" applyFont="1" applyFill="1" applyBorder="1" applyAlignment="1">
      <alignment horizontal="center" wrapText="1"/>
    </xf>
    <xf numFmtId="168" fontId="10" fillId="0" borderId="0" xfId="5" applyNumberFormat="1" applyFont="1" applyAlignment="1">
      <alignment horizontal="center"/>
    </xf>
    <xf numFmtId="10" fontId="10" fillId="0" borderId="0" xfId="2" applyNumberFormat="1" applyFont="1" applyAlignment="1">
      <alignment horizontal="center"/>
    </xf>
    <xf numFmtId="2" fontId="10" fillId="0" borderId="0" xfId="2" applyNumberFormat="1" applyFont="1" applyAlignment="1">
      <alignment horizontal="center"/>
    </xf>
    <xf numFmtId="0" fontId="10" fillId="3" borderId="0" xfId="0" applyFont="1" applyFill="1"/>
    <xf numFmtId="0" fontId="0" fillId="0" borderId="8" xfId="0" applyBorder="1" applyAlignment="1">
      <alignment horizontal="center"/>
    </xf>
    <xf numFmtId="9" fontId="0" fillId="0" borderId="0" xfId="2" applyFont="1" applyAlignment="1">
      <alignment horizontal="center"/>
    </xf>
    <xf numFmtId="9" fontId="0" fillId="3" borderId="0" xfId="2" applyFont="1" applyFill="1" applyAlignment="1">
      <alignment horizontal="center"/>
    </xf>
    <xf numFmtId="172" fontId="20" fillId="0" borderId="0" xfId="0" applyNumberFormat="1" applyFont="1"/>
    <xf numFmtId="0" fontId="19" fillId="8" borderId="0" xfId="5" applyFont="1" applyFill="1" applyAlignment="1">
      <alignment horizontal="center" vertical="center"/>
    </xf>
    <xf numFmtId="0" fontId="68" fillId="13" borderId="0" xfId="0" applyFont="1" applyFill="1"/>
    <xf numFmtId="0" fontId="69" fillId="13" borderId="0" xfId="0" applyFont="1" applyFill="1"/>
    <xf numFmtId="0" fontId="69" fillId="14" borderId="0" xfId="0" applyFont="1" applyFill="1"/>
    <xf numFmtId="0" fontId="8" fillId="0" borderId="0" xfId="0" applyFont="1"/>
    <xf numFmtId="4" fontId="0" fillId="0" borderId="0" xfId="0" applyNumberFormat="1"/>
    <xf numFmtId="4" fontId="8" fillId="0" borderId="0" xfId="0" applyNumberFormat="1" applyFont="1"/>
    <xf numFmtId="0" fontId="2" fillId="2" borderId="0" xfId="0" applyFont="1" applyFill="1"/>
    <xf numFmtId="0" fontId="2" fillId="5" borderId="0" xfId="0" applyFont="1" applyFill="1"/>
    <xf numFmtId="0" fontId="2" fillId="0" borderId="10" xfId="0" applyFont="1" applyBorder="1"/>
    <xf numFmtId="0" fontId="2" fillId="0" borderId="10" xfId="0" applyFont="1" applyBorder="1" applyAlignment="1">
      <alignment horizontal="left" vertical="top" wrapText="1"/>
    </xf>
    <xf numFmtId="0" fontId="8" fillId="0" borderId="0" xfId="3" applyFont="1" applyBorder="1"/>
    <xf numFmtId="0" fontId="2" fillId="0" borderId="0" xfId="0" applyFont="1" applyAlignment="1">
      <alignment vertical="top" wrapText="1"/>
    </xf>
    <xf numFmtId="0" fontId="2" fillId="0" borderId="10" xfId="0" applyFont="1" applyBorder="1" applyAlignment="1">
      <alignment vertical="top" wrapText="1"/>
    </xf>
    <xf numFmtId="0" fontId="16" fillId="5" borderId="0" xfId="0" applyFont="1" applyFill="1"/>
    <xf numFmtId="0" fontId="2" fillId="0" borderId="0" xfId="0" applyFont="1" applyAlignment="1">
      <alignment wrapText="1"/>
    </xf>
    <xf numFmtId="0" fontId="8" fillId="0" borderId="0" xfId="0" applyFont="1" applyAlignment="1">
      <alignment horizontal="left" indent="1"/>
    </xf>
    <xf numFmtId="0" fontId="2" fillId="0" borderId="8" xfId="0" applyFont="1" applyBorder="1"/>
    <xf numFmtId="10" fontId="2" fillId="0" borderId="0" xfId="0" applyNumberFormat="1" applyFont="1"/>
    <xf numFmtId="0" fontId="2" fillId="0" borderId="0" xfId="0" applyFont="1" applyAlignment="1">
      <alignment indent="1"/>
    </xf>
    <xf numFmtId="3" fontId="2" fillId="0" borderId="0" xfId="0" applyNumberFormat="1" applyFont="1"/>
    <xf numFmtId="0" fontId="2" fillId="0" borderId="0" xfId="0" applyFont="1" applyAlignment="1">
      <alignment horizontal="left" indent="1"/>
    </xf>
    <xf numFmtId="3" fontId="11" fillId="0" borderId="0" xfId="1" applyNumberFormat="1" applyFont="1" applyFill="1" applyBorder="1" applyAlignment="1">
      <alignment horizontal="right"/>
    </xf>
    <xf numFmtId="0" fontId="4" fillId="0" borderId="0" xfId="0" applyFont="1"/>
    <xf numFmtId="0" fontId="5" fillId="0" borderId="0" xfId="0" applyFont="1"/>
    <xf numFmtId="165" fontId="4" fillId="0" borderId="0" xfId="0" applyNumberFormat="1" applyFont="1"/>
    <xf numFmtId="0" fontId="3" fillId="0" borderId="0" xfId="0" applyFont="1" applyAlignment="1">
      <alignment vertical="center"/>
    </xf>
    <xf numFmtId="170" fontId="12" fillId="0" borderId="0" xfId="4" applyNumberFormat="1" applyFont="1" applyAlignment="1"/>
    <xf numFmtId="0" fontId="29" fillId="2" borderId="0" xfId="5" applyFont="1" applyFill="1"/>
    <xf numFmtId="1" fontId="14" fillId="0" borderId="0" xfId="5" applyNumberFormat="1" applyAlignment="1">
      <alignment vertical="center"/>
    </xf>
    <xf numFmtId="1" fontId="3" fillId="8" borderId="11" xfId="0" applyNumberFormat="1" applyFont="1" applyFill="1" applyBorder="1"/>
    <xf numFmtId="0" fontId="3" fillId="6" borderId="0" xfId="0" applyFont="1" applyFill="1"/>
    <xf numFmtId="0" fontId="70" fillId="0" borderId="0" xfId="0" applyFont="1"/>
    <xf numFmtId="0" fontId="71" fillId="0" borderId="9" xfId="0" applyFont="1" applyBorder="1"/>
    <xf numFmtId="0" fontId="0" fillId="0" borderId="79" xfId="0" applyBorder="1"/>
    <xf numFmtId="0" fontId="3" fillId="0" borderId="12" xfId="0" applyFont="1" applyBorder="1" applyAlignment="1">
      <alignment horizontal="center"/>
    </xf>
    <xf numFmtId="1" fontId="0" fillId="0" borderId="15" xfId="2" applyNumberFormat="1" applyFont="1" applyBorder="1"/>
    <xf numFmtId="1" fontId="2" fillId="0" borderId="14" xfId="2" applyNumberFormat="1" applyFont="1" applyBorder="1"/>
    <xf numFmtId="1" fontId="2" fillId="0" borderId="16" xfId="2" applyNumberFormat="1" applyFont="1" applyBorder="1"/>
    <xf numFmtId="1" fontId="2" fillId="0" borderId="14" xfId="2" applyNumberFormat="1" applyFont="1" applyFill="1" applyBorder="1"/>
    <xf numFmtId="0" fontId="16" fillId="5" borderId="0" xfId="0" applyFont="1" applyFill="1" applyAlignment="1">
      <alignment vertical="center"/>
    </xf>
    <xf numFmtId="0" fontId="72" fillId="0" borderId="0" xfId="0" applyFont="1"/>
    <xf numFmtId="176" fontId="0" fillId="0" borderId="16" xfId="0" applyNumberFormat="1" applyBorder="1"/>
    <xf numFmtId="0" fontId="17" fillId="5" borderId="0" xfId="0" applyFont="1" applyFill="1"/>
    <xf numFmtId="10" fontId="0" fillId="0" borderId="14" xfId="2" applyNumberFormat="1" applyFont="1" applyFill="1" applyBorder="1"/>
    <xf numFmtId="170" fontId="0" fillId="0" borderId="0" xfId="2" applyNumberFormat="1" applyFont="1" applyAlignment="1">
      <alignment horizontal="center"/>
    </xf>
    <xf numFmtId="170" fontId="0" fillId="0" borderId="15" xfId="2" applyNumberFormat="1" applyFont="1" applyBorder="1" applyAlignment="1">
      <alignment horizontal="center"/>
    </xf>
    <xf numFmtId="170" fontId="0" fillId="0" borderId="15" xfId="2" applyNumberFormat="1" applyFont="1" applyBorder="1"/>
    <xf numFmtId="171" fontId="11" fillId="3" borderId="5" xfId="1" applyNumberFormat="1" applyFont="1" applyFill="1" applyBorder="1" applyAlignment="1">
      <alignment horizontal="right"/>
    </xf>
    <xf numFmtId="2" fontId="2" fillId="0" borderId="0" xfId="1" applyNumberFormat="1" applyFont="1" applyAlignment="1">
      <alignment horizontal="center"/>
    </xf>
    <xf numFmtId="2" fontId="10" fillId="0" borderId="0" xfId="5" applyNumberFormat="1" applyFont="1" applyAlignment="1">
      <alignment horizontal="center"/>
    </xf>
    <xf numFmtId="2" fontId="32" fillId="3" borderId="0" xfId="0" applyNumberFormat="1" applyFont="1" applyFill="1" applyAlignment="1">
      <alignment horizontal="right"/>
    </xf>
    <xf numFmtId="180" fontId="6" fillId="2" borderId="0" xfId="0" applyNumberFormat="1" applyFont="1" applyFill="1" applyAlignment="1">
      <alignment horizontal="right"/>
    </xf>
    <xf numFmtId="0" fontId="2" fillId="0" borderId="0" xfId="0" applyFont="1" applyAlignment="1">
      <alignment horizontal="center"/>
    </xf>
    <xf numFmtId="176" fontId="0" fillId="0" borderId="0" xfId="0" applyNumberFormat="1"/>
    <xf numFmtId="0" fontId="3" fillId="0" borderId="13" xfId="0" applyFont="1" applyBorder="1"/>
    <xf numFmtId="10" fontId="0" fillId="0" borderId="0" xfId="2" applyNumberFormat="1" applyFont="1" applyBorder="1"/>
    <xf numFmtId="0" fontId="0" fillId="0" borderId="14" xfId="0" applyBorder="1"/>
    <xf numFmtId="176" fontId="0" fillId="0" borderId="15" xfId="0" applyNumberFormat="1" applyBorder="1"/>
    <xf numFmtId="0" fontId="3" fillId="0" borderId="14" xfId="0" applyFont="1" applyBorder="1"/>
    <xf numFmtId="176" fontId="3" fillId="0" borderId="0" xfId="0" applyNumberFormat="1" applyFont="1"/>
    <xf numFmtId="170" fontId="2" fillId="0" borderId="0" xfId="2" applyNumberFormat="1" applyFont="1"/>
    <xf numFmtId="3" fontId="10" fillId="0" borderId="0" xfId="0" applyNumberFormat="1" applyFont="1"/>
    <xf numFmtId="14" fontId="0" fillId="0" borderId="0" xfId="0" applyNumberFormat="1"/>
    <xf numFmtId="0" fontId="0" fillId="0" borderId="0" xfId="0" applyAlignment="1">
      <alignment wrapText="1"/>
    </xf>
    <xf numFmtId="14" fontId="0" fillId="0" borderId="0" xfId="0" applyNumberFormat="1" applyAlignment="1">
      <alignment wrapText="1"/>
    </xf>
    <xf numFmtId="3" fontId="0" fillId="0" borderId="0" xfId="0" applyNumberFormat="1" applyAlignment="1">
      <alignment wrapText="1"/>
    </xf>
    <xf numFmtId="4" fontId="0" fillId="0" borderId="0" xfId="0" applyNumberFormat="1" applyAlignment="1">
      <alignment wrapText="1"/>
    </xf>
    <xf numFmtId="0" fontId="65" fillId="0" borderId="8" xfId="0" applyFont="1" applyBorder="1" applyAlignment="1">
      <alignment horizontal="left" vertical="top" indent="1"/>
    </xf>
    <xf numFmtId="0" fontId="9" fillId="0" borderId="0" xfId="3" applyAlignment="1">
      <alignment horizontal="left" indent="1"/>
    </xf>
    <xf numFmtId="4" fontId="0" fillId="3" borderId="24" xfId="2" applyNumberFormat="1" applyFont="1" applyFill="1" applyBorder="1"/>
    <xf numFmtId="0" fontId="32" fillId="3" borderId="0" xfId="0" applyFont="1" applyFill="1" applyAlignment="1">
      <alignment horizontal="center"/>
    </xf>
    <xf numFmtId="4" fontId="32" fillId="0" borderId="0" xfId="0" applyNumberFormat="1" applyFont="1" applyAlignment="1">
      <alignment horizontal="center"/>
    </xf>
    <xf numFmtId="0" fontId="32" fillId="0" borderId="0" xfId="0" applyFont="1" applyAlignment="1">
      <alignment horizontal="center"/>
    </xf>
    <xf numFmtId="4" fontId="0" fillId="0" borderId="0" xfId="0" applyNumberFormat="1" applyAlignment="1">
      <alignment horizontal="center"/>
    </xf>
    <xf numFmtId="177" fontId="32" fillId="0" borderId="0" xfId="0" applyNumberFormat="1" applyFont="1" applyAlignment="1">
      <alignment horizontal="center"/>
    </xf>
    <xf numFmtId="4" fontId="32" fillId="3" borderId="0" xfId="0" applyNumberFormat="1" applyFont="1" applyFill="1" applyAlignment="1">
      <alignment horizontal="center"/>
    </xf>
    <xf numFmtId="0" fontId="11" fillId="0" borderId="0" xfId="0" applyFont="1" applyAlignment="1">
      <alignment wrapText="1"/>
    </xf>
    <xf numFmtId="0" fontId="0" fillId="0" borderId="0" xfId="0" applyAlignment="1">
      <alignment horizontal="left" vertical="center" indent="1"/>
    </xf>
    <xf numFmtId="1" fontId="14" fillId="8" borderId="0" xfId="5" applyNumberFormat="1" applyFill="1" applyAlignment="1">
      <alignment vertical="center"/>
    </xf>
    <xf numFmtId="0" fontId="3" fillId="7" borderId="0" xfId="0" applyFont="1" applyFill="1"/>
    <xf numFmtId="0" fontId="14" fillId="7" borderId="0" xfId="5" applyFill="1" applyAlignment="1">
      <alignment vertical="center"/>
    </xf>
    <xf numFmtId="173" fontId="3" fillId="8" borderId="0" xfId="0" applyNumberFormat="1" applyFont="1" applyFill="1"/>
    <xf numFmtId="9" fontId="3" fillId="8" borderId="0" xfId="0" applyNumberFormat="1" applyFont="1" applyFill="1" applyAlignment="1">
      <alignment horizontal="right"/>
    </xf>
    <xf numFmtId="0" fontId="19" fillId="8" borderId="0" xfId="5" applyFont="1" applyFill="1" applyAlignment="1">
      <alignment vertical="center"/>
    </xf>
    <xf numFmtId="14" fontId="9" fillId="0" borderId="11" xfId="3" applyNumberFormat="1" applyBorder="1"/>
    <xf numFmtId="0" fontId="3" fillId="0" borderId="0" xfId="0" applyFont="1" applyAlignment="1">
      <alignment horizontal="left" vertical="center" wrapText="1"/>
    </xf>
    <xf numFmtId="0" fontId="3" fillId="0" borderId="0" xfId="0" applyFont="1" applyAlignment="1">
      <alignment horizontal="left" vertical="center"/>
    </xf>
    <xf numFmtId="0" fontId="32" fillId="0" borderId="0" xfId="5" applyFont="1" applyAlignment="1">
      <alignment vertical="center" wrapText="1"/>
    </xf>
    <xf numFmtId="37" fontId="28" fillId="3" borderId="0" xfId="0" applyNumberFormat="1" applyFont="1" applyFill="1" applyAlignment="1">
      <alignment horizontal="right" vertical="center"/>
    </xf>
    <xf numFmtId="0" fontId="9" fillId="0" borderId="0" xfId="3" applyAlignment="1">
      <alignment wrapText="1"/>
    </xf>
    <xf numFmtId="0" fontId="9" fillId="0" borderId="0" xfId="3" applyAlignment="1">
      <alignment vertical="center"/>
    </xf>
    <xf numFmtId="0" fontId="3" fillId="4" borderId="0" xfId="0" applyFont="1" applyFill="1" applyAlignment="1">
      <alignment horizontal="center"/>
    </xf>
    <xf numFmtId="0" fontId="14" fillId="4" borderId="0" xfId="5" applyFill="1" applyAlignment="1">
      <alignment horizontal="center" vertical="center"/>
    </xf>
    <xf numFmtId="0" fontId="19" fillId="0" borderId="0" xfId="5" applyFont="1" applyAlignment="1">
      <alignment horizontal="center" vertical="center"/>
    </xf>
    <xf numFmtId="0" fontId="83" fillId="0" borderId="0" xfId="0" applyFont="1" applyAlignment="1">
      <alignment wrapText="1"/>
    </xf>
    <xf numFmtId="3" fontId="40" fillId="0" borderId="0" xfId="0" applyNumberFormat="1" applyFont="1" applyAlignment="1">
      <alignment wrapText="1"/>
    </xf>
    <xf numFmtId="37" fontId="0" fillId="3" borderId="26" xfId="0" applyNumberFormat="1" applyFill="1" applyBorder="1"/>
    <xf numFmtId="170" fontId="0" fillId="0" borderId="26" xfId="2" applyNumberFormat="1" applyFont="1" applyFill="1" applyBorder="1"/>
    <xf numFmtId="0" fontId="3" fillId="4" borderId="8" xfId="0" applyFont="1" applyFill="1" applyBorder="1" applyAlignment="1">
      <alignment wrapText="1"/>
    </xf>
    <xf numFmtId="0" fontId="84" fillId="0" borderId="0" xfId="0" applyFont="1" applyAlignment="1">
      <alignment horizontal="left" indent="1"/>
    </xf>
    <xf numFmtId="0" fontId="85" fillId="0" borderId="0" xfId="0" applyFont="1" applyAlignment="1">
      <alignment horizontal="left" indent="1"/>
    </xf>
    <xf numFmtId="10" fontId="84" fillId="0" borderId="0" xfId="2" applyNumberFormat="1" applyFont="1" applyFill="1" applyBorder="1" applyAlignment="1">
      <alignment horizontal="left" indent="1"/>
    </xf>
    <xf numFmtId="37" fontId="84" fillId="0" borderId="0" xfId="0" applyNumberFormat="1" applyFont="1" applyAlignment="1">
      <alignment horizontal="left" indent="1"/>
    </xf>
    <xf numFmtId="170" fontId="49" fillId="0" borderId="26" xfId="1" applyNumberFormat="1" applyFont="1" applyFill="1" applyBorder="1"/>
    <xf numFmtId="3" fontId="12" fillId="0" borderId="0" xfId="0" applyNumberFormat="1" applyFont="1" applyAlignment="1">
      <alignment wrapText="1"/>
    </xf>
    <xf numFmtId="170" fontId="13" fillId="0" borderId="0" xfId="2" applyNumberFormat="1" applyFont="1" applyFill="1" applyBorder="1"/>
    <xf numFmtId="170" fontId="46" fillId="0" borderId="0" xfId="2" applyNumberFormat="1" applyFont="1" applyBorder="1"/>
    <xf numFmtId="170" fontId="46" fillId="0" borderId="26" xfId="2" applyNumberFormat="1" applyFont="1" applyBorder="1"/>
    <xf numFmtId="1" fontId="13" fillId="0" borderId="22" xfId="0" applyNumberFormat="1" applyFont="1" applyBorder="1"/>
    <xf numFmtId="1" fontId="0" fillId="0" borderId="0" xfId="2" applyNumberFormat="1" applyFont="1" applyFill="1" applyAlignment="1">
      <alignment horizontal="right"/>
    </xf>
    <xf numFmtId="167" fontId="13" fillId="0" borderId="0" xfId="0" applyNumberFormat="1" applyFont="1"/>
    <xf numFmtId="3" fontId="11" fillId="0" borderId="0" xfId="1" applyNumberFormat="1" applyFont="1" applyAlignment="1">
      <alignment horizontal="right"/>
    </xf>
    <xf numFmtId="10" fontId="86" fillId="17" borderId="0" xfId="0" applyNumberFormat="1" applyFont="1" applyFill="1" applyAlignment="1">
      <alignment horizontal="center" wrapText="1"/>
    </xf>
    <xf numFmtId="10" fontId="32" fillId="3" borderId="0" xfId="5" applyNumberFormat="1" applyFont="1" applyFill="1" applyAlignment="1">
      <alignment horizontal="center" wrapText="1"/>
    </xf>
    <xf numFmtId="2" fontId="7" fillId="4" borderId="0" xfId="0" applyNumberFormat="1" applyFont="1" applyFill="1" applyAlignment="1">
      <alignment horizontal="right"/>
    </xf>
    <xf numFmtId="0" fontId="87" fillId="18" borderId="0" xfId="0" applyFont="1" applyFill="1"/>
    <xf numFmtId="0" fontId="88" fillId="0" borderId="0" xfId="0" applyFont="1"/>
    <xf numFmtId="170" fontId="25" fillId="0" borderId="0" xfId="2" applyNumberFormat="1" applyFont="1"/>
    <xf numFmtId="0" fontId="89" fillId="0" borderId="0" xfId="3" applyFont="1"/>
    <xf numFmtId="0" fontId="7" fillId="15" borderId="0" xfId="0" applyFont="1" applyFill="1" applyAlignment="1">
      <alignment horizontal="left" vertical="top" wrapText="1"/>
    </xf>
    <xf numFmtId="0" fontId="80" fillId="0" borderId="0" xfId="0" applyFont="1" applyAlignment="1">
      <alignment horizontal="center" vertical="center" wrapText="1"/>
    </xf>
    <xf numFmtId="0" fontId="82" fillId="0" borderId="0" xfId="0" applyFont="1" applyAlignment="1">
      <alignment horizontal="center" vertical="center" wrapText="1"/>
    </xf>
    <xf numFmtId="0" fontId="82" fillId="0" borderId="8" xfId="0" applyFont="1" applyBorder="1" applyAlignment="1">
      <alignment horizontal="center" vertical="center" wrapText="1"/>
    </xf>
    <xf numFmtId="0" fontId="66" fillId="0" borderId="70" xfId="0" applyFont="1" applyBorder="1" applyAlignment="1">
      <alignment horizontal="left" vertical="center" wrapText="1"/>
    </xf>
    <xf numFmtId="0" fontId="66" fillId="0" borderId="71" xfId="0" applyFont="1" applyBorder="1" applyAlignment="1">
      <alignment horizontal="left" vertical="center" wrapText="1"/>
    </xf>
    <xf numFmtId="0" fontId="66" fillId="0" borderId="0" xfId="0" applyFont="1" applyAlignment="1">
      <alignment horizontal="left" vertical="center" wrapText="1"/>
    </xf>
    <xf numFmtId="0" fontId="66" fillId="0" borderId="69" xfId="0" applyFont="1" applyBorder="1" applyAlignment="1">
      <alignment horizontal="left" vertical="center" wrapText="1"/>
    </xf>
    <xf numFmtId="0" fontId="33" fillId="0" borderId="72" xfId="0" applyFont="1" applyBorder="1" applyAlignment="1">
      <alignment horizontal="left" vertical="center" wrapText="1"/>
    </xf>
    <xf numFmtId="0" fontId="66" fillId="0" borderId="73" xfId="0" applyFont="1" applyBorder="1" applyAlignment="1">
      <alignment horizontal="left" vertical="center" wrapText="1"/>
    </xf>
    <xf numFmtId="0" fontId="2" fillId="0" borderId="0" xfId="0" applyFont="1" applyAlignment="1">
      <alignment horizontal="left" vertical="top" wrapText="1"/>
    </xf>
    <xf numFmtId="0" fontId="2" fillId="0" borderId="80" xfId="0" applyFont="1" applyBorder="1" applyAlignment="1">
      <alignment horizontal="center"/>
    </xf>
    <xf numFmtId="0" fontId="2" fillId="0" borderId="0" xfId="0" applyFont="1" applyAlignment="1">
      <alignment horizontal="center"/>
    </xf>
    <xf numFmtId="0" fontId="7" fillId="0" borderId="0" xfId="0" applyFont="1" applyAlignment="1">
      <alignment horizontal="left" vertical="center" wrapText="1"/>
    </xf>
    <xf numFmtId="0" fontId="0" fillId="0" borderId="0" xfId="0" applyAlignment="1">
      <alignment horizontal="left" vertical="center" wrapText="1"/>
    </xf>
    <xf numFmtId="0" fontId="36" fillId="0" borderId="0" xfId="0" applyFont="1" applyAlignment="1">
      <alignment horizontal="left" vertical="top" wrapText="1"/>
    </xf>
    <xf numFmtId="0" fontId="3" fillId="0" borderId="0" xfId="0" applyFont="1" applyAlignment="1">
      <alignment horizontal="left" vertical="center"/>
    </xf>
    <xf numFmtId="0" fontId="0" fillId="0" borderId="0" xfId="0" applyAlignment="1">
      <alignment horizontal="left" vertical="center"/>
    </xf>
    <xf numFmtId="0" fontId="0" fillId="0" borderId="0" xfId="0" applyAlignment="1">
      <alignment vertical="top" wrapText="1"/>
    </xf>
    <xf numFmtId="0" fontId="8" fillId="0" borderId="0" xfId="0" applyFont="1" applyAlignment="1">
      <alignment horizontal="left" vertical="center" wrapText="1"/>
    </xf>
    <xf numFmtId="0" fontId="3" fillId="0" borderId="0" xfId="0" applyFont="1" applyAlignment="1">
      <alignment horizontal="left" vertical="center" wrapText="1"/>
    </xf>
    <xf numFmtId="0" fontId="7" fillId="0" borderId="0" xfId="0" applyFont="1" applyAlignment="1">
      <alignment vertical="center" wrapText="1"/>
    </xf>
    <xf numFmtId="0" fontId="0" fillId="0" borderId="0" xfId="0" applyAlignment="1">
      <alignment vertical="center" wrapText="1"/>
    </xf>
    <xf numFmtId="0" fontId="6" fillId="2" borderId="0" xfId="0" applyFont="1" applyFill="1" applyAlignment="1">
      <alignment horizontal="center"/>
    </xf>
    <xf numFmtId="0" fontId="8" fillId="0" borderId="0" xfId="0" applyFont="1" applyAlignment="1">
      <alignment horizontal="left" vertical="center"/>
    </xf>
    <xf numFmtId="0" fontId="4" fillId="2" borderId="0" xfId="5" applyFont="1" applyFill="1" applyAlignment="1">
      <alignment horizontal="center" wrapText="1"/>
    </xf>
    <xf numFmtId="0" fontId="4" fillId="2" borderId="0" xfId="5" applyFont="1" applyFill="1" applyAlignment="1">
      <alignment horizontal="center"/>
    </xf>
    <xf numFmtId="0" fontId="4" fillId="2" borderId="59" xfId="5" applyFont="1" applyFill="1" applyBorder="1" applyAlignment="1">
      <alignment horizontal="center"/>
    </xf>
    <xf numFmtId="0" fontId="4" fillId="2" borderId="63" xfId="5" applyFont="1" applyFill="1" applyBorder="1" applyAlignment="1">
      <alignment horizontal="center"/>
    </xf>
    <xf numFmtId="0" fontId="4" fillId="2" borderId="60" xfId="5" applyFont="1" applyFill="1" applyBorder="1" applyAlignment="1">
      <alignment horizontal="center"/>
    </xf>
    <xf numFmtId="0" fontId="4" fillId="2" borderId="55" xfId="5" applyFont="1" applyFill="1" applyBorder="1" applyAlignment="1">
      <alignment horizontal="center"/>
    </xf>
    <xf numFmtId="0" fontId="0" fillId="0" borderId="11" xfId="0" applyBorder="1" applyAlignment="1">
      <alignment horizontal="left" vertical="top" wrapText="1"/>
    </xf>
    <xf numFmtId="0" fontId="0" fillId="0" borderId="0" xfId="0" applyAlignment="1">
      <alignment horizontal="left" vertical="top"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14" fillId="7" borderId="0" xfId="5" applyFill="1" applyAlignment="1">
      <alignment horizontal="center" vertical="center"/>
    </xf>
    <xf numFmtId="0" fontId="76" fillId="0" borderId="0" xfId="5" applyFont="1" applyAlignment="1">
      <alignment horizontal="center" vertical="center" wrapText="1"/>
    </xf>
    <xf numFmtId="0" fontId="57" fillId="0" borderId="0" xfId="5" applyFont="1" applyAlignment="1">
      <alignment horizontal="center" vertical="center" wrapText="1"/>
    </xf>
    <xf numFmtId="0" fontId="14" fillId="0" borderId="0" xfId="5" applyAlignment="1">
      <alignment horizontal="center" vertical="center"/>
    </xf>
    <xf numFmtId="0" fontId="14" fillId="8" borderId="0" xfId="5" applyFill="1" applyAlignment="1">
      <alignment horizontal="center" vertical="center"/>
    </xf>
    <xf numFmtId="0" fontId="14" fillId="0" borderId="0" xfId="5" applyAlignment="1">
      <alignment horizontal="center" vertical="center" wrapText="1"/>
    </xf>
    <xf numFmtId="0" fontId="58" fillId="7" borderId="0" xfId="5" applyFont="1" applyFill="1" applyAlignment="1">
      <alignment horizontal="center" vertical="center"/>
    </xf>
    <xf numFmtId="0" fontId="14" fillId="6" borderId="0" xfId="5" applyFill="1" applyAlignment="1">
      <alignment horizontal="center" vertical="center"/>
    </xf>
    <xf numFmtId="0" fontId="14" fillId="7" borderId="12" xfId="5" applyFill="1" applyBorder="1" applyAlignment="1">
      <alignment horizontal="center" vertical="center"/>
    </xf>
    <xf numFmtId="0" fontId="14" fillId="0" borderId="12" xfId="5" applyBorder="1" applyAlignment="1">
      <alignment horizontal="center" vertical="center" wrapText="1"/>
    </xf>
    <xf numFmtId="0" fontId="14" fillId="16" borderId="0" xfId="5" applyFill="1" applyAlignment="1">
      <alignment horizontal="center" vertical="center"/>
    </xf>
    <xf numFmtId="0" fontId="79" fillId="0" borderId="0" xfId="5" applyFont="1" applyAlignment="1">
      <alignment horizontal="center" vertical="center" wrapText="1"/>
    </xf>
    <xf numFmtId="0" fontId="14" fillId="6" borderId="12" xfId="5" applyFill="1" applyBorder="1" applyAlignment="1">
      <alignment horizontal="center" vertical="center"/>
    </xf>
    <xf numFmtId="0" fontId="57" fillId="0" borderId="12" xfId="5" applyFont="1" applyBorder="1" applyAlignment="1">
      <alignment horizontal="center" vertical="center" wrapText="1"/>
    </xf>
    <xf numFmtId="0" fontId="58" fillId="8" borderId="0" xfId="5" applyFont="1" applyFill="1" applyAlignment="1">
      <alignment horizontal="center" vertical="center"/>
    </xf>
    <xf numFmtId="0" fontId="13" fillId="0" borderId="0" xfId="0" applyFont="1" applyAlignment="1">
      <alignment horizontal="center" wrapText="1"/>
    </xf>
  </cellXfs>
  <cellStyles count="13">
    <cellStyle name="blp_column_header" xfId="12" xr:uid="{00000000-0005-0000-0000-000000000000}"/>
    <cellStyle name="Comma" xfId="1" builtinId="3"/>
    <cellStyle name="Currency 2" xfId="9" xr:uid="{00000000-0005-0000-0000-000002000000}"/>
    <cellStyle name="fa_column_header_bottom" xfId="11" xr:uid="{00000000-0005-0000-0000-000003000000}"/>
    <cellStyle name="Hyperlink" xfId="3" builtinId="8"/>
    <cellStyle name="Normal" xfId="0" builtinId="0"/>
    <cellStyle name="Normal 2" xfId="8" xr:uid="{00000000-0005-0000-0000-000012000000}"/>
    <cellStyle name="Normal 2 2" xfId="5" xr:uid="{00000000-0005-0000-0000-000013000000}"/>
    <cellStyle name="Normal 3 2" xfId="6" xr:uid="{00000000-0005-0000-0000-000014000000}"/>
    <cellStyle name="Normal 6" xfId="10" xr:uid="{00000000-0005-0000-0000-000015000000}"/>
    <cellStyle name="Percent" xfId="2" builtinId="5"/>
    <cellStyle name="Percent 2" xfId="4" xr:uid="{00000000-0005-0000-0000-000017000000}"/>
    <cellStyle name="Porcentaje 3" xfId="7" xr:uid="{00000000-0005-0000-0000-000018000000}"/>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0" defaultTableStyle="TableStyleMedium2" defaultPivotStyle="PivotStyleLight16"/>
  <colors>
    <mruColors>
      <color rgb="FF7B131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ichStyles" Target="richData/richStyle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Array" Target="richData/rdarray.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272390992824112"/>
          <c:y val="6.6976121598336963E-2"/>
          <c:w val="0.60881472258715064"/>
          <c:h val="0.64608992730909409"/>
        </c:manualLayout>
      </c:layout>
      <c:doughnutChart>
        <c:varyColors val="1"/>
        <c:ser>
          <c:idx val="0"/>
          <c:order val="0"/>
          <c:tx>
            <c:strRef>
              <c:f>Segments!$C$4</c:f>
              <c:strCache>
                <c:ptCount val="1"/>
              </c:strCache>
            </c:strRef>
          </c:tx>
          <c:spPr>
            <a:solidFill>
              <a:srgbClr val="7B1314"/>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C-2E09-4587-A391-0E01F65CEE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2E09-4587-A391-0E01F65CEE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2E09-4587-A391-0E01F65CEE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2E09-4587-A391-0E01F65CEE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2E09-4587-A391-0E01F65CEE33}"/>
              </c:ext>
            </c:extLst>
          </c:dPt>
          <c:cat>
            <c:strRef>
              <c:f>Segments!$B$6:$B$10</c:f>
              <c:strCache>
                <c:ptCount val="5"/>
                <c:pt idx="0">
                  <c:v>China</c:v>
                </c:pt>
                <c:pt idx="1">
                  <c:v>United States</c:v>
                </c:pt>
                <c:pt idx="2">
                  <c:v>Singapore</c:v>
                </c:pt>
                <c:pt idx="3">
                  <c:v>Taiwan</c:v>
                </c:pt>
                <c:pt idx="4">
                  <c:v>Other Regions</c:v>
                </c:pt>
              </c:strCache>
            </c:strRef>
          </c:cat>
          <c:val>
            <c:numRef>
              <c:f>Segments!$C$6:$C$10</c:f>
              <c:numCache>
                <c:formatCode>General</c:formatCode>
                <c:ptCount val="5"/>
              </c:numCache>
            </c:numRef>
          </c:val>
          <c:extLst>
            <c:ext xmlns:c16="http://schemas.microsoft.com/office/drawing/2014/chart" uri="{C3380CC4-5D6E-409C-BE32-E72D297353CC}">
              <c16:uniqueId val="{00000015-2E09-4587-A391-0E01F65CEE33}"/>
            </c:ext>
          </c:extLst>
        </c:ser>
        <c:ser>
          <c:idx val="1"/>
          <c:order val="1"/>
          <c:tx>
            <c:strRef>
              <c:f>Segments!$D$4</c:f>
              <c:strCache>
                <c:ptCount val="1"/>
                <c:pt idx="0">
                  <c:v>Weight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8-2E09-4587-A391-0E01F65CEE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A-2E09-4587-A391-0E01F65CEE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C-2E09-4587-A391-0E01F65CEE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E-2E09-4587-A391-0E01F65CEE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0-2E09-4587-A391-0E01F65CEE33}"/>
              </c:ext>
            </c:extLst>
          </c:dPt>
          <c:cat>
            <c:strRef>
              <c:f>Segments!$B$6:$B$10</c:f>
              <c:strCache>
                <c:ptCount val="5"/>
                <c:pt idx="0">
                  <c:v>China</c:v>
                </c:pt>
                <c:pt idx="1">
                  <c:v>United States</c:v>
                </c:pt>
                <c:pt idx="2">
                  <c:v>Singapore</c:v>
                </c:pt>
                <c:pt idx="3">
                  <c:v>Taiwan</c:v>
                </c:pt>
                <c:pt idx="4">
                  <c:v>Other Regions</c:v>
                </c:pt>
              </c:strCache>
            </c:strRef>
          </c:cat>
          <c:val>
            <c:numRef>
              <c:f>Segments!$D$6:$D$10</c:f>
              <c:numCache>
                <c:formatCode>0.0%</c:formatCode>
                <c:ptCount val="5"/>
                <c:pt idx="0">
                  <c:v>0.29249919963842491</c:v>
                </c:pt>
                <c:pt idx="1">
                  <c:v>0.24470348957646748</c:v>
                </c:pt>
                <c:pt idx="2">
                  <c:v>0.19184196154498032</c:v>
                </c:pt>
                <c:pt idx="3">
                  <c:v>0.14696521722754749</c:v>
                </c:pt>
                <c:pt idx="4">
                  <c:v>0.1239901320125798</c:v>
                </c:pt>
              </c:numCache>
            </c:numRef>
          </c:val>
          <c:extLst>
            <c:ext xmlns:c16="http://schemas.microsoft.com/office/drawing/2014/chart" uri="{C3380CC4-5D6E-409C-BE32-E72D297353CC}">
              <c16:uniqueId val="{00000021-2E09-4587-A391-0E01F65CEE33}"/>
            </c:ext>
          </c:extLst>
        </c:ser>
        <c:dLbls>
          <c:showLegendKey val="0"/>
          <c:showVal val="0"/>
          <c:showCatName val="0"/>
          <c:showSerName val="0"/>
          <c:showPercent val="0"/>
          <c:showBubbleSize val="0"/>
          <c:showLeaderLines val="1"/>
        </c:dLbls>
        <c:firstSliceAng val="0"/>
        <c:holeSize val="0"/>
      </c:doughnutChart>
    </c:plotArea>
    <c:legend>
      <c:legendPos val="b"/>
      <c:layout>
        <c:manualLayout>
          <c:xMode val="edge"/>
          <c:yMode val="edge"/>
          <c:x val="4.7275746727842127E-2"/>
          <c:y val="0.76177595552440336"/>
          <c:w val="0.90544850654431563"/>
          <c:h val="0.20169161451286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chart>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304188519346678"/>
          <c:y val="6.0809833764109554E-2"/>
          <c:w val="0.57893563506814028"/>
          <c:h val="0.70503017029626358"/>
        </c:manualLayout>
      </c:layout>
      <c:doughnutChart>
        <c:varyColors val="1"/>
        <c:ser>
          <c:idx val="0"/>
          <c:order val="0"/>
          <c:tx>
            <c:strRef>
              <c:f>Segments!$D$13</c:f>
              <c:strCache>
                <c:ptCount val="1"/>
                <c:pt idx="0">
                  <c:v>Weight</c:v>
                </c:pt>
              </c:strCache>
            </c:strRef>
          </c:tx>
          <c:spPr>
            <a:solidFill>
              <a:srgbClr val="7B1314"/>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C-E295-445D-B2EA-051A780BAF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E295-445D-B2EA-051A780BAF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E295-445D-B2EA-051A780BAF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E295-445D-B2EA-051A780BAF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E295-445D-B2EA-051A780BAF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6-E295-445D-B2EA-051A780BAF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8-E295-445D-B2EA-051A780BAFB2}"/>
              </c:ext>
            </c:extLst>
          </c:dPt>
          <c:cat>
            <c:multiLvlStrRef>
              <c:f>Segments!$B$15:$C$21</c:f>
              <c:multiLvlStrCache>
                <c:ptCount val="7"/>
                <c:lvl/>
                <c:lvl>
                  <c:pt idx="0">
                    <c:v>CCG</c:v>
                  </c:pt>
                  <c:pt idx="1">
                    <c:v>DCAI</c:v>
                  </c:pt>
                  <c:pt idx="2">
                    <c:v>NEX</c:v>
                  </c:pt>
                  <c:pt idx="3">
                    <c:v>Intel Foundry</c:v>
                  </c:pt>
                  <c:pt idx="4">
                    <c:v>All Other</c:v>
                  </c:pt>
                  <c:pt idx="5">
                    <c:v>Corporate Unallocated</c:v>
                  </c:pt>
                  <c:pt idx="6">
                    <c:v>Intersegment Eliminations</c:v>
                  </c:pt>
                </c:lvl>
              </c:multiLvlStrCache>
            </c:multiLvlStrRef>
          </c:cat>
          <c:val>
            <c:numRef>
              <c:f>Segments!$D$15:$D$21</c:f>
              <c:numCache>
                <c:formatCode>0.0%</c:formatCode>
                <c:ptCount val="7"/>
                <c:pt idx="0">
                  <c:v>0.57042240259128829</c:v>
                </c:pt>
                <c:pt idx="1">
                  <c:v>0.24137021901659103</c:v>
                </c:pt>
                <c:pt idx="2">
                  <c:v>0.11001676051298469</c:v>
                </c:pt>
                <c:pt idx="3">
                  <c:v>0.3303704261689987</c:v>
                </c:pt>
                <c:pt idx="4">
                  <c:v>7.201370972298074E-2</c:v>
                </c:pt>
                <c:pt idx="6">
                  <c:v>-0.32419351801284346</c:v>
                </c:pt>
              </c:numCache>
            </c:numRef>
          </c:val>
          <c:extLst>
            <c:ext xmlns:c16="http://schemas.microsoft.com/office/drawing/2014/chart" uri="{C3380CC4-5D6E-409C-BE32-E72D297353CC}">
              <c16:uniqueId val="{00000019-E295-445D-B2EA-051A780BAFB2}"/>
            </c:ext>
          </c:extLst>
        </c:ser>
        <c:dLbls>
          <c:showLegendKey val="0"/>
          <c:showVal val="0"/>
          <c:showCatName val="0"/>
          <c:showSerName val="0"/>
          <c:showPercent val="0"/>
          <c:showBubbleSize val="0"/>
          <c:showLeaderLines val="1"/>
        </c:dLbls>
        <c:firstSliceAng val="0"/>
        <c:holeSize val="50"/>
      </c:doughnutChart>
    </c:plotArea>
    <c:legend>
      <c:legendPos val="b"/>
      <c:layout>
        <c:manualLayout>
          <c:xMode val="edge"/>
          <c:yMode val="edge"/>
          <c:x val="0"/>
          <c:y val="0.74280744159143641"/>
          <c:w val="1"/>
          <c:h val="0.25719255840856359"/>
        </c:manualLayout>
      </c:layout>
      <c:overlay val="0"/>
      <c:spPr>
        <a:noFill/>
        <a:ln>
          <a:noFill/>
        </a:ln>
        <a:effectLst/>
      </c:spPr>
      <c:txPr>
        <a:bodyPr rot="0" spcFirstLastPara="1" vertOverflow="ellipsis" vert="horz" wrap="square" anchor="ctr" anchorCtr="1"/>
        <a:lstStyle/>
        <a:p>
          <a:pPr>
            <a:defRPr sz="800" b="0" i="0" u="none" strike="noStrike" baseline="0">
              <a:solidFill>
                <a:schemeClr val="tx1">
                  <a:lumMod val="65000"/>
                  <a:lumOff val="35000"/>
                </a:schemeClr>
              </a:solidFill>
              <a:latin typeface="+mn-lt"/>
              <a:ea typeface="+mn-ea"/>
              <a:cs typeface="+mn-cs"/>
            </a:defRPr>
          </a:pPr>
          <a:endParaRPr lang="pt-PT"/>
        </a:p>
      </c:txPr>
    </c:legend>
    <c:plotVisOnly val="1"/>
    <c:dispBlanksAs val="gap"/>
    <c:showDLblsOverMax val="0"/>
    <c:extLst/>
  </c:chart>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Inputs!$B$108</c:f>
              <c:strCache>
                <c:ptCount val="1"/>
                <c:pt idx="0">
                  <c:v>Fixed</c:v>
                </c:pt>
              </c:strCache>
            </c:strRef>
          </c:tx>
          <c:spPr>
            <a:solidFill>
              <a:schemeClr val="accent1"/>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Inputs!$H$108:$Q$108</c:f>
              <c:numCache>
                <c:formatCode>General</c:formatCode>
                <c:ptCount val="10"/>
                <c:pt idx="0">
                  <c:v>2250</c:v>
                </c:pt>
                <c:pt idx="1">
                  <c:v>2.5</c:v>
                </c:pt>
                <c:pt idx="2">
                  <c:v>3.25</c:v>
                </c:pt>
                <c:pt idx="3">
                  <c:v>2.75</c:v>
                </c:pt>
                <c:pt idx="4">
                  <c:v>2.85</c:v>
                </c:pt>
                <c:pt idx="5">
                  <c:v>2.75</c:v>
                </c:pt>
                <c:pt idx="6">
                  <c:v>17500</c:v>
                </c:pt>
                <c:pt idx="7">
                  <c:v>20000</c:v>
                </c:pt>
                <c:pt idx="8">
                  <c:v>22500</c:v>
                </c:pt>
                <c:pt idx="9">
                  <c:v>9000</c:v>
                </c:pt>
              </c:numCache>
            </c:numRef>
          </c:val>
          <c:extLst>
            <c:ext xmlns:c16="http://schemas.microsoft.com/office/drawing/2014/chart" uri="{C3380CC4-5D6E-409C-BE32-E72D297353CC}">
              <c16:uniqueId val="{00000000-C818-4D7E-86F0-AA705E8DA356}"/>
            </c:ext>
          </c:extLst>
        </c:ser>
        <c:ser>
          <c:idx val="1"/>
          <c:order val="1"/>
          <c:tx>
            <c:strRef>
              <c:f>Inputs!$B$108</c:f>
              <c:strCache>
                <c:ptCount val="1"/>
                <c:pt idx="0">
                  <c:v>Fixed</c:v>
                </c:pt>
              </c:strCache>
            </c:strRef>
          </c:tx>
          <c:spPr>
            <a:solidFill>
              <a:srgbClr val="002060"/>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Inputs!$H$109:$Q$109</c:f>
              <c:numCache>
                <c:formatCode>General</c:formatCode>
                <c:ptCount val="10"/>
              </c:numCache>
            </c:numRef>
          </c:val>
          <c:extLst>
            <c:ext xmlns:c16="http://schemas.microsoft.com/office/drawing/2014/chart" uri="{C3380CC4-5D6E-409C-BE32-E72D297353CC}">
              <c16:uniqueId val="{00000001-C818-4D7E-86F0-AA705E8DA356}"/>
            </c:ext>
          </c:extLst>
        </c:ser>
        <c:dLbls>
          <c:showLegendKey val="0"/>
          <c:showVal val="0"/>
          <c:showCatName val="0"/>
          <c:showSerName val="0"/>
          <c:showPercent val="0"/>
          <c:showBubbleSize val="0"/>
        </c:dLbls>
        <c:gapWidth val="150"/>
        <c:overlap val="100"/>
        <c:axId val="1004925920"/>
        <c:axId val="1004924280"/>
      </c:barChart>
      <c:catAx>
        <c:axId val="10049259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24280"/>
        <c:crosses val="autoZero"/>
        <c:auto val="1"/>
        <c:lblAlgn val="ctr"/>
        <c:lblOffset val="100"/>
        <c:noMultiLvlLbl val="0"/>
      </c:catAx>
      <c:valAx>
        <c:axId val="1004924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2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A9-4D7B-8219-529372BAB69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F0B-4B5E-82ED-0B9DC81D228A}"/>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6F0B-4B5E-82ED-0B9DC81D228A}"/>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6F0B-4B5E-82ED-0B9DC81D228A}"/>
              </c:ext>
            </c:extLst>
          </c:dPt>
          <c:cat>
            <c:strRef>
              <c:f>Segments!$B$6:$B$10</c:f>
              <c:strCache>
                <c:ptCount val="5"/>
                <c:pt idx="0">
                  <c:v>China</c:v>
                </c:pt>
                <c:pt idx="1">
                  <c:v>United States</c:v>
                </c:pt>
                <c:pt idx="2">
                  <c:v>Singapore</c:v>
                </c:pt>
                <c:pt idx="3">
                  <c:v>Taiwan</c:v>
                </c:pt>
                <c:pt idx="4">
                  <c:v>Other Regions</c:v>
                </c:pt>
              </c:strCache>
            </c:strRef>
          </c:cat>
          <c:val>
            <c:numRef>
              <c:f>Segments!$D$6:$D$10</c:f>
              <c:numCache>
                <c:formatCode>0.0%</c:formatCode>
                <c:ptCount val="5"/>
                <c:pt idx="0">
                  <c:v>0.29249919963842491</c:v>
                </c:pt>
                <c:pt idx="1">
                  <c:v>0.24470348957646748</c:v>
                </c:pt>
                <c:pt idx="2">
                  <c:v>0.19184196154498032</c:v>
                </c:pt>
                <c:pt idx="3">
                  <c:v>0.14696521722754749</c:v>
                </c:pt>
                <c:pt idx="4">
                  <c:v>0.1239901320125798</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160-4D8E-A35D-11187DFD9877}"/>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160-4D8E-A35D-11187DFD9877}"/>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458-4C4D-847F-D2D86AAD1B7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B458-4C4D-847F-D2D86AAD1B71}"/>
              </c:ext>
            </c:extLst>
          </c:dPt>
          <c:cat>
            <c:strRef>
              <c:f>Segments!$B$15:$B$19</c:f>
              <c:strCache>
                <c:ptCount val="5"/>
                <c:pt idx="0">
                  <c:v>CCG</c:v>
                </c:pt>
                <c:pt idx="1">
                  <c:v>DCAI</c:v>
                </c:pt>
                <c:pt idx="2">
                  <c:v>NEX</c:v>
                </c:pt>
                <c:pt idx="3">
                  <c:v>Intel Foundry</c:v>
                </c:pt>
                <c:pt idx="4">
                  <c:v>All Other</c:v>
                </c:pt>
              </c:strCache>
            </c:strRef>
          </c:cat>
          <c:val>
            <c:numRef>
              <c:f>Segments!$D$15:$D$19</c:f>
              <c:numCache>
                <c:formatCode>0.0%</c:formatCode>
                <c:ptCount val="5"/>
                <c:pt idx="0">
                  <c:v>0.57042240259128829</c:v>
                </c:pt>
                <c:pt idx="1">
                  <c:v>0.24137021901659103</c:v>
                </c:pt>
                <c:pt idx="2">
                  <c:v>0.11001676051298469</c:v>
                </c:pt>
                <c:pt idx="3">
                  <c:v>0.3303704261689987</c:v>
                </c:pt>
                <c:pt idx="4">
                  <c:v>7.201370972298074E-2</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13123381452318458"/>
          <c:y val="0.17171296296296298"/>
          <c:w val="0.84654396325459313"/>
          <c:h val="0.6714577865266842"/>
        </c:manualLayout>
      </c:layout>
      <c:barChart>
        <c:barDir val="col"/>
        <c:grouping val="stacked"/>
        <c:varyColors val="0"/>
        <c:ser>
          <c:idx val="0"/>
          <c:order val="0"/>
          <c:tx>
            <c:v>CCG</c:v>
          </c:tx>
          <c:spPr>
            <a:solidFill>
              <a:schemeClr val="accent1"/>
            </a:solidFill>
            <a:ln>
              <a:noFill/>
            </a:ln>
            <a:effectLst/>
          </c:spPr>
          <c:invertIfNegative val="0"/>
          <c:cat>
            <c:numRef>
              <c:f>Segments!$G$13:$I$13</c:f>
              <c:numCache>
                <c:formatCode>0</c:formatCode>
                <c:ptCount val="3"/>
                <c:pt idx="0">
                  <c:v>2022</c:v>
                </c:pt>
                <c:pt idx="1">
                  <c:v>2023</c:v>
                </c:pt>
                <c:pt idx="2">
                  <c:v>2024</c:v>
                </c:pt>
              </c:numCache>
            </c:numRef>
          </c:cat>
          <c:val>
            <c:numRef>
              <c:f>Segments!$G$15:$I$15</c:f>
              <c:numCache>
                <c:formatCode>#,##0_);\(#,##0\)</c:formatCode>
                <c:ptCount val="3"/>
                <c:pt idx="0">
                  <c:v>31773</c:v>
                </c:pt>
                <c:pt idx="1">
                  <c:v>29258</c:v>
                </c:pt>
                <c:pt idx="2">
                  <c:v>30290</c:v>
                </c:pt>
              </c:numCache>
            </c:numRef>
          </c:val>
          <c:extLst>
            <c:ext xmlns:c16="http://schemas.microsoft.com/office/drawing/2014/chart" uri="{C3380CC4-5D6E-409C-BE32-E72D297353CC}">
              <c16:uniqueId val="{00000000-38C3-40DC-826A-2A0B43F639BA}"/>
            </c:ext>
          </c:extLst>
        </c:ser>
        <c:ser>
          <c:idx val="1"/>
          <c:order val="1"/>
          <c:tx>
            <c:v>DCAI</c:v>
          </c:tx>
          <c:spPr>
            <a:solidFill>
              <a:schemeClr val="accent2"/>
            </a:solidFill>
            <a:ln>
              <a:noFill/>
            </a:ln>
            <a:effectLst/>
          </c:spPr>
          <c:invertIfNegative val="0"/>
          <c:cat>
            <c:numRef>
              <c:f>Segments!$G$13:$I$13</c:f>
              <c:numCache>
                <c:formatCode>0</c:formatCode>
                <c:ptCount val="3"/>
                <c:pt idx="0">
                  <c:v>2022</c:v>
                </c:pt>
                <c:pt idx="1">
                  <c:v>2023</c:v>
                </c:pt>
                <c:pt idx="2">
                  <c:v>2024</c:v>
                </c:pt>
              </c:numCache>
            </c:numRef>
          </c:cat>
          <c:val>
            <c:numRef>
              <c:f>Segments!$G$16:$I$16</c:f>
              <c:numCache>
                <c:formatCode>#,##0_);\(#,##0\)</c:formatCode>
                <c:ptCount val="3"/>
                <c:pt idx="0">
                  <c:v>16856</c:v>
                </c:pt>
                <c:pt idx="1">
                  <c:v>12635</c:v>
                </c:pt>
                <c:pt idx="2">
                  <c:v>12817</c:v>
                </c:pt>
              </c:numCache>
            </c:numRef>
          </c:val>
          <c:extLst>
            <c:ext xmlns:c16="http://schemas.microsoft.com/office/drawing/2014/chart" uri="{C3380CC4-5D6E-409C-BE32-E72D297353CC}">
              <c16:uniqueId val="{00000001-38C3-40DC-826A-2A0B43F639BA}"/>
            </c:ext>
          </c:extLst>
        </c:ser>
        <c:ser>
          <c:idx val="2"/>
          <c:order val="2"/>
          <c:tx>
            <c:v>NEX</c:v>
          </c:tx>
          <c:spPr>
            <a:solidFill>
              <a:schemeClr val="accent3"/>
            </a:solidFill>
            <a:ln>
              <a:noFill/>
            </a:ln>
            <a:effectLst/>
          </c:spPr>
          <c:invertIfNegative val="0"/>
          <c:cat>
            <c:numRef>
              <c:f>Segments!$G$13:$I$13</c:f>
              <c:numCache>
                <c:formatCode>0</c:formatCode>
                <c:ptCount val="3"/>
                <c:pt idx="0">
                  <c:v>2022</c:v>
                </c:pt>
                <c:pt idx="1">
                  <c:v>2023</c:v>
                </c:pt>
                <c:pt idx="2">
                  <c:v>2024</c:v>
                </c:pt>
              </c:numCache>
            </c:numRef>
          </c:cat>
          <c:val>
            <c:numRef>
              <c:f>Segments!$G$17:$I$17</c:f>
              <c:numCache>
                <c:formatCode>#,##0_);\(#,##0\)</c:formatCode>
                <c:ptCount val="3"/>
                <c:pt idx="0">
                  <c:v>8409</c:v>
                </c:pt>
                <c:pt idx="1">
                  <c:v>5774</c:v>
                </c:pt>
                <c:pt idx="2">
                  <c:v>5842</c:v>
                </c:pt>
              </c:numCache>
            </c:numRef>
          </c:val>
          <c:extLst>
            <c:ext xmlns:c16="http://schemas.microsoft.com/office/drawing/2014/chart" uri="{C3380CC4-5D6E-409C-BE32-E72D297353CC}">
              <c16:uniqueId val="{00000002-38C3-40DC-826A-2A0B43F639BA}"/>
            </c:ext>
          </c:extLst>
        </c:ser>
        <c:ser>
          <c:idx val="3"/>
          <c:order val="3"/>
          <c:tx>
            <c:v>Intel Foundry</c:v>
          </c:tx>
          <c:spPr>
            <a:solidFill>
              <a:schemeClr val="accent4"/>
            </a:solidFill>
            <a:ln>
              <a:noFill/>
            </a:ln>
            <a:effectLst/>
          </c:spPr>
          <c:invertIfNegative val="0"/>
          <c:val>
            <c:numRef>
              <c:f>Segments!$G$18:$I$18</c:f>
              <c:numCache>
                <c:formatCode>#,##0_);\(#,##0\)</c:formatCode>
                <c:ptCount val="3"/>
                <c:pt idx="0">
                  <c:v>27491</c:v>
                </c:pt>
                <c:pt idx="1">
                  <c:v>18910</c:v>
                </c:pt>
                <c:pt idx="2">
                  <c:v>17543</c:v>
                </c:pt>
              </c:numCache>
            </c:numRef>
          </c:val>
          <c:extLst>
            <c:ext xmlns:c16="http://schemas.microsoft.com/office/drawing/2014/chart" uri="{C3380CC4-5D6E-409C-BE32-E72D297353CC}">
              <c16:uniqueId val="{00000003-38C3-40DC-826A-2A0B43F639BA}"/>
            </c:ext>
          </c:extLst>
        </c:ser>
        <c:ser>
          <c:idx val="4"/>
          <c:order val="4"/>
          <c:tx>
            <c:v>All other</c:v>
          </c:tx>
          <c:spPr>
            <a:solidFill>
              <a:schemeClr val="accent5"/>
            </a:solidFill>
            <a:ln>
              <a:noFill/>
            </a:ln>
            <a:effectLst/>
          </c:spPr>
          <c:invertIfNegative val="0"/>
          <c:val>
            <c:numRef>
              <c:f>Segments!$G$19:$I$19</c:f>
              <c:numCache>
                <c:formatCode>#,##0_);\(#,##0\)</c:formatCode>
                <c:ptCount val="3"/>
                <c:pt idx="0">
                  <c:v>5530</c:v>
                </c:pt>
                <c:pt idx="1">
                  <c:v>5608</c:v>
                </c:pt>
                <c:pt idx="2">
                  <c:v>3824</c:v>
                </c:pt>
              </c:numCache>
            </c:numRef>
          </c:val>
          <c:extLst>
            <c:ext xmlns:c16="http://schemas.microsoft.com/office/drawing/2014/chart" uri="{C3380CC4-5D6E-409C-BE32-E72D297353CC}">
              <c16:uniqueId val="{00000004-38C3-40DC-826A-2A0B43F639BA}"/>
            </c:ext>
          </c:extLst>
        </c:ser>
        <c:ser>
          <c:idx val="5"/>
          <c:order val="5"/>
          <c:tx>
            <c:v>Intersegment Eliminations</c:v>
          </c:tx>
          <c:spPr>
            <a:solidFill>
              <a:schemeClr val="accent6"/>
            </a:solidFill>
            <a:ln>
              <a:noFill/>
            </a:ln>
            <a:effectLst/>
          </c:spPr>
          <c:invertIfNegative val="0"/>
          <c:val>
            <c:numRef>
              <c:f>Segments!$G$21:$I$21</c:f>
              <c:numCache>
                <c:formatCode>#,##0_);\(#,##0\)</c:formatCode>
                <c:ptCount val="3"/>
                <c:pt idx="0">
                  <c:v>-27005</c:v>
                </c:pt>
                <c:pt idx="1">
                  <c:v>-17957</c:v>
                </c:pt>
                <c:pt idx="2">
                  <c:v>-17215</c:v>
                </c:pt>
              </c:numCache>
            </c:numRef>
          </c:val>
          <c:extLst>
            <c:ext xmlns:c16="http://schemas.microsoft.com/office/drawing/2014/chart" uri="{C3380CC4-5D6E-409C-BE32-E72D297353CC}">
              <c16:uniqueId val="{00000005-38C3-40DC-826A-2A0B43F639BA}"/>
            </c:ext>
          </c:extLst>
        </c:ser>
        <c:dLbls>
          <c:showLegendKey val="0"/>
          <c:showVal val="0"/>
          <c:showCatName val="0"/>
          <c:showSerName val="0"/>
          <c:showPercent val="0"/>
          <c:showBubbleSize val="0"/>
        </c:dLbls>
        <c:gapWidth val="150"/>
        <c:overlap val="100"/>
        <c:axId val="403255968"/>
        <c:axId val="403256448"/>
      </c:barChart>
      <c:catAx>
        <c:axId val="4032559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03256448"/>
        <c:crosses val="autoZero"/>
        <c:auto val="1"/>
        <c:lblAlgn val="ctr"/>
        <c:lblOffset val="100"/>
        <c:noMultiLvlLbl val="0"/>
      </c:catAx>
      <c:valAx>
        <c:axId val="40325644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03255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Forcers</a:t>
            </a:r>
          </a:p>
        </c:rich>
      </c:tx>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832189991630368"/>
          <c:y val="0.22634019121604149"/>
          <c:w val="0.64222360273486778"/>
          <c:h val="0.69328331344335592"/>
        </c:manualLayout>
      </c:layout>
      <c:radarChart>
        <c:radarStyle val="filled"/>
        <c:varyColors val="0"/>
        <c:ser>
          <c:idx val="0"/>
          <c:order val="0"/>
          <c:spPr>
            <a:solidFill>
              <a:schemeClr val="accent1"/>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(Industry!$C$44,Industry!$C$51,Industry!$C$57,Industry!$C$63,Industry!$C$69)</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(Industry!$D$44,Industry!$D$51,Industry!$D$57,Industry!$D$63,Industry!$D$69)</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(Industry!$E$44,Industry!$E$51,Industry!$E$57,Industry!$E$63,Industry!$E$69)</c:f>
              <c:numCache>
                <c:formatCode>General</c:formatCode>
                <c:ptCount val="5"/>
                <c:pt idx="0" formatCode="0.00">
                  <c:v>2</c:v>
                </c:pt>
                <c:pt idx="1">
                  <c:v>2.8</c:v>
                </c:pt>
                <c:pt idx="2">
                  <c:v>3.4</c:v>
                </c:pt>
                <c:pt idx="3">
                  <c:v>4.2</c:v>
                </c:pt>
                <c:pt idx="4">
                  <c:v>3.5</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E1-4876-AB0A-BE0A523A3EAB}"/>
              </c:ext>
            </c:extLst>
          </c:dPt>
          <c:cat>
            <c:strRef>
              <c:f>(Industry!$B$28:$B$32,Industry!$B$39)</c:f>
              <c:strCache>
                <c:ptCount val="6"/>
                <c:pt idx="0">
                  <c:v>INTEL CORPORATION</c:v>
                </c:pt>
                <c:pt idx="1">
                  <c:v>NVIDIA CORPORATION</c:v>
                </c:pt>
                <c:pt idx="2">
                  <c:v>ADVANCED MICRO DEVICES, INC.</c:v>
                </c:pt>
                <c:pt idx="3">
                  <c:v>BROADCOM INC.</c:v>
                </c:pt>
                <c:pt idx="4">
                  <c:v>ASML Holding NV</c:v>
                </c:pt>
                <c:pt idx="5">
                  <c:v>Others</c:v>
                </c:pt>
              </c:strCache>
            </c:strRef>
          </c:cat>
          <c:val>
            <c:numRef>
              <c:f>(Industry!$I$28:$I$32,Industry!$I$39)</c:f>
              <c:numCache>
                <c:formatCode>0%</c:formatCode>
                <c:ptCount val="6"/>
                <c:pt idx="0">
                  <c:v>8.4708153205608816E-2</c:v>
                </c:pt>
                <c:pt idx="1">
                  <c:v>0.20817234833378531</c:v>
                </c:pt>
                <c:pt idx="2">
                  <c:v>4.113293027262431E-2</c:v>
                </c:pt>
                <c:pt idx="3">
                  <c:v>8.2272241453570913E-2</c:v>
                </c:pt>
                <c:pt idx="4">
                  <c:v>4.8772472761497598E-2</c:v>
                </c:pt>
                <c:pt idx="5">
                  <c:v>0.53494185397291305</c:v>
                </c:pt>
              </c:numCache>
            </c:numRef>
          </c:val>
          <c:extLs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474198403554451"/>
          <c:y val="5.4839785837187675E-2"/>
          <c:w val="0.50344530231438234"/>
          <c:h val="0.916051876281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1"/>
          <c:tx>
            <c:v>Operating Margin</c:v>
          </c:tx>
          <c:spPr>
            <a:solidFill>
              <a:schemeClr val="accent2"/>
            </a:solidFill>
            <a:ln>
              <a:noFill/>
            </a:ln>
            <a:effectLst/>
          </c:spPr>
          <c:invertIfNegative val="0"/>
          <c:cat>
            <c:strRef>
              <c:f>Peers!$D$29:$H$29</c:f>
              <c:strCache>
                <c:ptCount val="5"/>
                <c:pt idx="0">
                  <c:v>INTEL</c:v>
                </c:pt>
                <c:pt idx="1">
                  <c:v>NVIDIA</c:v>
                </c:pt>
                <c:pt idx="2">
                  <c:v>AMD</c:v>
                </c:pt>
                <c:pt idx="3">
                  <c:v>Broadcom</c:v>
                </c:pt>
                <c:pt idx="4">
                  <c:v>ASML</c:v>
                </c:pt>
              </c:strCache>
            </c:strRef>
          </c:cat>
          <c:val>
            <c:numRef>
              <c:f>Peers!$D$31:$H$31</c:f>
              <c:numCache>
                <c:formatCode>0.0%</c:formatCode>
                <c:ptCount val="5"/>
                <c:pt idx="0">
                  <c:v>-0.10214496902129903</c:v>
                </c:pt>
                <c:pt idx="1">
                  <c:v>0.62417526839697468</c:v>
                </c:pt>
                <c:pt idx="2">
                  <c:v>7.3686251696722896E-2</c:v>
                </c:pt>
                <c:pt idx="3">
                  <c:v>0.30616201962229028</c:v>
                </c:pt>
                <c:pt idx="4">
                  <c:v>0.35284882579969912</c:v>
                </c:pt>
              </c:numCache>
            </c:numRef>
          </c:val>
          <c:extLst>
            <c:ext xmlns:c16="http://schemas.microsoft.com/office/drawing/2014/chart" uri="{C3380CC4-5D6E-409C-BE32-E72D297353CC}">
              <c16:uniqueId val="{00000001-D725-473B-B5E1-FBF3ECFC3BCE}"/>
            </c:ext>
          </c:extLst>
        </c:ser>
        <c:ser>
          <c:idx val="2"/>
          <c:order val="2"/>
          <c:tx>
            <c:v>Net income margin</c:v>
          </c:tx>
          <c:spPr>
            <a:solidFill>
              <a:schemeClr val="accent3"/>
            </a:solidFill>
            <a:ln>
              <a:noFill/>
            </a:ln>
            <a:effectLst/>
          </c:spPr>
          <c:invertIfNegative val="0"/>
          <c:cat>
            <c:strRef>
              <c:f>Peers!$D$29:$H$29</c:f>
              <c:strCache>
                <c:ptCount val="5"/>
                <c:pt idx="0">
                  <c:v>INTEL</c:v>
                </c:pt>
                <c:pt idx="1">
                  <c:v>NVIDIA</c:v>
                </c:pt>
                <c:pt idx="2">
                  <c:v>AMD</c:v>
                </c:pt>
                <c:pt idx="3">
                  <c:v>Broadcom</c:v>
                </c:pt>
                <c:pt idx="4">
                  <c:v>ASML</c:v>
                </c:pt>
              </c:strCache>
            </c:strRef>
          </c:cat>
          <c:val>
            <c:numRef>
              <c:f>Peers!$D$32:$H$32</c:f>
              <c:numCache>
                <c:formatCode>0.0%</c:formatCode>
                <c:ptCount val="5"/>
                <c:pt idx="0">
                  <c:v>-0.2445528332799759</c:v>
                </c:pt>
                <c:pt idx="1">
                  <c:v>0.55848027157712443</c:v>
                </c:pt>
                <c:pt idx="2">
                  <c:v>6.3641652123327522E-2</c:v>
                </c:pt>
                <c:pt idx="3">
                  <c:v>0.11430177996664986</c:v>
                </c:pt>
                <c:pt idx="4">
                  <c:v>0.29541440439589195</c:v>
                </c:pt>
              </c:numCache>
            </c:numRef>
          </c:val>
          <c:extLst>
            <c:ext xmlns:c16="http://schemas.microsoft.com/office/drawing/2014/chart" uri="{C3380CC4-5D6E-409C-BE32-E72D297353CC}">
              <c16:uniqueId val="{00000002-D725-473B-B5E1-FBF3ECFC3BCE}"/>
            </c:ext>
          </c:extLst>
        </c:ser>
        <c:ser>
          <c:idx val="3"/>
          <c:order val="3"/>
          <c:tx>
            <c:v>ROE</c:v>
          </c:tx>
          <c:spPr>
            <a:solidFill>
              <a:schemeClr val="accent4"/>
            </a:solidFill>
            <a:ln>
              <a:noFill/>
            </a:ln>
            <a:effectLst/>
          </c:spPr>
          <c:invertIfNegative val="0"/>
          <c:val>
            <c:numRef>
              <c:f>Peers!$D$35:$H$35</c:f>
              <c:numCache>
                <c:formatCode>0.0%</c:formatCode>
                <c:ptCount val="5"/>
                <c:pt idx="0">
                  <c:v>-0.12363851016832965</c:v>
                </c:pt>
                <c:pt idx="1">
                  <c:v>0.9187288060811577</c:v>
                </c:pt>
                <c:pt idx="2">
                  <c:v>2.8505419677598665E-2</c:v>
                </c:pt>
                <c:pt idx="3">
                  <c:v>8.7103637814356219E-2</c:v>
                </c:pt>
                <c:pt idx="4">
                  <c:v>0.1858833989166406</c:v>
                </c:pt>
              </c:numCache>
            </c:numRef>
          </c:val>
          <c:extLst>
            <c:ext xmlns:c16="http://schemas.microsoft.com/office/drawing/2014/chart" uri="{C3380CC4-5D6E-409C-BE32-E72D297353CC}">
              <c16:uniqueId val="{00000003-D725-473B-B5E1-FBF3ECFC3BCE}"/>
            </c:ext>
          </c:extLst>
        </c:ser>
        <c:dLbls>
          <c:showLegendKey val="0"/>
          <c:showVal val="0"/>
          <c:showCatName val="0"/>
          <c:showSerName val="0"/>
          <c:showPercent val="0"/>
          <c:showBubbleSize val="0"/>
        </c:dLbls>
        <c:gapWidth val="219"/>
        <c:overlap val="-27"/>
        <c:axId val="599555072"/>
        <c:axId val="599555552"/>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Peers!$D$29:$H$29</c15:sqref>
                        </c15:formulaRef>
                      </c:ext>
                    </c:extLst>
                    <c:strCache>
                      <c:ptCount val="5"/>
                      <c:pt idx="0">
                        <c:v>INTEL</c:v>
                      </c:pt>
                      <c:pt idx="1">
                        <c:v>NVIDIA</c:v>
                      </c:pt>
                      <c:pt idx="2">
                        <c:v>AMD</c:v>
                      </c:pt>
                      <c:pt idx="3">
                        <c:v>Broadcom</c:v>
                      </c:pt>
                      <c:pt idx="4">
                        <c:v>ASML</c:v>
                      </c:pt>
                    </c:strCache>
                  </c:strRef>
                </c:cat>
                <c:val>
                  <c:numRef>
                    <c:extLst>
                      <c:ext uri="{02D57815-91ED-43cb-92C2-25804820EDAC}">
                        <c15:formulaRef>
                          <c15:sqref>Peers!$D$30:$H$30</c15:sqref>
                        </c15:formulaRef>
                      </c:ext>
                    </c:extLst>
                    <c:numCache>
                      <c:formatCode>General</c:formatCode>
                      <c:ptCount val="5"/>
                    </c:numCache>
                  </c:numRef>
                </c:val>
                <c:extLst>
                  <c:ext xmlns:c16="http://schemas.microsoft.com/office/drawing/2014/chart" uri="{C3380CC4-5D6E-409C-BE32-E72D297353CC}">
                    <c16:uniqueId val="{00000000-D725-473B-B5E1-FBF3ECFC3BCE}"/>
                  </c:ext>
                </c:extLst>
              </c15:ser>
            </c15:filteredBarSeries>
          </c:ext>
        </c:extLst>
      </c:barChart>
      <c:catAx>
        <c:axId val="59955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99555552"/>
        <c:crosses val="autoZero"/>
        <c:auto val="1"/>
        <c:lblAlgn val="ctr"/>
        <c:lblOffset val="100"/>
        <c:noMultiLvlLbl val="0"/>
      </c:catAx>
      <c:valAx>
        <c:axId val="5995555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99555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Revenues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0"/>
          <c:order val="0"/>
          <c:tx>
            <c:v>2023</c:v>
          </c:tx>
          <c:spPr>
            <a:solidFill>
              <a:schemeClr val="accent1"/>
            </a:solidFill>
            <a:ln>
              <a:noFill/>
            </a:ln>
            <a:effectLst/>
          </c:spPr>
          <c:invertIfNegative val="0"/>
          <c:cat>
            <c:strRef>
              <c:f>Peers!$D$80:$H$80</c:f>
              <c:strCache>
                <c:ptCount val="5"/>
                <c:pt idx="0">
                  <c:v>INTEL</c:v>
                </c:pt>
                <c:pt idx="1">
                  <c:v>NVIDIA</c:v>
                </c:pt>
                <c:pt idx="2">
                  <c:v>AMD</c:v>
                </c:pt>
                <c:pt idx="3">
                  <c:v>Broadcom</c:v>
                </c:pt>
                <c:pt idx="4">
                  <c:v>ASML</c:v>
                </c:pt>
              </c:strCache>
            </c:strRef>
          </c:cat>
          <c:val>
            <c:numRef>
              <c:f>Peers!$D$94:$H$94</c:f>
              <c:numCache>
                <c:formatCode>#,##0_);\(#,##0\)</c:formatCode>
                <c:ptCount val="5"/>
                <c:pt idx="0">
                  <c:v>54228</c:v>
                </c:pt>
                <c:pt idx="1">
                  <c:v>60922</c:v>
                </c:pt>
                <c:pt idx="2">
                  <c:v>22680</c:v>
                </c:pt>
                <c:pt idx="3">
                  <c:v>35819</c:v>
                </c:pt>
                <c:pt idx="4">
                  <c:v>29805</c:v>
                </c:pt>
              </c:numCache>
            </c:numRef>
          </c:val>
          <c:extLst>
            <c:ext xmlns:c16="http://schemas.microsoft.com/office/drawing/2014/chart" uri="{C3380CC4-5D6E-409C-BE32-E72D297353CC}">
              <c16:uniqueId val="{00000000-8872-4F60-8A37-E3E7741D7CB3}"/>
            </c:ext>
          </c:extLst>
        </c:ser>
        <c:ser>
          <c:idx val="1"/>
          <c:order val="1"/>
          <c:tx>
            <c:v>2024</c:v>
          </c:tx>
          <c:spPr>
            <a:solidFill>
              <a:schemeClr val="accent2"/>
            </a:solidFill>
            <a:ln>
              <a:noFill/>
            </a:ln>
            <a:effectLst/>
          </c:spPr>
          <c:invertIfNegative val="0"/>
          <c:cat>
            <c:strRef>
              <c:f>Peers!$D$80:$H$80</c:f>
              <c:strCache>
                <c:ptCount val="5"/>
                <c:pt idx="0">
                  <c:v>INTEL</c:v>
                </c:pt>
                <c:pt idx="1">
                  <c:v>NVIDIA</c:v>
                </c:pt>
                <c:pt idx="2">
                  <c:v>AMD</c:v>
                </c:pt>
                <c:pt idx="3">
                  <c:v>Broadcom</c:v>
                </c:pt>
                <c:pt idx="4">
                  <c:v>ASML</c:v>
                </c:pt>
              </c:strCache>
            </c:strRef>
          </c:cat>
          <c:val>
            <c:numRef>
              <c:f>Peers!$D$97:$H$97</c:f>
              <c:numCache>
                <c:formatCode>#,##0_);\(#,##0\)</c:formatCode>
                <c:ptCount val="5"/>
                <c:pt idx="0">
                  <c:v>53101</c:v>
                </c:pt>
                <c:pt idx="1">
                  <c:v>130497</c:v>
                </c:pt>
                <c:pt idx="2">
                  <c:v>25785</c:v>
                </c:pt>
                <c:pt idx="3">
                  <c:v>51574</c:v>
                </c:pt>
                <c:pt idx="4">
                  <c:v>30574</c:v>
                </c:pt>
              </c:numCache>
            </c:numRef>
          </c:val>
          <c:extLst>
            <c:ext xmlns:c16="http://schemas.microsoft.com/office/drawing/2014/chart" uri="{C3380CC4-5D6E-409C-BE32-E72D297353CC}">
              <c16:uniqueId val="{00000001-8872-4F60-8A37-E3E7741D7CB3}"/>
            </c:ext>
          </c:extLst>
        </c:ser>
        <c:dLbls>
          <c:showLegendKey val="0"/>
          <c:showVal val="0"/>
          <c:showCatName val="0"/>
          <c:showSerName val="0"/>
          <c:showPercent val="0"/>
          <c:showBubbleSize val="0"/>
        </c:dLbls>
        <c:gapWidth val="182"/>
        <c:axId val="118805424"/>
        <c:axId val="118805904"/>
      </c:barChart>
      <c:catAx>
        <c:axId val="11880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18805904"/>
        <c:crosses val="autoZero"/>
        <c:auto val="1"/>
        <c:lblAlgn val="ctr"/>
        <c:lblOffset val="100"/>
        <c:noMultiLvlLbl val="0"/>
      </c:catAx>
      <c:valAx>
        <c:axId val="118805904"/>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18805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a:t>EV/EBITDA</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2023</c:v>
          </c:tx>
          <c:spPr>
            <a:solidFill>
              <a:srgbClr val="8EA9DB"/>
            </a:solidFill>
            <a:ln>
              <a:noFill/>
            </a:ln>
            <a:effectLst/>
          </c:spPr>
          <c:invertIfNegative val="0"/>
          <c:cat>
            <c:strRef>
              <c:f>Peers!$B$6:$B$11</c:f>
              <c:strCache>
                <c:ptCount val="6"/>
                <c:pt idx="0">
                  <c:v>INTEL CORPORATION</c:v>
                </c:pt>
                <c:pt idx="2">
                  <c:v>NVIDIA</c:v>
                </c:pt>
                <c:pt idx="3">
                  <c:v>AMD</c:v>
                </c:pt>
                <c:pt idx="4">
                  <c:v>Broadcom Inc.</c:v>
                </c:pt>
                <c:pt idx="5">
                  <c:v>ASML</c:v>
                </c:pt>
              </c:strCache>
            </c:strRef>
          </c:cat>
          <c:val>
            <c:numRef>
              <c:f>Peers!$L$6:$L$11</c:f>
              <c:numCache>
                <c:formatCode>#,##0.00</c:formatCode>
                <c:ptCount val="6"/>
                <c:pt idx="0">
                  <c:v>19.586108325949365</c:v>
                </c:pt>
                <c:pt idx="2">
                  <c:v>83.608588872996606</c:v>
                </c:pt>
                <c:pt idx="3">
                  <c:v>50.474501008711506</c:v>
                </c:pt>
                <c:pt idx="4">
                  <c:v>93.64228326658565</c:v>
                </c:pt>
                <c:pt idx="5">
                  <c:v>29.348904982113247</c:v>
                </c:pt>
              </c:numCache>
            </c:numRef>
          </c:val>
          <c:extLst>
            <c:ext xmlns:c16="http://schemas.microsoft.com/office/drawing/2014/chart" uri="{C3380CC4-5D6E-409C-BE32-E72D297353CC}">
              <c16:uniqueId val="{00000001-61C2-415A-A999-873C560C395A}"/>
            </c:ext>
          </c:extLst>
        </c:ser>
        <c:ser>
          <c:idx val="1"/>
          <c:order val="1"/>
          <c:tx>
            <c:v>2024</c:v>
          </c:tx>
          <c:spPr>
            <a:solidFill>
              <a:srgbClr val="4472C4"/>
            </a:solidFill>
            <a:ln>
              <a:noFill/>
            </a:ln>
            <a:effectLst/>
          </c:spPr>
          <c:invertIfNegative val="0"/>
          <c:cat>
            <c:strRef>
              <c:f>Peers!$B$6:$B$11</c:f>
              <c:strCache>
                <c:ptCount val="6"/>
                <c:pt idx="0">
                  <c:v>INTEL CORPORATION</c:v>
                </c:pt>
                <c:pt idx="2">
                  <c:v>NVIDIA</c:v>
                </c:pt>
                <c:pt idx="3">
                  <c:v>AMD</c:v>
                </c:pt>
                <c:pt idx="4">
                  <c:v>Broadcom Inc.</c:v>
                </c:pt>
                <c:pt idx="5">
                  <c:v>ASML</c:v>
                </c:pt>
              </c:strCache>
            </c:strRef>
          </c:cat>
          <c:val>
            <c:numRef>
              <c:f>Peers!$M$6:$M$11</c:f>
              <c:numCache>
                <c:formatCode>0.00</c:formatCode>
                <c:ptCount val="6"/>
                <c:pt idx="0">
                  <c:v>31.179900408060451</c:v>
                </c:pt>
                <c:pt idx="2">
                  <c:v>51.27922537745745</c:v>
                </c:pt>
                <c:pt idx="3">
                  <c:v>50.179685192145016</c:v>
                </c:pt>
                <c:pt idx="4">
                  <c:v>86.371134354460693</c:v>
                </c:pt>
                <c:pt idx="5">
                  <c:v>26.264371047083621</c:v>
                </c:pt>
              </c:numCache>
            </c:numRef>
          </c:val>
          <c:extLst>
            <c:ext xmlns:c16="http://schemas.microsoft.com/office/drawing/2014/chart" uri="{C3380CC4-5D6E-409C-BE32-E72D297353CC}">
              <c16:uniqueId val="{00000003-61C2-415A-A999-873C560C395A}"/>
            </c:ext>
          </c:extLst>
        </c:ser>
        <c:dLbls>
          <c:showLegendKey val="0"/>
          <c:showVal val="0"/>
          <c:showCatName val="0"/>
          <c:showSerName val="0"/>
          <c:showPercent val="0"/>
          <c:showBubbleSize val="0"/>
        </c:dLbls>
        <c:gapWidth val="219"/>
        <c:overlap val="-27"/>
        <c:axId val="2099165704"/>
        <c:axId val="2099171848"/>
      </c:barChart>
      <c:catAx>
        <c:axId val="2099165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171848"/>
        <c:crosses val="autoZero"/>
        <c:auto val="1"/>
        <c:lblAlgn val="ctr"/>
        <c:lblOffset val="100"/>
        <c:noMultiLvlLbl val="0"/>
      </c:catAx>
      <c:valAx>
        <c:axId val="2099171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165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2023</c:v>
          </c:tx>
          <c:spPr>
            <a:solidFill>
              <a:srgbClr val="8EA9DB"/>
            </a:solidFill>
            <a:ln>
              <a:noFill/>
            </a:ln>
            <a:effectLst/>
          </c:spPr>
          <c:invertIfNegative val="0"/>
          <c:cat>
            <c:strRef>
              <c:f>Peers!$B$6:$B$11</c:f>
              <c:strCache>
                <c:ptCount val="6"/>
                <c:pt idx="0">
                  <c:v>INTEL CORPORATION</c:v>
                </c:pt>
                <c:pt idx="2">
                  <c:v>NVIDIA</c:v>
                </c:pt>
                <c:pt idx="3">
                  <c:v>AMD</c:v>
                </c:pt>
                <c:pt idx="4">
                  <c:v>Broadcom Inc.</c:v>
                </c:pt>
                <c:pt idx="5">
                  <c:v>ASML</c:v>
                </c:pt>
              </c:strCache>
            </c:strRef>
          </c:cat>
          <c:val>
            <c:numRef>
              <c:f>Peers!$J$6:$J$11</c:f>
              <c:numCache>
                <c:formatCode>0.0</c:formatCode>
                <c:ptCount val="6"/>
                <c:pt idx="0" formatCode="0.00">
                  <c:v>3.4239932678689975</c:v>
                </c:pt>
                <c:pt idx="2" formatCode="0.00">
                  <c:v>70.130371622714293</c:v>
                </c:pt>
                <c:pt idx="3" formatCode="0.00">
                  <c:v>10.985103041402116</c:v>
                </c:pt>
                <c:pt idx="4" formatCode="0.00">
                  <c:v>47.327012311203553</c:v>
                </c:pt>
                <c:pt idx="5" formatCode="0.00">
                  <c:v>11.285616507297432</c:v>
                </c:pt>
              </c:numCache>
            </c:numRef>
          </c:val>
          <c:extLst>
            <c:ext xmlns:c16="http://schemas.microsoft.com/office/drawing/2014/chart" uri="{C3380CC4-5D6E-409C-BE32-E72D297353CC}">
              <c16:uniqueId val="{00000001-5DA4-47FA-9142-398C36234FE6}"/>
            </c:ext>
          </c:extLst>
        </c:ser>
        <c:ser>
          <c:idx val="1"/>
          <c:order val="1"/>
          <c:tx>
            <c:v>2024</c:v>
          </c:tx>
          <c:spPr>
            <a:solidFill>
              <a:srgbClr val="4472C4"/>
            </a:solidFill>
            <a:ln>
              <a:noFill/>
            </a:ln>
            <a:effectLst/>
          </c:spPr>
          <c:invertIfNegative val="0"/>
          <c:cat>
            <c:strRef>
              <c:f>Peers!$B$6:$B$11</c:f>
              <c:strCache>
                <c:ptCount val="6"/>
                <c:pt idx="0">
                  <c:v>INTEL CORPORATION</c:v>
                </c:pt>
                <c:pt idx="2">
                  <c:v>NVIDIA</c:v>
                </c:pt>
                <c:pt idx="3">
                  <c:v>AMD</c:v>
                </c:pt>
                <c:pt idx="4">
                  <c:v>Broadcom Inc.</c:v>
                </c:pt>
                <c:pt idx="5">
                  <c:v>ASML</c:v>
                </c:pt>
              </c:strCache>
            </c:strRef>
          </c:cat>
          <c:val>
            <c:numRef>
              <c:f>Peers!$K$6:$K$11</c:f>
              <c:numCache>
                <c:formatCode>0.0</c:formatCode>
                <c:ptCount val="6"/>
                <c:pt idx="0" formatCode="0.00">
                  <c:v>3.4966630935387277</c:v>
                </c:pt>
                <c:pt idx="2" formatCode="0.00">
                  <c:v>32.740082147474652</c:v>
                </c:pt>
                <c:pt idx="3" formatCode="0.00">
                  <c:v>9.662289586154742</c:v>
                </c:pt>
                <c:pt idx="4" formatCode="0.00">
                  <c:v>32.869396478361189</c:v>
                </c:pt>
                <c:pt idx="5" formatCode="0.00">
                  <c:v>11.001759665074898</c:v>
                </c:pt>
              </c:numCache>
            </c:numRef>
          </c:val>
          <c:extLst>
            <c:ext xmlns:c16="http://schemas.microsoft.com/office/drawing/2014/chart" uri="{C3380CC4-5D6E-409C-BE32-E72D297353CC}">
              <c16:uniqueId val="{00000003-5DA4-47FA-9142-398C36234FE6}"/>
            </c:ext>
          </c:extLst>
        </c:ser>
        <c:dLbls>
          <c:showLegendKey val="0"/>
          <c:showVal val="0"/>
          <c:showCatName val="0"/>
          <c:showSerName val="0"/>
          <c:showPercent val="0"/>
          <c:showBubbleSize val="0"/>
        </c:dLbls>
        <c:gapWidth val="219"/>
        <c:overlap val="-27"/>
        <c:axId val="1335745544"/>
        <c:axId val="1499354632"/>
      </c:barChart>
      <c:catAx>
        <c:axId val="1335745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354632"/>
        <c:crosses val="autoZero"/>
        <c:auto val="1"/>
        <c:lblAlgn val="ctr"/>
        <c:lblOffset val="100"/>
        <c:noMultiLvlLbl val="0"/>
      </c:catAx>
      <c:valAx>
        <c:axId val="1499354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45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343120286631479E-2"/>
          <c:y val="5.2908089143123768E-2"/>
          <c:w val="0.93558591437983274"/>
          <c:h val="0.73811215454464207"/>
        </c:manualLayout>
      </c:layout>
      <c:lineChart>
        <c:grouping val="standard"/>
        <c:varyColors val="0"/>
        <c:ser>
          <c:idx val="4"/>
          <c:order val="0"/>
          <c:tx>
            <c:strRef>
              <c:f>'ESG Inputs'!$B$76</c:f>
              <c:strCache>
                <c:ptCount val="1"/>
                <c:pt idx="0">
                  <c:v>INTEL CORPORATION</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Inputs'!$G$76:$Q$76</c:f>
              <c:numCache>
                <c:formatCode>General</c:formatCode>
                <c:ptCount val="11"/>
                <c:pt idx="0">
                  <c:v>6861</c:v>
                </c:pt>
                <c:pt idx="1">
                  <c:v>7446.9</c:v>
                </c:pt>
                <c:pt idx="2">
                  <c:v>7436.5</c:v>
                </c:pt>
                <c:pt idx="3">
                  <c:v>8909</c:v>
                </c:pt>
                <c:pt idx="4">
                  <c:v>9270</c:v>
                </c:pt>
                <c:pt idx="5">
                  <c:v>10510</c:v>
                </c:pt>
                <c:pt idx="6">
                  <c:v>11650</c:v>
                </c:pt>
                <c:pt idx="7">
                  <c:v>12760</c:v>
                </c:pt>
                <c:pt idx="8">
                  <c:v>12090</c:v>
                </c:pt>
                <c:pt idx="9">
                  <c:v>11645</c:v>
                </c:pt>
                <c:pt idx="10">
                  <c:v>0</c:v>
                </c:pt>
              </c:numCache>
            </c:numRef>
          </c:val>
          <c:smooth val="0"/>
          <c:extLst>
            <c:ext xmlns:c16="http://schemas.microsoft.com/office/drawing/2014/chart" uri="{C3380CC4-5D6E-409C-BE32-E72D297353CC}">
              <c16:uniqueId val="{00000000-A33D-44A1-A7C1-FB656FA5A222}"/>
            </c:ext>
          </c:extLst>
        </c:ser>
        <c:ser>
          <c:idx val="0"/>
          <c:order val="1"/>
          <c:tx>
            <c:strRef>
              <c:f>'ESG Inputs'!$B$77</c:f>
              <c:strCache>
                <c:ptCount val="1"/>
                <c:pt idx="0">
                  <c:v>NVIDIA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Inputs'!$G$77:$Q$77</c:f>
              <c:numCache>
                <c:formatCode>General</c:formatCode>
                <c:ptCount val="11"/>
                <c:pt idx="0">
                  <c:v>51.400000000000006</c:v>
                </c:pt>
                <c:pt idx="1">
                  <c:v>55.9</c:v>
                </c:pt>
                <c:pt idx="2">
                  <c:v>51.199999999999996</c:v>
                </c:pt>
                <c:pt idx="3">
                  <c:v>53.800000000000004</c:v>
                </c:pt>
                <c:pt idx="4">
                  <c:v>53.3</c:v>
                </c:pt>
                <c:pt idx="5">
                  <c:v>67.8</c:v>
                </c:pt>
                <c:pt idx="6">
                  <c:v>77.5</c:v>
                </c:pt>
                <c:pt idx="7">
                  <c:v>108.3</c:v>
                </c:pt>
                <c:pt idx="8">
                  <c:v>138.19999999999999</c:v>
                </c:pt>
                <c:pt idx="9">
                  <c:v>155.20000000000002</c:v>
                </c:pt>
                <c:pt idx="10">
                  <c:v>192.5</c:v>
                </c:pt>
              </c:numCache>
            </c:numRef>
          </c:val>
          <c:smooth val="0"/>
          <c:extLst>
            <c:ext xmlns:c16="http://schemas.microsoft.com/office/drawing/2014/chart" uri="{C3380CC4-5D6E-409C-BE32-E72D297353CC}">
              <c16:uniqueId val="{00000001-A33D-44A1-A7C1-FB656FA5A222}"/>
            </c:ext>
          </c:extLst>
        </c:ser>
        <c:ser>
          <c:idx val="1"/>
          <c:order val="2"/>
          <c:tx>
            <c:strRef>
              <c:f>'ESG Inputs'!$B$78</c:f>
              <c:strCache>
                <c:ptCount val="1"/>
                <c:pt idx="0">
                  <c:v>AMD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Inputs'!$G$78:$Q$78</c:f>
              <c:numCache>
                <c:formatCode>General</c:formatCode>
                <c:ptCount val="11"/>
                <c:pt idx="0" formatCode="#,##0">
                  <c:v>200.9</c:v>
                </c:pt>
                <c:pt idx="1">
                  <c:v>203.5</c:v>
                </c:pt>
                <c:pt idx="2">
                  <c:v>69.599999999999994</c:v>
                </c:pt>
                <c:pt idx="3">
                  <c:v>55.300000000000004</c:v>
                </c:pt>
                <c:pt idx="4">
                  <c:v>53.2</c:v>
                </c:pt>
                <c:pt idx="5">
                  <c:v>54</c:v>
                </c:pt>
                <c:pt idx="6">
                  <c:v>74.900000000000006</c:v>
                </c:pt>
                <c:pt idx="7">
                  <c:v>77.2</c:v>
                </c:pt>
                <c:pt idx="8">
                  <c:v>82.6</c:v>
                </c:pt>
                <c:pt idx="9">
                  <c:v>90.8</c:v>
                </c:pt>
                <c:pt idx="10">
                  <c:v>0</c:v>
                </c:pt>
              </c:numCache>
            </c:numRef>
          </c:val>
          <c:smooth val="0"/>
          <c:extLst>
            <c:ext xmlns:c16="http://schemas.microsoft.com/office/drawing/2014/chart" uri="{C3380CC4-5D6E-409C-BE32-E72D297353CC}">
              <c16:uniqueId val="{00000002-A33D-44A1-A7C1-FB656FA5A222}"/>
            </c:ext>
          </c:extLst>
        </c:ser>
        <c:ser>
          <c:idx val="2"/>
          <c:order val="3"/>
          <c:tx>
            <c:strRef>
              <c:f>'ESG Inputs'!$B$79</c:f>
              <c:strCache>
                <c:ptCount val="1"/>
                <c:pt idx="0">
                  <c:v>Broadcom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Inputs'!$G$79:$Q$79</c:f>
              <c:numCache>
                <c:formatCode>General</c:formatCode>
                <c:ptCount val="11"/>
                <c:pt idx="0">
                  <c:v>0</c:v>
                </c:pt>
                <c:pt idx="1">
                  <c:v>0</c:v>
                </c:pt>
                <c:pt idx="2">
                  <c:v>0</c:v>
                </c:pt>
                <c:pt idx="3">
                  <c:v>0</c:v>
                </c:pt>
                <c:pt idx="4">
                  <c:v>0</c:v>
                </c:pt>
                <c:pt idx="5">
                  <c:v>0</c:v>
                </c:pt>
                <c:pt idx="6">
                  <c:v>0</c:v>
                </c:pt>
                <c:pt idx="7">
                  <c:v>316.2</c:v>
                </c:pt>
                <c:pt idx="8">
                  <c:v>278.39999999999998</c:v>
                </c:pt>
                <c:pt idx="9">
                  <c:v>244.89999999999998</c:v>
                </c:pt>
                <c:pt idx="10">
                  <c:v>0</c:v>
                </c:pt>
              </c:numCache>
            </c:numRef>
          </c:val>
          <c:smooth val="0"/>
          <c:extLst>
            <c:ext xmlns:c16="http://schemas.microsoft.com/office/drawing/2014/chart" uri="{C3380CC4-5D6E-409C-BE32-E72D297353CC}">
              <c16:uniqueId val="{00000003-A33D-44A1-A7C1-FB656FA5A222}"/>
            </c:ext>
          </c:extLst>
        </c:ser>
        <c:ser>
          <c:idx val="3"/>
          <c:order val="4"/>
          <c:tx>
            <c:strRef>
              <c:f>'ESG Inputs'!$B$80</c:f>
              <c:strCache>
                <c:ptCount val="1"/>
                <c:pt idx="0">
                  <c:v>ASML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Inputs'!$G$80:$Q$80</c:f>
              <c:numCache>
                <c:formatCode>General</c:formatCode>
                <c:ptCount val="11"/>
                <c:pt idx="0">
                  <c:v>0</c:v>
                </c:pt>
                <c:pt idx="1">
                  <c:v>0</c:v>
                </c:pt>
                <c:pt idx="2">
                  <c:v>20.399999999999999</c:v>
                </c:pt>
                <c:pt idx="3">
                  <c:v>19</c:v>
                </c:pt>
                <c:pt idx="4">
                  <c:v>17.5</c:v>
                </c:pt>
                <c:pt idx="5">
                  <c:v>16.899999999999999</c:v>
                </c:pt>
                <c:pt idx="6">
                  <c:v>15.4</c:v>
                </c:pt>
                <c:pt idx="7">
                  <c:v>184.4</c:v>
                </c:pt>
                <c:pt idx="8">
                  <c:v>210.20000000000002</c:v>
                </c:pt>
                <c:pt idx="9">
                  <c:v>187.29999999999998</c:v>
                </c:pt>
                <c:pt idx="10">
                  <c:v>251.7</c:v>
                </c:pt>
              </c:numCache>
            </c:numRef>
          </c:val>
          <c:smooth val="0"/>
          <c:extLst>
            <c:ext xmlns:c16="http://schemas.microsoft.com/office/drawing/2014/chart" uri="{C3380CC4-5D6E-409C-BE32-E72D297353CC}">
              <c16:uniqueId val="{00000004-A33D-44A1-A7C1-FB656FA5A222}"/>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legend>
      <c:legendPos val="b"/>
      <c:layout>
        <c:manualLayout>
          <c:xMode val="edge"/>
          <c:yMode val="edge"/>
          <c:x val="1.2949953955591448E-2"/>
          <c:y val="0.84488196610549504"/>
          <c:w val="0.97702197074670194"/>
          <c:h val="0.15511803389450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Inputs'!$B$48</c:f>
              <c:strCache>
                <c:ptCount val="1"/>
                <c:pt idx="0">
                  <c:v>INTEL CORPORATION</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Inputs'!$G$48:$Q$48</c:f>
              <c:numCache>
                <c:formatCode>#,##0.00</c:formatCode>
                <c:ptCount val="11"/>
                <c:pt idx="1">
                  <c:v>7465.2</c:v>
                </c:pt>
                <c:pt idx="2">
                  <c:v>7083.1</c:v>
                </c:pt>
                <c:pt idx="3">
                  <c:v>10289.200000000001</c:v>
                </c:pt>
                <c:pt idx="4">
                  <c:v>11541</c:v>
                </c:pt>
                <c:pt idx="5">
                  <c:v>11028</c:v>
                </c:pt>
                <c:pt idx="6">
                  <c:v>13020</c:v>
                </c:pt>
                <c:pt idx="7">
                  <c:v>10791</c:v>
                </c:pt>
                <c:pt idx="8">
                  <c:v>9971</c:v>
                </c:pt>
                <c:pt idx="9">
                  <c:v>9890</c:v>
                </c:pt>
              </c:numCache>
            </c:numRef>
          </c:val>
          <c:smooth val="0"/>
          <c:extLst>
            <c:ext xmlns:c16="http://schemas.microsoft.com/office/drawing/2014/chart" uri="{C3380CC4-5D6E-409C-BE32-E72D297353CC}">
              <c16:uniqueId val="{00000000-E980-4DF7-896B-DD4FDA36ADD3}"/>
            </c:ext>
          </c:extLst>
        </c:ser>
        <c:ser>
          <c:idx val="2"/>
          <c:order val="2"/>
          <c:tx>
            <c:strRef>
              <c:f>'ESG Inputs'!$B$51</c:f>
              <c:strCache>
                <c:ptCount val="1"/>
                <c:pt idx="0">
                  <c:v>Broadcom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Inputs'!$G$51:$Q$51</c:f>
              <c:numCache>
                <c:formatCode>General</c:formatCode>
                <c:ptCount val="11"/>
              </c:numCache>
            </c:numRef>
          </c:val>
          <c:smooth val="0"/>
          <c:extLst>
            <c:ext xmlns:c16="http://schemas.microsoft.com/office/drawing/2014/chart" uri="{C3380CC4-5D6E-409C-BE32-E72D297353CC}">
              <c16:uniqueId val="{00000001-E980-4DF7-896B-DD4FDA36ADD3}"/>
            </c:ext>
          </c:extLst>
        </c:ser>
        <c:ser>
          <c:idx val="3"/>
          <c:order val="3"/>
          <c:tx>
            <c:strRef>
              <c:f>'ESG Inputs'!$B$52</c:f>
              <c:strCache>
                <c:ptCount val="1"/>
                <c:pt idx="0">
                  <c:v>ASML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Inputs'!$G$52:$Q$52</c:f>
              <c:numCache>
                <c:formatCode>General</c:formatCode>
                <c:ptCount val="11"/>
              </c:numCache>
            </c:numRef>
          </c:val>
          <c:smooth val="0"/>
          <c:extLst>
            <c:ext xmlns:c16="http://schemas.microsoft.com/office/drawing/2014/chart" uri="{C3380CC4-5D6E-409C-BE32-E72D297353CC}">
              <c16:uniqueId val="{00000002-E980-4DF7-896B-DD4FDA36ADD3}"/>
            </c:ext>
          </c:extLst>
        </c:ser>
        <c:ser>
          <c:idx val="1"/>
          <c:order val="4"/>
          <c:tx>
            <c:strRef>
              <c:f>'ESG Inputs'!$B$50</c:f>
              <c:strCache>
                <c:ptCount val="1"/>
                <c:pt idx="0">
                  <c:v>AMD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Inputs'!$G$50:$Q$50</c:f>
              <c:numCache>
                <c:formatCode>General</c:formatCode>
                <c:ptCount val="11"/>
                <c:pt idx="7">
                  <c:v>0</c:v>
                </c:pt>
                <c:pt idx="8">
                  <c:v>0</c:v>
                </c:pt>
                <c:pt idx="9">
                  <c:v>0</c:v>
                </c:pt>
              </c:numCache>
            </c:numRef>
          </c:val>
          <c:smooth val="0"/>
          <c:extLst>
            <c:ext xmlns:c16="http://schemas.microsoft.com/office/drawing/2014/chart" uri="{C3380CC4-5D6E-409C-BE32-E72D297353CC}">
              <c16:uniqueId val="{00000003-E980-4DF7-896B-DD4FDA36ADD3}"/>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Inputs'!$B$49</c15:sqref>
                        </c15:formulaRef>
                      </c:ext>
                    </c:extLst>
                    <c:strCache>
                      <c:ptCount val="1"/>
                      <c:pt idx="0">
                        <c:v>NVIDIA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Inputs'!$G$46:$Q$46</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Inputs'!$G$49:$Q$49</c15:sqref>
                        </c15:formulaRef>
                      </c:ext>
                    </c:extLst>
                    <c:numCache>
                      <c:formatCode>General</c:formatCode>
                      <c:ptCount val="11"/>
                      <c:pt idx="0">
                        <c:v>80.099999999999994</c:v>
                      </c:pt>
                      <c:pt idx="1">
                        <c:v>57.2</c:v>
                      </c:pt>
                      <c:pt idx="2">
                        <c:v>29.1</c:v>
                      </c:pt>
                      <c:pt idx="3">
                        <c:v>39.5</c:v>
                      </c:pt>
                      <c:pt idx="4">
                        <c:v>61.2</c:v>
                      </c:pt>
                      <c:pt idx="5">
                        <c:v>96.2</c:v>
                      </c:pt>
                      <c:pt idx="6">
                        <c:v>72.400000000000006</c:v>
                      </c:pt>
                      <c:pt idx="7">
                        <c:v>97.3</c:v>
                      </c:pt>
                      <c:pt idx="8">
                        <c:v>239.8</c:v>
                      </c:pt>
                      <c:pt idx="9">
                        <c:v>197.8</c:v>
                      </c:pt>
                      <c:pt idx="10">
                        <c:v>145.80000000000001</c:v>
                      </c:pt>
                    </c:numCache>
                  </c:numRef>
                </c:val>
                <c:smooth val="0"/>
                <c:extLst>
                  <c:ext xmlns:c16="http://schemas.microsoft.com/office/drawing/2014/chart" uri="{C3380CC4-5D6E-409C-BE32-E72D297353CC}">
                    <c16:uniqueId val="{00000004-E980-4DF7-896B-DD4FDA36ADD3}"/>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Inputs'!$B$62</c:f>
              <c:strCache>
                <c:ptCount val="1"/>
                <c:pt idx="0">
                  <c:v>INTEL CORPORATION</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Inputs'!$G$62:$Q$62</c:f>
              <c:numCache>
                <c:formatCode>General</c:formatCode>
                <c:ptCount val="11"/>
                <c:pt idx="0">
                  <c:v>144.1</c:v>
                </c:pt>
                <c:pt idx="1">
                  <c:v>129.19999999999999</c:v>
                </c:pt>
                <c:pt idx="2">
                  <c:v>160.5</c:v>
                </c:pt>
                <c:pt idx="3">
                  <c:v>183</c:v>
                </c:pt>
                <c:pt idx="4">
                  <c:v>186</c:v>
                </c:pt>
                <c:pt idx="5">
                  <c:v>351.1</c:v>
                </c:pt>
                <c:pt idx="6">
                  <c:v>375.6</c:v>
                </c:pt>
                <c:pt idx="7">
                  <c:v>312.10000000000002</c:v>
                </c:pt>
                <c:pt idx="8">
                  <c:v>282.10000000000002</c:v>
                </c:pt>
                <c:pt idx="9">
                  <c:v>264.89999999999998</c:v>
                </c:pt>
                <c:pt idx="10">
                  <c:v>0</c:v>
                </c:pt>
              </c:numCache>
            </c:numRef>
          </c:val>
          <c:smooth val="0"/>
          <c:extLst>
            <c:ext xmlns:c16="http://schemas.microsoft.com/office/drawing/2014/chart" uri="{C3380CC4-5D6E-409C-BE32-E72D297353CC}">
              <c16:uniqueId val="{00000000-F38D-409A-B510-CAA45AC4F704}"/>
            </c:ext>
          </c:extLst>
        </c:ser>
        <c:ser>
          <c:idx val="2"/>
          <c:order val="3"/>
          <c:tx>
            <c:strRef>
              <c:f>'ESG Inputs'!$B$65</c:f>
              <c:strCache>
                <c:ptCount val="1"/>
                <c:pt idx="0">
                  <c:v>Broadcom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Inputs'!$G$65:$Q$65</c:f>
              <c:numCache>
                <c:formatCode>General</c:formatCode>
                <c:ptCount val="11"/>
                <c:pt idx="0">
                  <c:v>0</c:v>
                </c:pt>
                <c:pt idx="1">
                  <c:v>0</c:v>
                </c:pt>
                <c:pt idx="2">
                  <c:v>0</c:v>
                </c:pt>
                <c:pt idx="3">
                  <c:v>0</c:v>
                </c:pt>
                <c:pt idx="4">
                  <c:v>0</c:v>
                </c:pt>
                <c:pt idx="5">
                  <c:v>0</c:v>
                </c:pt>
                <c:pt idx="6">
                  <c:v>0</c:v>
                </c:pt>
                <c:pt idx="7">
                  <c:v>12.4</c:v>
                </c:pt>
                <c:pt idx="8">
                  <c:v>14.7</c:v>
                </c:pt>
                <c:pt idx="9">
                  <c:v>39.6</c:v>
                </c:pt>
                <c:pt idx="10">
                  <c:v>0</c:v>
                </c:pt>
              </c:numCache>
            </c:numRef>
          </c:val>
          <c:smooth val="0"/>
          <c:extLst>
            <c:ext xmlns:c16="http://schemas.microsoft.com/office/drawing/2014/chart" uri="{C3380CC4-5D6E-409C-BE32-E72D297353CC}">
              <c16:uniqueId val="{00000001-F38D-409A-B510-CAA45AC4F704}"/>
            </c:ext>
          </c:extLst>
        </c:ser>
        <c:ser>
          <c:idx val="3"/>
          <c:order val="4"/>
          <c:tx>
            <c:strRef>
              <c:f>'ESG Inputs'!$B$66</c:f>
              <c:strCache>
                <c:ptCount val="1"/>
                <c:pt idx="0">
                  <c:v>ASML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Inputs'!$G$66:$Q$66</c:f>
              <c:numCache>
                <c:formatCode>General</c:formatCode>
                <c:ptCount val="11"/>
                <c:pt idx="0">
                  <c:v>3.8</c:v>
                </c:pt>
                <c:pt idx="1">
                  <c:v>5.3</c:v>
                </c:pt>
                <c:pt idx="2">
                  <c:v>3.9</c:v>
                </c:pt>
                <c:pt idx="3">
                  <c:v>3.9</c:v>
                </c:pt>
                <c:pt idx="4">
                  <c:v>4.5</c:v>
                </c:pt>
                <c:pt idx="5">
                  <c:v>5.5</c:v>
                </c:pt>
                <c:pt idx="6">
                  <c:v>5.3</c:v>
                </c:pt>
                <c:pt idx="7">
                  <c:v>5.9</c:v>
                </c:pt>
                <c:pt idx="8">
                  <c:v>6.9</c:v>
                </c:pt>
                <c:pt idx="9">
                  <c:v>8.9</c:v>
                </c:pt>
                <c:pt idx="10">
                  <c:v>13.5</c:v>
                </c:pt>
              </c:numCache>
            </c:numRef>
          </c:val>
          <c:smooth val="0"/>
          <c:extLst>
            <c:ext xmlns:c16="http://schemas.microsoft.com/office/drawing/2014/chart" uri="{C3380CC4-5D6E-409C-BE32-E72D297353CC}">
              <c16:uniqueId val="{00000002-F38D-409A-B510-CAA45AC4F704}"/>
            </c:ext>
          </c:extLst>
        </c:ser>
        <c:ser>
          <c:idx val="4"/>
          <c:order val="5"/>
          <c:tx>
            <c:strRef>
              <c:f>'ESG Inputs'!$B$67</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Inputs'!$G$67:$Q$67</c:f>
              <c:numCache>
                <c:formatCode>General</c:formatCode>
                <c:ptCount val="11"/>
              </c:numCache>
            </c:numRef>
          </c:val>
          <c:smooth val="0"/>
          <c:extLst>
            <c:ext xmlns:c16="http://schemas.microsoft.com/office/drawing/2014/chart" uri="{C3380CC4-5D6E-409C-BE32-E72D297353CC}">
              <c16:uniqueId val="{00000003-F38D-409A-B510-CAA45AC4F704}"/>
            </c:ext>
          </c:extLst>
        </c:ser>
        <c:ser>
          <c:idx val="6"/>
          <c:order val="6"/>
          <c:tx>
            <c:strRef>
              <c:f>'ESG Inputs'!$B$68</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Inputs'!$G$68:$Q$68</c:f>
              <c:numCache>
                <c:formatCode>General</c:formatCode>
                <c:ptCount val="11"/>
              </c:numCache>
            </c:numRef>
          </c:val>
          <c:smooth val="0"/>
          <c:extLst>
            <c:ext xmlns:c16="http://schemas.microsoft.com/office/drawing/2014/chart" uri="{C3380CC4-5D6E-409C-BE32-E72D297353CC}">
              <c16:uniqueId val="{00000004-F38D-409A-B510-CAA45AC4F704}"/>
            </c:ext>
          </c:extLst>
        </c:ser>
        <c:ser>
          <c:idx val="7"/>
          <c:order val="7"/>
          <c:tx>
            <c:strRef>
              <c:f>'ESG Inputs'!$B$69</c:f>
              <c:strCache>
                <c:ptCount val="1"/>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Inputs'!$G$69:$Q$69</c:f>
              <c:numCache>
                <c:formatCode>General</c:formatCode>
                <c:ptCount val="11"/>
              </c:numCache>
            </c:numRef>
          </c:val>
          <c:smooth val="0"/>
          <c:extLst>
            <c:ext xmlns:c16="http://schemas.microsoft.com/office/drawing/2014/chart" uri="{C3380CC4-5D6E-409C-BE32-E72D297353CC}">
              <c16:uniqueId val="{00000005-F38D-409A-B510-CAA45AC4F704}"/>
            </c:ext>
          </c:extLst>
        </c:ser>
        <c:ser>
          <c:idx val="8"/>
          <c:order val="8"/>
          <c:tx>
            <c:strRef>
              <c:f>'ESG Inputs'!$B$70</c:f>
              <c:strCache>
                <c:ptCount val="1"/>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Inputs'!$G$70:$Q$70</c:f>
              <c:numCache>
                <c:formatCode>General</c:formatCode>
                <c:ptCount val="11"/>
              </c:numCache>
            </c:numRef>
          </c:val>
          <c:smooth val="0"/>
          <c:extLst>
            <c:ext xmlns:c16="http://schemas.microsoft.com/office/drawing/2014/chart" uri="{C3380CC4-5D6E-409C-BE32-E72D297353CC}">
              <c16:uniqueId val="{00000006-F38D-409A-B510-CAA45AC4F704}"/>
            </c:ext>
          </c:extLst>
        </c:ser>
        <c:ser>
          <c:idx val="9"/>
          <c:order val="9"/>
          <c:tx>
            <c:strRef>
              <c:f>'ESG Inputs'!$B$71</c:f>
              <c:strCache>
                <c:ptCount val="1"/>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Inputs'!$G$71:$Q$71</c:f>
              <c:numCache>
                <c:formatCode>General</c:formatCode>
                <c:ptCount val="11"/>
              </c:numCache>
            </c:numRef>
          </c:val>
          <c:smooth val="0"/>
          <c:extLst>
            <c:ext xmlns:c16="http://schemas.microsoft.com/office/drawing/2014/chart" uri="{C3380CC4-5D6E-409C-BE32-E72D297353CC}">
              <c16:uniqueId val="{00000007-F38D-409A-B510-CAA45AC4F704}"/>
            </c:ext>
          </c:extLst>
        </c:ser>
        <c:ser>
          <c:idx val="10"/>
          <c:order val="10"/>
          <c:tx>
            <c:strRef>
              <c:f>'ESG Inputs'!$B$72</c:f>
              <c:strCache>
                <c:ptCount val="1"/>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Inputs'!$G$72:$Q$72</c:f>
              <c:numCache>
                <c:formatCode>General</c:formatCode>
                <c:ptCount val="11"/>
              </c:numCache>
            </c:numRef>
          </c:val>
          <c:smooth val="0"/>
          <c:extLst>
            <c:ext xmlns:c16="http://schemas.microsoft.com/office/drawing/2014/chart" uri="{C3380CC4-5D6E-409C-BE32-E72D297353CC}">
              <c16:uniqueId val="{00000008-F38D-409A-B510-CAA45AC4F704}"/>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Inputs'!$B$63</c15:sqref>
                        </c15:formulaRef>
                      </c:ext>
                    </c:extLst>
                    <c:strCache>
                      <c:ptCount val="1"/>
                      <c:pt idx="0">
                        <c:v>NVIDIA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Inputs'!$G$63:$Q$63</c15:sqref>
                        </c15:formulaRef>
                      </c:ext>
                    </c:extLst>
                    <c:numCache>
                      <c:formatCode>General</c:formatCode>
                      <c:ptCount val="11"/>
                      <c:pt idx="0">
                        <c:v>0</c:v>
                      </c:pt>
                      <c:pt idx="1">
                        <c:v>1.3</c:v>
                      </c:pt>
                      <c:pt idx="2">
                        <c:v>15.6</c:v>
                      </c:pt>
                      <c:pt idx="3">
                        <c:v>3</c:v>
                      </c:pt>
                      <c:pt idx="4">
                        <c:v>2.7</c:v>
                      </c:pt>
                      <c:pt idx="5">
                        <c:v>18.3</c:v>
                      </c:pt>
                      <c:pt idx="6">
                        <c:v>5.3</c:v>
                      </c:pt>
                      <c:pt idx="7">
                        <c:v>2.8</c:v>
                      </c:pt>
                      <c:pt idx="8">
                        <c:v>0.9</c:v>
                      </c:pt>
                      <c:pt idx="9">
                        <c:v>1.9</c:v>
                      </c:pt>
                      <c:pt idx="10">
                        <c:v>2.2999999999999998</c:v>
                      </c:pt>
                    </c:numCache>
                  </c:numRef>
                </c:val>
                <c:smooth val="0"/>
                <c:extLst>
                  <c:ext xmlns:c16="http://schemas.microsoft.com/office/drawing/2014/chart" uri="{C3380CC4-5D6E-409C-BE32-E72D297353CC}">
                    <c16:uniqueId val="{00000009-F38D-409A-B510-CAA45AC4F704}"/>
                  </c:ext>
                </c:extLst>
              </c15:ser>
            </c15:filteredLineSeries>
            <c15:filteredLineSeries>
              <c15:ser>
                <c:idx val="1"/>
                <c:order val="2"/>
                <c:tx>
                  <c:strRef>
                    <c:extLst xmlns:c15="http://schemas.microsoft.com/office/drawing/2012/chart">
                      <c:ext xmlns:c15="http://schemas.microsoft.com/office/drawing/2012/chart" uri="{02D57815-91ED-43cb-92C2-25804820EDAC}">
                        <c15:formulaRef>
                          <c15:sqref>'ESG Inputs'!$B$64</c15:sqref>
                        </c15:formulaRef>
                      </c:ext>
                    </c:extLst>
                    <c:strCache>
                      <c:ptCount val="1"/>
                      <c:pt idx="0">
                        <c:v>AMD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xmlns:c15="http://schemas.microsoft.com/office/drawing/2012/chart">
                      <c:ext xmlns:c15="http://schemas.microsoft.com/office/drawing/2012/chart" uri="{02D57815-91ED-43cb-92C2-25804820EDAC}">
                        <c15:formulaRef>
                          <c15:sqref>'ESG Inputs'!$G$64:$Q$64</c15:sqref>
                        </c15:formulaRef>
                      </c:ext>
                    </c:extLst>
                    <c:numCache>
                      <c:formatCode>General</c:formatCode>
                      <c:ptCount val="11"/>
                      <c:pt idx="0" formatCode="#,##0.00">
                        <c:v>2</c:v>
                      </c:pt>
                      <c:pt idx="1">
                        <c:v>0.6</c:v>
                      </c:pt>
                      <c:pt idx="2">
                        <c:v>0.6</c:v>
                      </c:pt>
                      <c:pt idx="3">
                        <c:v>0.7</c:v>
                      </c:pt>
                      <c:pt idx="4">
                        <c:v>0.6</c:v>
                      </c:pt>
                      <c:pt idx="5">
                        <c:v>0.7</c:v>
                      </c:pt>
                      <c:pt idx="6">
                        <c:v>0.5</c:v>
                      </c:pt>
                      <c:pt idx="7">
                        <c:v>0.5</c:v>
                      </c:pt>
                      <c:pt idx="8">
                        <c:v>0.8</c:v>
                      </c:pt>
                      <c:pt idx="9">
                        <c:v>1.3</c:v>
                      </c:pt>
                      <c:pt idx="10">
                        <c:v>0</c:v>
                      </c:pt>
                    </c:numCache>
                  </c:numRef>
                </c:val>
                <c:smooth val="0"/>
                <c:extLst xmlns:c15="http://schemas.microsoft.com/office/drawing/2012/chart">
                  <c:ext xmlns:c16="http://schemas.microsoft.com/office/drawing/2014/chart" uri="{C3380CC4-5D6E-409C-BE32-E72D297353CC}">
                    <c16:uniqueId val="{0000000A-F38D-409A-B510-CAA45AC4F704}"/>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Inputs'!$B$34</c:f>
              <c:strCache>
                <c:ptCount val="1"/>
                <c:pt idx="0">
                  <c:v>INTEL CORPORATION</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Inputs'!$G$34:$Q$34</c:f>
              <c:numCache>
                <c:formatCode>#,##0.0</c:formatCode>
                <c:ptCount val="11"/>
                <c:pt idx="0">
                  <c:v>5820</c:v>
                </c:pt>
                <c:pt idx="1">
                  <c:v>6394.3</c:v>
                </c:pt>
                <c:pt idx="2">
                  <c:v>6460.5</c:v>
                </c:pt>
                <c:pt idx="3">
                  <c:v>7419</c:v>
                </c:pt>
                <c:pt idx="4">
                  <c:v>8330</c:v>
                </c:pt>
                <c:pt idx="5">
                  <c:v>9610</c:v>
                </c:pt>
                <c:pt idx="6">
                  <c:v>10610</c:v>
                </c:pt>
                <c:pt idx="7">
                  <c:v>11610</c:v>
                </c:pt>
                <c:pt idx="8">
                  <c:v>10910</c:v>
                </c:pt>
                <c:pt idx="9">
                  <c:v>10800</c:v>
                </c:pt>
              </c:numCache>
            </c:numRef>
          </c:val>
          <c:smooth val="0"/>
          <c:extLst>
            <c:ext xmlns:c16="http://schemas.microsoft.com/office/drawing/2014/chart" uri="{C3380CC4-5D6E-409C-BE32-E72D297353CC}">
              <c16:uniqueId val="{00000000-AC1E-4410-B719-66281604211E}"/>
            </c:ext>
          </c:extLst>
        </c:ser>
        <c:ser>
          <c:idx val="0"/>
          <c:order val="1"/>
          <c:tx>
            <c:strRef>
              <c:f>'ESG Inputs'!$B$35</c:f>
              <c:strCache>
                <c:ptCount val="1"/>
                <c:pt idx="0">
                  <c:v>NVIDIA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Inputs'!$G$35:$Q$35</c:f>
              <c:numCache>
                <c:formatCode>General</c:formatCode>
                <c:ptCount val="11"/>
                <c:pt idx="0">
                  <c:v>129</c:v>
                </c:pt>
                <c:pt idx="1">
                  <c:v>135</c:v>
                </c:pt>
                <c:pt idx="2">
                  <c:v>131.30000000000001</c:v>
                </c:pt>
                <c:pt idx="3">
                  <c:v>139.80000000000001</c:v>
                </c:pt>
                <c:pt idx="4">
                  <c:v>154.1</c:v>
                </c:pt>
                <c:pt idx="5">
                  <c:v>197.1</c:v>
                </c:pt>
                <c:pt idx="6">
                  <c:v>254.1</c:v>
                </c:pt>
                <c:pt idx="7">
                  <c:v>328.4</c:v>
                </c:pt>
                <c:pt idx="8">
                  <c:v>425</c:v>
                </c:pt>
                <c:pt idx="9">
                  <c:v>496.9</c:v>
                </c:pt>
                <c:pt idx="10">
                  <c:v>612.6</c:v>
                </c:pt>
              </c:numCache>
            </c:numRef>
          </c:val>
          <c:smooth val="0"/>
          <c:extLst>
            <c:ext xmlns:c16="http://schemas.microsoft.com/office/drawing/2014/chart" uri="{C3380CC4-5D6E-409C-BE32-E72D297353CC}">
              <c16:uniqueId val="{00000001-AC1E-4410-B719-66281604211E}"/>
            </c:ext>
          </c:extLst>
        </c:ser>
        <c:ser>
          <c:idx val="1"/>
          <c:order val="2"/>
          <c:tx>
            <c:strRef>
              <c:f>'ESG Inputs'!$B$36</c:f>
              <c:strCache>
                <c:ptCount val="1"/>
                <c:pt idx="0">
                  <c:v>AMD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Inputs'!$G$36:$Q$36</c:f>
              <c:numCache>
                <c:formatCode>General</c:formatCode>
                <c:ptCount val="11"/>
                <c:pt idx="0">
                  <c:v>289</c:v>
                </c:pt>
                <c:pt idx="1">
                  <c:v>261</c:v>
                </c:pt>
                <c:pt idx="2">
                  <c:v>125</c:v>
                </c:pt>
                <c:pt idx="3">
                  <c:v>129</c:v>
                </c:pt>
                <c:pt idx="4">
                  <c:v>121</c:v>
                </c:pt>
                <c:pt idx="5">
                  <c:v>126</c:v>
                </c:pt>
                <c:pt idx="6">
                  <c:v>199</c:v>
                </c:pt>
                <c:pt idx="7">
                  <c:v>181</c:v>
                </c:pt>
                <c:pt idx="8">
                  <c:v>208</c:v>
                </c:pt>
                <c:pt idx="9">
                  <c:v>232.7</c:v>
                </c:pt>
              </c:numCache>
            </c:numRef>
          </c:val>
          <c:smooth val="0"/>
          <c:extLst>
            <c:ext xmlns:c16="http://schemas.microsoft.com/office/drawing/2014/chart" uri="{C3380CC4-5D6E-409C-BE32-E72D297353CC}">
              <c16:uniqueId val="{00000002-AC1E-4410-B719-66281604211E}"/>
            </c:ext>
          </c:extLst>
        </c:ser>
        <c:ser>
          <c:idx val="2"/>
          <c:order val="3"/>
          <c:tx>
            <c:strRef>
              <c:f>'ESG Inputs'!$B$37</c:f>
              <c:strCache>
                <c:ptCount val="1"/>
                <c:pt idx="0">
                  <c:v>Broadcom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Inputs'!$G$37:$Q$37</c:f>
              <c:numCache>
                <c:formatCode>#,##0.00</c:formatCode>
                <c:ptCount val="11"/>
                <c:pt idx="7" formatCode="General">
                  <c:v>551.79999999999995</c:v>
                </c:pt>
                <c:pt idx="8" formatCode="General">
                  <c:v>541.70000000000005</c:v>
                </c:pt>
                <c:pt idx="9" formatCode="General">
                  <c:v>550.79999999999995</c:v>
                </c:pt>
              </c:numCache>
            </c:numRef>
          </c:val>
          <c:smooth val="0"/>
          <c:extLst>
            <c:ext xmlns:c16="http://schemas.microsoft.com/office/drawing/2014/chart" uri="{C3380CC4-5D6E-409C-BE32-E72D297353CC}">
              <c16:uniqueId val="{00000003-AC1E-4410-B719-66281604211E}"/>
            </c:ext>
          </c:extLst>
        </c:ser>
        <c:ser>
          <c:idx val="3"/>
          <c:order val="4"/>
          <c:tx>
            <c:strRef>
              <c:f>'ESG Inputs'!$B$38</c:f>
              <c:strCache>
                <c:ptCount val="1"/>
                <c:pt idx="0">
                  <c:v>ASML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Inputs'!$G$38:$Q$38</c:f>
              <c:numCache>
                <c:formatCode>General</c:formatCode>
                <c:ptCount val="11"/>
                <c:pt idx="0">
                  <c:v>282.2</c:v>
                </c:pt>
                <c:pt idx="1">
                  <c:v>309.7</c:v>
                </c:pt>
                <c:pt idx="2">
                  <c:v>131.9</c:v>
                </c:pt>
                <c:pt idx="3">
                  <c:v>366.7</c:v>
                </c:pt>
                <c:pt idx="4">
                  <c:v>376.3</c:v>
                </c:pt>
                <c:pt idx="5">
                  <c:v>379.8</c:v>
                </c:pt>
                <c:pt idx="6">
                  <c:v>391.2</c:v>
                </c:pt>
                <c:pt idx="7">
                  <c:v>469.2</c:v>
                </c:pt>
                <c:pt idx="8">
                  <c:v>453.6</c:v>
                </c:pt>
                <c:pt idx="9">
                  <c:v>480.3</c:v>
                </c:pt>
                <c:pt idx="10">
                  <c:v>582.20000000000005</c:v>
                </c:pt>
              </c:numCache>
            </c:numRef>
          </c:val>
          <c:smooth val="0"/>
          <c:extLst>
            <c:ext xmlns:c16="http://schemas.microsoft.com/office/drawing/2014/chart" uri="{C3380CC4-5D6E-409C-BE32-E72D297353CC}">
              <c16:uniqueId val="{00000004-AC1E-4410-B719-66281604211E}"/>
            </c:ext>
          </c:extLst>
        </c:ser>
        <c:ser>
          <c:idx val="4"/>
          <c:order val="5"/>
          <c:tx>
            <c:strRef>
              <c:f>'ESG Inputs'!$B$39</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Inputs'!$G$39:$Q$39</c:f>
              <c:numCache>
                <c:formatCode>General</c:formatCode>
                <c:ptCount val="11"/>
              </c:numCache>
            </c:numRef>
          </c:val>
          <c:smooth val="0"/>
          <c:extLst>
            <c:ext xmlns:c16="http://schemas.microsoft.com/office/drawing/2014/chart" uri="{C3380CC4-5D6E-409C-BE32-E72D297353CC}">
              <c16:uniqueId val="{00000005-AC1E-4410-B719-66281604211E}"/>
            </c:ext>
          </c:extLst>
        </c:ser>
        <c:ser>
          <c:idx val="6"/>
          <c:order val="6"/>
          <c:tx>
            <c:strRef>
              <c:f>'ESG Inputs'!$B$40</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Inputs'!$G$40:$Q$40</c:f>
              <c:numCache>
                <c:formatCode>General</c:formatCode>
                <c:ptCount val="11"/>
              </c:numCache>
            </c:numRef>
          </c:val>
          <c:smooth val="0"/>
          <c:extLst>
            <c:ext xmlns:c16="http://schemas.microsoft.com/office/drawing/2014/chart" uri="{C3380CC4-5D6E-409C-BE32-E72D297353CC}">
              <c16:uniqueId val="{00000006-AC1E-4410-B719-66281604211E}"/>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1"/>
          <c:tx>
            <c:v>ROA</c:v>
          </c:tx>
          <c:spPr>
            <a:solidFill>
              <a:schemeClr val="accent2"/>
            </a:solidFill>
            <a:ln>
              <a:noFill/>
            </a:ln>
            <a:effectLst/>
          </c:spPr>
          <c:invertIfNegative val="0"/>
          <c:cat>
            <c:numRef>
              <c:f>Multiples!$L$13:$P$13</c:f>
              <c:numCache>
                <c:formatCode>0"A"</c:formatCode>
                <c:ptCount val="5"/>
                <c:pt idx="0">
                  <c:v>2020</c:v>
                </c:pt>
                <c:pt idx="1">
                  <c:v>2021</c:v>
                </c:pt>
                <c:pt idx="2">
                  <c:v>2022</c:v>
                </c:pt>
                <c:pt idx="3">
                  <c:v>2023</c:v>
                </c:pt>
                <c:pt idx="4">
                  <c:v>2024</c:v>
                </c:pt>
              </c:numCache>
            </c:numRef>
          </c:cat>
          <c:val>
            <c:numRef>
              <c:f>Multiples!$L$15:$P$15</c:f>
              <c:numCache>
                <c:formatCode>0.00%</c:formatCode>
                <c:ptCount val="5"/>
                <c:pt idx="0">
                  <c:v>0.11924933536262745</c:v>
                </c:pt>
                <c:pt idx="1">
                  <c:v>0.10921819887652459</c:v>
                </c:pt>
                <c:pt idx="2">
                  <c:v>1.5392387824472963E-2</c:v>
                </c:pt>
                <c:pt idx="3">
                  <c:v>9.9022821706721241E-3</c:v>
                </c:pt>
                <c:pt idx="4">
                  <c:v>-6.609155915209812E-2</c:v>
                </c:pt>
              </c:numCache>
            </c:numRef>
          </c:val>
          <c:extLst>
            <c:ext xmlns:c16="http://schemas.microsoft.com/office/drawing/2014/chart" uri="{C3380CC4-5D6E-409C-BE32-E72D297353CC}">
              <c16:uniqueId val="{00000001-5744-4EF2-8517-3AC5CDB2E6A3}"/>
            </c:ext>
          </c:extLst>
        </c:ser>
        <c:ser>
          <c:idx val="2"/>
          <c:order val="2"/>
          <c:tx>
            <c:v>ROE</c:v>
          </c:tx>
          <c:spPr>
            <a:solidFill>
              <a:schemeClr val="accent3"/>
            </a:solidFill>
            <a:ln>
              <a:noFill/>
            </a:ln>
            <a:effectLst/>
          </c:spPr>
          <c:invertIfNegative val="0"/>
          <c:val>
            <c:numRef>
              <c:f>Multiples!$L$16:$P$16</c:f>
              <c:numCache>
                <c:formatCode>0.00%</c:formatCode>
                <c:ptCount val="5"/>
                <c:pt idx="0">
                  <c:v>0.22527703052888767</c:v>
                </c:pt>
                <c:pt idx="1">
                  <c:v>0.19281693241500769</c:v>
                </c:pt>
                <c:pt idx="2">
                  <c:v>2.7138237515248919E-2</c:v>
                </c:pt>
                <c:pt idx="3">
                  <c:v>1.7250943482017004E-2</c:v>
                </c:pt>
                <c:pt idx="4">
                  <c:v>-0.12363851016832965</c:v>
                </c:pt>
              </c:numCache>
            </c:numRef>
          </c:val>
          <c:extLst>
            <c:ext xmlns:c16="http://schemas.microsoft.com/office/drawing/2014/chart" uri="{C3380CC4-5D6E-409C-BE32-E72D297353CC}">
              <c16:uniqueId val="{00000003-5744-4EF2-8517-3AC5CDB2E6A3}"/>
            </c:ext>
          </c:extLst>
        </c:ser>
        <c:ser>
          <c:idx val="3"/>
          <c:order val="3"/>
          <c:tx>
            <c:v>ROIC</c:v>
          </c:tx>
          <c:spPr>
            <a:solidFill>
              <a:schemeClr val="accent4"/>
            </a:solidFill>
            <a:ln>
              <a:noFill/>
            </a:ln>
            <a:effectLst/>
          </c:spPr>
          <c:invertIfNegative val="0"/>
          <c:val>
            <c:numRef>
              <c:f>Multiples!$L$17:$P$17</c:f>
              <c:numCache>
                <c:formatCode>0.00%</c:formatCode>
                <c:ptCount val="5"/>
                <c:pt idx="0">
                  <c:v>0.16166460990427631</c:v>
                </c:pt>
                <c:pt idx="1">
                  <c:v>0.14557570815202364</c:v>
                </c:pt>
                <c:pt idx="2">
                  <c:v>1.0376588222823665E-2</c:v>
                </c:pt>
                <c:pt idx="3">
                  <c:v>-1.494510875186147E-3</c:v>
                </c:pt>
                <c:pt idx="4">
                  <c:v>-9.3509002474253172E-2</c:v>
                </c:pt>
              </c:numCache>
            </c:numRef>
          </c:val>
          <c:extLst>
            <c:ext xmlns:c16="http://schemas.microsoft.com/office/drawing/2014/chart" uri="{C3380CC4-5D6E-409C-BE32-E72D297353CC}">
              <c16:uniqueId val="{00000004-5744-4EF2-8517-3AC5CDB2E6A3}"/>
            </c:ext>
          </c:extLst>
        </c:ser>
        <c:dLbls>
          <c:showLegendKey val="0"/>
          <c:showVal val="0"/>
          <c:showCatName val="0"/>
          <c:showSerName val="0"/>
          <c:showPercent val="0"/>
          <c:showBubbleSize val="0"/>
        </c:dLbls>
        <c:gapWidth val="219"/>
        <c:overlap val="-27"/>
        <c:axId val="651210800"/>
        <c:axId val="651208400"/>
        <c:extLst>
          <c:ext xmlns:c15="http://schemas.microsoft.com/office/drawing/2012/chart" uri="{02D57815-91ED-43cb-92C2-25804820EDAC}">
            <c15:filteredBarSeries>
              <c15:ser>
                <c:idx val="0"/>
                <c:order val="0"/>
                <c:spPr>
                  <a:solidFill>
                    <a:schemeClr val="accent1"/>
                  </a:solidFill>
                  <a:ln>
                    <a:noFill/>
                  </a:ln>
                  <a:effectLst/>
                </c:spPr>
                <c:invertIfNegative val="0"/>
                <c:cat>
                  <c:numRef>
                    <c:extLst>
                      <c:ext uri="{02D57815-91ED-43cb-92C2-25804820EDAC}">
                        <c15:formulaRef>
                          <c15:sqref>Multiples!$L$13:$P$13</c15:sqref>
                        </c15:formulaRef>
                      </c:ext>
                    </c:extLst>
                    <c:numCache>
                      <c:formatCode>0"A"</c:formatCode>
                      <c:ptCount val="5"/>
                      <c:pt idx="0">
                        <c:v>2020</c:v>
                      </c:pt>
                      <c:pt idx="1">
                        <c:v>2021</c:v>
                      </c:pt>
                      <c:pt idx="2">
                        <c:v>2022</c:v>
                      </c:pt>
                      <c:pt idx="3">
                        <c:v>2023</c:v>
                      </c:pt>
                      <c:pt idx="4">
                        <c:v>2024</c:v>
                      </c:pt>
                    </c:numCache>
                  </c:numRef>
                </c:cat>
                <c:val>
                  <c:numRef>
                    <c:extLst>
                      <c:ext uri="{02D57815-91ED-43cb-92C2-25804820EDAC}">
                        <c15:formulaRef>
                          <c15:sqref>Multiples!$L$14:$P$14</c15:sqref>
                        </c15:formulaRef>
                      </c:ext>
                    </c:extLst>
                    <c:numCache>
                      <c:formatCode>General</c:formatCode>
                      <c:ptCount val="5"/>
                    </c:numCache>
                  </c:numRef>
                </c:val>
                <c:extLst>
                  <c:ext xmlns:c16="http://schemas.microsoft.com/office/drawing/2014/chart" uri="{C3380CC4-5D6E-409C-BE32-E72D297353CC}">
                    <c16:uniqueId val="{00000000-5744-4EF2-8517-3AC5CDB2E6A3}"/>
                  </c:ext>
                </c:extLst>
              </c15:ser>
            </c15:filteredBarSeries>
          </c:ext>
        </c:extLst>
      </c:barChart>
      <c:catAx>
        <c:axId val="651210800"/>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51208400"/>
        <c:crosses val="autoZero"/>
        <c:auto val="1"/>
        <c:lblAlgn val="ctr"/>
        <c:lblOffset val="100"/>
        <c:noMultiLvlLbl val="0"/>
      </c:catAx>
      <c:valAx>
        <c:axId val="651208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51210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ln>
              <a:solidFill>
                <a:schemeClr val="bg1"/>
              </a:solidFill>
            </a:ln>
          </cx:spPr>
        </cx:plotSurface>
        <cx:series layoutId="regionMap" uniqueId="{918A9E4B-5BE1-42F5-A1AB-1A113A9485F5}">
          <cx:dataId val="0"/>
          <cx:layoutPr>
            <cx:geography cultureLanguage="en-US" cultureRegion="QA" attribution="Powered by Bing">
              <cx:geoCache provider="{E9337A44-BEBE-4D9F-B70C-5C5E7DAFC167}">
                <cx:binary>3HrZct04tuWvOPK5qcREDBVV9QDyDBpty7Y8vCBkSQZHgATB8Y/6O/rHestT2i5nZmXfjqi+rchw
SoeHBAhgr732Wvvvd8vf7pqH2/BkaRs3/O1u+ccvRYzd3379dbgrHtrb4aQt74If/Id4cufbX/2H
D+Xdw6/34XYunf2VIMx+vStuQ3xYfvnn3+Fp9sFf+LvbWHr3fHwI6/XDMDZx+INrP7305M6PLj7e
buFJ//jl5W0537pfnjy4WMb15do9/OOX777yy5Nff3zQvwz6pIF5xfEe7iXslyeNd/bzn5jgL8++
um3h+p+P93G02/v78DAMTz7//7f7vpvbbx+Xg88+vVjmH6fx8vXHef/6/cL98+8/fABv8sMn36zt
j6/9Z5d+XNqsKN3tl7f/r68s5SdpqqjAiqlPP9+vNKInIqWUKfplzE8r/qfT+PmCf77th/X+/OmP
y51d/eeX+5Ur48P9kxfxNj4MX5bg/8Kyq5MU0VQwKtDHH1jebw54otQJwpJy+mVbIAA+BdOn5f+3
p/Xzbfjh9h+244erP27Lqxf/+W15AXB22/nw8GVZ/utbgk9oygms+Nef77YEQyRIJAli/HOkfBn6
0478WzP6+W58c+sPO/HNlR934cXhP78LT2PxEJ58Av0/DY4/gsTfv/Y1K+S38Xb3MZ18g5h/fPUL
1P5w6x9lpU8xdnoPKQfxjwv8CesfH/FdAL64LV188qx8COHhya27f3JZ9uMDhPCXU/H1GQ+3Q/zH
L0nKT5BkjEpKqBKMI/XLk/nhyyWGuOQACBiOYPrLE+dDLP7xCxMnmMG3EZMqRVilgBKDHz9e4oDL
SDDBJeIcbidfE/oz36zWu69r8/nvJ25sn3mY9fD4cjB69+l7jxNNKSEqTRGHQRDGQioC1+9uryHM
4Ov4f7BkpJB4puJQbHQ4irl8DWPu+6G9EGXsNaMb0tW22l2DY5GJ4jrWy/nmjNzLqToUMKPdGNbi
mFZtoSOm79K55HpE/Y45OWpStues3c5MsHvk0YvRN+/m0HxgHcvWVJyPPDmzi0P5hJTU5VLdjxU5
nRW7kYWfNDZL3JHRv1HFdqNwp7LHXyqb1vlQFV3GFvu+HWR5LMU2ZZzJRU9UvN/w8NDWKtkZniy7
fpLJrka2yTHDz+GFryhz70pEjj6tUV4ZY/MhLQdd0JAVbFBZ4zafI1Jvl9u6bceqqS/Dwgqt6Awz
KKsPcpkqzepAtU37N03XvlO+3TlszuJIBz1X5mydxB4XMHwb6/coDerQGmp3E3bdp2mVA2l06NND
M7ku85V9pZKnS0efbZusd5P07+aVXxV2QXqI5X1h5EvLYCYbWnzuuHK6jOimLabuGeuN1AlLmmyZ
5aCJGPNRVPdmsVXm6/ehtW3W9mzWczdeMY9ft0OSi3p+N/H1Zhhg58qaL3pti/fzJk43WXWZIaHb
rU3ZZYPhV8PW7qoixF3rmmeJ2l5vM6wTSWGPpEx1Oo7Px9g9q1E/ZNUK71OrTWWzTOmBbExkEl+E
ZYxnjczWfu73rZBvIkOZb8Zp30w8gZMyapNsKFvYW4EmLeak0Lhxhaa+fG+GZT2XSdPt7EiSnVpZ
fVb4vtdKEKu3lT3nqNQVn8asxAk9C8PSnJamiNesonHvFkoy4DvLWWPWyzjUPhdDYHld8GW3bm3Q
boEpJO2k120gWe3UmiVqjLsUjcNLs8LquJ4OuxBDlUEwl1mDCq8dM2dVQEjbhR0WM1S6ZPSQNBPV
vI1Xq4hRpwUczWZOUl1scNh5OmrR4d1McUYrdYphsxh277ZumnOX8n3R4zPM6uumCs8Egt0v+vis
xVerrfakr999g14/QQAAt+/jXyqOECOKpQTzFD9e/yb+uUOe2VHYg2y6XgufHtaKH9OypnCgmos/
Hgyjn41GJU8ZgVGx+mG0acQ4SQpjD0L6qLlVhyDGQ+LdG1LtNlNfzemcxTh5OJDDmz8ZHGqFf31V
AFWeSpwSeN/vX9W1mHqfEnvwdf2epsjnPFkzsi4AcDNgzceNaIdMmeZCuvYi2cT+j6cgfjIDjBBA
OiDtI6f4fgaMpqztU2wP9TRdMtJe2IKf9n2brazZeVP/yXILSBM/vrEgBPIFJkik8M7fj+coGsJk
YHONYkzHwLNivQn109hByIc5VloN6iWre5UV6XxTMX4Zu/ekD8cmtVkdFy1NuU+jO08Zu1E+ydvx
vK+mG+nlfiT1kXb9Vav6w3afxMZlfRNzsXY7vAEeuZE+d6uUepvFaefL22oeThM7nJu+2AEa7ZAs
Hni/yBxK03dLk0jdUXyx9j5kMHGmiynuqh7nRhZBF8V821P1srWAmjWi4ZyELcmmmd2LPrypBuk0
gxR26Eb8vGBs0I0K5aGxXaX9ut2QHuBTkpt6lS+LDd2sfQmHLMgrkso187I4c+W4911y7DhKs4/7
/pm9fI6yT3n3zndrKG3xuZb++uc/X/oW/vtYIP724WMp/ttfl19q+D/81uHBPzLP4ccvPc7m67Ng
Mp9n98hgvvvjX8jU79ClT5LA71z897gURhhxoSAMvlb9PyFUzn7LnX675xOBEuqEoTRlwL85RTJV
cIg/8SchgQphIFQSEfJIrODKZwJF8QkDXgU/HPj7I7v6SqDgEpKCKwURiCmHAvivECgMfOvbGEsI
ZoJBwcYeY/0b4JyNZS2PpTlgsryZyhHnk439IQaDD7Utel2xtd1BpnBn5Sat7tDitHcoZqMtwwHe
Zsw62zQXTULnvF+rPk9a32pHgZu0HuuJoe2sl117G6yZTsvEtHucbnG3ICZ0kAM/Lmy02YbTheo4
MK+rOn3FfXnXNyLsG0u6q6YeJ4gXFW9LNa+XFHkAmwWCuutrAngf+Px+nSM6G12FMlYn6Mz1ymdh
nEg2A3k86/jEdrLvwh52mtRatkw2GvnK5RyAR8+L5M9VDQG3CM9v+pKMWevTLqMlinqdgUm5cS52
BpuQdaptM+625bQEiNbT1L1OKhVf+IIZXZB+vSnVsuqtLNYHQdW4V0HYbJVuzhxqeEYG2uq2rshO
eZdmvOk+JAhHnUx9p5FQMB0+Cqy9mA4TYKpcUZ2NKfb7Iq3Kl7ZZpRZGjjzDohwzEux1w9JiV1B3
OW+jgpfocXsc7dwcExKWTMXN3jeAl++ayopr6cx64H7eLlOyTnkSw3LhymHe18Ineymn4WxV5dFx
8kYudbHDQ7FmKRuHrIuo08qwZr8y5s/cxjui61CL/bhs8oDn5WXRVwe5rEG3vnYHxcIlr5cpS4Mt
ssZMybGxy0UL632gYhHaWvRyk8uOA9s8XYUNGo8p1auMrbZdM+l+Eol2crHHviXPW05H3ZZzuBij
q5/zENMsGQYHr9iodwONNPPdSIGNdwaQ1LPjZFB3M4m5ezFN7ZQXQBPO+1pyqhsajcZb3wCvWea8
WspwM47DeBBAC3cs4e1RtaR5/ddR9N+DyJ9j7f+LAKnkH2Hj9f/6n6MDYfU7fHy85RM0pumJJFwK
AUKeUgyqly/QCFcIFphzBQhIoVgE/PsMjQlBJ1I8EhAFxV+KlADk+lxcApqdUCCEIFExJgFBKf0r
4EgfMfC34lISmBIH3MaKMkQE/ZF/ELlFXg0m5E7URXIl5nr2mVwcVB/TApljT9cEW83atjIZm9QU
tSFrMp/jwJjVi+Nbv6NGVdshmfzSabM5NZzihSRzNvWxas4ETrpZkxgNyqiat2sA/kbkA0W802ko
yDMXROLysVCu0QyvxaBxK8K9ZZWiUBWN9NoMW1XnlC1pyIZGDTwv53E4MjvTMZto92YYub+zSSne
Mxf8/V8/1k+7B/cihoeHeHnb/TdI7I9Z8PdTel6V70GtKL89to93fDq1jJ4wOJsYgSiCAeXp14TO
8IkQGJK8hORMUiHhPH8+tZicCMjkVKWME0Q5/k0RwehE4RTyuAJyAGcNs79yZmHwb46soBRzhQVw
ZngSU+xHig4c145VFET3eLZHEG9iXolWHb5Zj8988Fvd5aejSDiDDGNQJdBj4HxDHvqq3CAdwyiy
ZuuFtUNx0+BA9B+Pgj8G2G8BKCiD94EkzWB9CMEgJn0/TjMVJSUzX3U9RkZ0LMKK864z8pkcRzkc
1lqwHDA91HphRGS2i9WUKzbFZ53iA9ZxGt1Lt4Kms2sR5NHLyVhCz/oasUlTGxaxd7Wg8650vpxy
CEO16eDGZciXlIynrMKmPG7bMh6w2FjR5DbidYRIXryAqUxD53I0mvS6LBrUn1vVUZPRpNpK3QEG
PDeQ590RjZOA0qJ0HO+4WegdU9sgj2yJ+CAMDaNupAurTsa6emo8A2HG83k5nwVNr1NRyvIp8guw
fkIMUBhe1a8gpym0A+3JXzEyx2YfbT+6fVK1y3Doo2nb3TyibdJsmX2tg0rlrGszpTKvNuRFBh+g
bhdCgVkPyhXg4HExhblxc5xklhKTykNXS9/tykaZ6jC2PDQ7ZUBtO0+gwG51JEK5zLnVngYyb/Fi
TlvGbplPVZvzIXp34wLrzkO1sf4YvFifmRKBWIHDTCcocNZYakHWMtXBuv626oy6HTq1vHIydB+m
lvIWrsTmnZ1IA4rXmN5N5UQ/MKZS9zYRZuuzrlkmvMMOEXlURRJAzKmSsTziDc/zLsq5q44dSUJ1
rXjsFnixBrQv28uhP0fVEqRu8dLVoGHwkbyLIWEu92QhoAaSyOyO4WYhQHf7bt6tSqFKb3ZUJEvR
Ui2ngZup3LMUI5FRW0VU69ri+Y0cZcS6SGvXHfuOV0/TzU6fyuO/VJX9e3zivxs8YwGB/vv4fFXa
h1B+NRMfheCPd3zCZ8xOOMAwcAqkqBSgHHxhFQQuAGgpAEg4ISrFgOlf8BlMEpmCiQI6MhdUEiAp
XxTrEyLg8ACkA/+WArSIv4LP/NHy/Q6hEdAWBmkAxoNTIeQP2CmagbBqNBqOYdkthxXOUaMp8Uid
bg1a5VUnrCv1MpV1cTlGkOByGpswnFZ2kXUWOu54thAeXgogX0Pe1bOdnyqfFlZDXPak1HbskTzr
InaV0owQ0ni4A1SHHA/dVui+RUm5r4kI1VGsrEqzDlWeXzI3zCgDkT7x2pZm5gA1w7rsFC5kyJYE
e6c5xWzRQ+PrqMehppdQfyTvtqTkqe7HGTU6TcV6CTK0fVdXJa0y2kKtkTnedlj7lplZs7kuoaqT
VnRHlsSiBS16bresMqQqMzpXKuQgWcZeF5WYo45l0dM9nbjnO9BJO58lfc3XI3OseaNETa5YAbLw
LtrGPg1bVLcFlukbb6O87wxRQIvWdCx1EYap1us4Yv7GEBjytcV9TKHUnZf2ciWNas/mqYbaw3li
RD6m4HCcssat/gXdKsilW7fNZFeLTQ2Z6ITcdmgqTKGrdJQ33g8Uv0h9MUJ9VYXxQnEjF9g90H1B
7R7G7azpTT88HQaDmlNSAUjojpP6HOy9JWo/zMsbZ6G+2/dKFvOgp8WZG19UE9vPKina42CKR9Ge
9xXd9eXQvw+rg1p766W4K7gzRYbIym7mNo1vURmTdIebOh5GKID7rOicvBuM9yGv5nIeDmGrQa9E
uPUMCq20RSCG23BepWkya8DDNd2Hios1q1k5QNG88kmALtZSkS0YpnVIB75MYAIA24w+Se6LKSln
vcxleY7NUFwnsRw+YMZexdJ2tS4GjEjWRNl1uqlk+WKcvSthgep+3zR4oVmyhZBovhH6mvilxrpm
qF21WNP0emRTBTV3NSKbQbbdOj01XCVAuecBuMHSLm+AcVNQ4CER3pGYlCGTNOJWbzzdnvcNT2Fu
GJftnlAPelvjpq0G1o3CQ0Fac2fm1j0FUoLfl2irmv1g/TLrUfRuyvlkwLThUzm/k5yA9IBGRMLB
IANkoFwV9Xpc3HbLkrR7OtF0tLrvw7LpevIy5iiYVGlZ9H4DnaCs/BmJAZwWcHF8mdl0oLNGZl4R
+Agb3t40tTV37QzizaFrPQEBU462g6PbdsMLZwkrcmFUWeopkvoZrlJybdauvsDJFk1ehBrd9/1E
tr0t+dLqYarkmyq1/HnkUb3xQjROTx2ICKceimF/WsxN+7RvPOSvtiEGxNZSgImiorQPZFiRhVqk
lwguzhvJhl6urU6pn21mlqV5NRe2UABixTa+qnxj347V4/6opiqZXiOWKOfrDKC3lA3BuuGLb8Cu
kj3AE7b9pZJV+woRGG1nRLXebOtMi6dTOwQO55CP9TX4V8HkFCW8BkF1s0dGin4+gDGexp0NfGl2
aTWHNRt7MARymjQtBFTPA9KuZE0J2kVrB+CRIAJpcEZolzOH2xYoXFWgPfiJxaitrx/fTpWJzxPm
px7edyovhwSKAO2BedegGsjO5DJQw/erSKa3CRL+bct6Mup5TrpJJz2xcx6Xkm66GeVawb8WpGgu
Bv60Gdz8fpAxnHeL3RptgchEXa/d0uUDZ/QaDuyCd6tpG6UtYwUw07XnTV6miqC8g4BzmtItzplh
I3XZymU174TouuKpKVBxGuqx3vRGhL0u+xYq0sVs496BNnXJegZbINcmARHKgkd6aTbu/Hlsm6rV
IOHZcccg+4y63sAP3UvTRgV8tQVFT/ZwKMYS+GYWeyWuB5OYTacdL3jeRMh0cKyX8m1ZItClwuCQ
zBWE2kvGeBz0Zqg/My3Bw662Mq0yyzoTNaApeE+QM8ag1x6UbB2TNkLhjJukzxvrwdT0FWlvyqEw
LhcRKLzu4Z81A2OpuyGlVwlofTUcvqlEDnQm16Zvi1jUNmu8KfPAq63Y9bgrOjBIBLtfVIlAN0S4
eitTw5E7ZfOQzvON4S0EtOZFwPdzbN3VuG1lrQkGQzEd6nY6mJLUH6qFNFfpwtNXJCm3t81Iwl2R
ABZmq/f8Hg9jYvTqEbpZfKVWTYfgPzCbFodlE/68wdv2rsRkvFQG914XxlOlu74KPu/7pqyzsvf4
eo0bfs3Tyha6Fb5WoFJu4o3p6ew1U2S7rstk+1AncTrDAmAgCyWLh7mptjErJqGegjlTrroCDyvV
UyB9oVH/aEjHYsKnKZir826ca6DXGwRNqc04TxQCZeIva5uA5lgHI4ChGxb7PatsBx7fEuZWT+A4
XxZNX9wNS1JLkBs7yrK0AWHyuaUbbrKhBFXmaoDuP5slVs4rlGaVa0HaZPVU0ttaoVjAjVvE4/lM
bLuAYdymII4QPo/ywio81RfcJlMFmWXZjHvJmzLW+SwroOaiFos5jnUS0KyVbRE+XZO0Qc/D2kuc
CRaaNkegn7u85rS7lL6XzbmLBQ9abBW+E9LO8z1eV9tf+MY0SQ4I3AIyNWos83WuDX28c92yZi3o
e9sk1Qx+ztoOIBlyZmLej6Ux+bZEZE6HcR2L13yLCdsNyeCql3GdnM8bU6HqaMrZ8lJzQHmctekK
C6MiWWHbt2Ey70aweegOzU6xox+9FF5PqpmYBOBqVO/2IU0n9NDXAGM6gQYNdFh5lcxbPoHOEGed
PorZF6qMZv0Q1YLqqwEAIuwjbWW4LGvrw6VBNbi0harxlu5a4BYgeG4I1Oh9AW66OLd1RW3GNuvt
BQHN2b73IQkqL+KCYJuqtI1ZyQxMlBSjmaFGHBlddLtYyu7HJY7Nma2ntX4GKh/asgBEOjm4oQdN
3nTr1GdohbN7bPqkh74MtNUgulabpxndeIlvBrSR8mB7ASQYDnK6vIK+DAfuWwqNGGBCkL4Xb9WM
8ZvFJFCItXI0H9AIjsbB1RVfASXqlejWIKjMyAaHOY9TO8a9BPk4Hl0T6vUU1rwesxVN5ZDxUPXx
KZTAqDkvKjI+JECgL+VixDvhVgRND3Ktyz0Ow0AOVE5q3c2udCTbBDZb5lNu03zboCaHRZv8VSeH
hO7WESNoguCpteC78rLJRELxCvoIEYsOnejfAyaAQ5dOg4SjjlHJMkvnST6NYoQwx7KhfseAdvTA
1kZLIb+Tftxx6KP50FNUA3dXpQP+XW893UGt2hOwY4ra5ByLpQEOMsXmAASBBd2nC8SbUSmgXgd5
8xVTpYJfKetfegZsej+CtZ9mYZ7ZkLUGL3zXibK67qAV5oMjoC9k0NQwtlotbD2PnWl7PQCljrl3
ApRNH4bR66HnswJloeXyDBcWljgIVLxOcCe6bOS2RlmkoWozl441UBVQXYpndAx2PHWpL6HXZVlH
f87mpq/0WpjVZ9ucVO6oZt8JaGIA3UBP41i7y34JvNC+kT05r5VfG1i8kBS7aRRTmVUez0meINgF
LQpepzvmN1lkNTysAXmmL0wWWagHXXWrGzM7D6vI56qYV40GNd9NydYAix4K/2A7kDt2vXF99b5r
OraGvLcJFBfrUHZbvnE8+C3rwaGRI5T8kYP25Kc4Lr3eUtHhaQ9lh0qbXKSWpAYaM2hidutKIwG1
dpjUKw5J1OzrGgymaxC0TPo8DYw2MeumDpY0Y66iwyugnhUFghC6Nm7/B37u/6fKAQWn4PeVg/Nx
vi3jt7ouWKhfhV15wii4rVJKsFXlowbxyahl0GsMZS1kUolUKhD9Tdel6OTRoAWfgkJSAVkY+tM+
6wZEnkDHAjxOQBMymBJM/hXd4OO8vtMNOLS4pEIIcH8VKBSPjc3faq4gdY6sDaTL8TyAFWsnr0Dd
h24RBl1fHgjwpVV6lK+NzewyuuEs+KTbMpO6ZQaOBHKiTjoELUejCQhn02JLiExb+zWT0QO742Vh
zohfxzJzk4GuDq6WYMBzKx5ls7HASxYqbM3lWPO6z8ngBncsqV/ugq1WqN0MqAoZ8E9MgRJOy5lH
0Dqk5STxc5BJ7LUsZQfJpyFDnSnWTZt+VHGJbnADZkfXYWDmCJpbMiqmjgJf691p5CV0NuEuoMvE
SC6PZi3Kiwh9eWveUyGLvGPQsnKcySaKzFTQMJLPzss1B68z7upmBel0i1dNJLAiZVneU+MR0xgl
cX5WmbV8a5ckBZ0vrPN0TMAFWnTKymfFoswN6EvIZekGv7poWAqmTcvW680s/Nla9wl9Ybix470a
Kyi1G+sacVY46JU6kxiKo33DAx+gQWsy4JB7YGS1MACfslhDd2WT1YNaOUlCsgJ5gq/Gqdhkxm3r
swn0/aPbZrwd6rGgxXNXqHHRyNJ47Bhk/Gcx9HTczbSNZ9QK6Y4V9d350veOved2LQmUVpF8cMC3
dSNU9ayhhHfgbdd1XvKSvzAYNxdDqCb+yLNW+HQK86Y7Sd2+2JburqjjppEjgr0BLJuPjQk912Tt
rlK63jLuRA6tZ6zSNKYebOIz04TmtajB7M2aFFCyso8IBpVyuoO2yFkbqMRixhAud3hdnoJxywc9
zhufcoN6ZzMlZiCpSz2U6lD5JZx/E+w/sS3wo7b2rZ/AwRuEPjFgB1AtAekCAfDbGGK+ACV72Ma8
s2W5B0eMHwgCqNfQZNaCPC75NOsSCkjdUzZhvQxIaeccdJTNtDt3lRfPO+GZhiqwuDQOu1fr48qR
tVjyP54re/Q2/mWuYOgInhIJquOPzVZxBeoG/Q+5RX0CvYEVNTXo54OUsNNVDV1fCgjzo3LfBFC4
h3fLBq2V57QjtdpRyDR5HRrHoEWKbQE0mWL+wCO3H9SS0qxLlDsm0PbwghR10+qqDThkoqr8eUEc
z13hPvBKXtJZ+CsPMbh3Rdt5PQ9jnVtQSx/UmlbPu26L79pJ8V6TyYEm4A0GcWgosLlp0yR5WK3x
z3vouLhqufJCQwnTjZBz4RFZEwow/RdoXwVvoZ6ggkya2H5KdZ+6m3+25SDc/ssyctBZ6aMUoCh/
vP6NVVXhRUxzQca8qsv02rdhejP2/FVdlOS42iaepsjWmQvFugOaXe2TOorbBrom/zd1X9Idt62t
+4vwFsEGBKfVSZZdpGzLduwJV+I47EmAINjg17+vfM96V0JUqnUwe5MMknNQEIC9Ae79NY8xWeg7
VHymLzmAsAeUBQHhLEl5iuXUnDbizze2/JWpMh5SNLU59j0KrG5XMvelYKTXBzP6+luJ3TgutTCn
AaWmu6Rn8nTBQGPjfbSh3z5tr0UGmoGUM1x9DNVxa5mSZCx5tymctjVi7/pm5Pe0xmfAZDbxxMlM
U5RxpxNe0N0JENPpqIdh3ptkOHWDQRW0SX6hwEI+hJvfARnH/Ye1CZvz27P8V+2cJRxXLRYHjAZ0
Uz0rJnjdr93ASn1oUfXAMrXqoAuVfxZ4JDZ7s6l6rwBBKYGo1f6hZbk+5nOA51rc/JEUarmfKxb+
ATAWKkHSJ+mYE3WkfO7uWcW3+zVu9V3R+/QjRVG3+J925n/Vr/n/rRNzyUrXn1MvyFSXNszlf/6f
LkwQ/h98ZaMUCnTbpZGLA/Uf2FsAChHF+Ubd9wLcZXgy/acLE+E/ASCH+zpBlgaCA33n/7ymKP8/
aOngCQa8SPTfPKQwxLN88D94N2QD/0IkeJYHJjN3eD4kxaPXL8spQNf3flim7UbL+troVvigPZWP
60SKxzzBV8wSFhUq52N7era6rySza6NbLaNmjtYunynPGlTs97GuVzziQnHvNjoexM9Xpoj9hkUi
CTOR0wQVuOos9RjfSDDXpm7ltLLTSgAFHmWRSr7gsfzlAvdxXPTLbz7bUl6PrJKhH2ZdifJaMLxf
GnpwWxPrsW3GYGmiOggz4nlPUZ7XuwZ99RuDW3Dy/z2L1jNkGVhSxzMJs00MzbeySfTD6E39j8QD
HmHgAZ6SwxCcul759xXqsgcgE+sbufTahlzak88WbWwKRiUIfhnouBUezNG9mf2fbqtmpecuT4TK
V2xItC5ZkSTLbvDi0m23L19azyfuNYQIdHCCbPJ6vFVNkfVt0zsObsVvTPyNo+rsZ9HGfgppvrA2
+OW0KL9v3mcLPtERH3V572emwE6aaDkLAFPdMoNNfxg0BgVNxM+mWoSngRLv3ud16Ra81Apej+m2
CKfaz5LFvwee6GMJuITbqlixK7YBj1PBu8euI+NhBRr55K/6v8Mp/b8Au6Ctnp+VKGiZN6EH9Lgt
bdLuwPNRj+hmzv+50q++Lq8Ekf0dEQVynuN5LB/rDawyv9piFPrFl7eX5vcs//cL4H9nb4Uo0Xkf
xWNbPPZR/eSD3QA8XxfdzWiFbDtK+vm0EEV/sUQvaIcC9JfwiR03IH8+Txz4p4gIP3LcJyukAXcL
25VMMstpfTeWIb/3e9G9e/svvbKMv8l9z0JDz5tX4bNd4ksw/5zP4bBnJne8ND0rpAu/MEM9CZ5F
MvF2kRR/rSW98UF5beLWhQxJgUkOgousAnbkS9hU+2pt8hv7f21w6z7WBthy0q0i6yuGsmlo8uRQ
s6BP3LbUs6IaTSTAp7pOZHGjq4e60+WezWXw5Lanl7/q2Z4msmJCr/mQ9Ykf7HQSLmfg+7c/3h79
MsdXQsOzAjtY1tnwRMXZMqOUNBRBtVt0Hz1EY1ce3v6Ja8vvv/wDglwC0bGtPGNLdMzD8kKbdN1a
K7KDpcxHIUOWaZaUd0HSgJ3o98QtXdtfR8MW+DIAuDiTsX9mYIHJ4hbd7vVF8RPr8u0v3AkDjFDm
15J5wBnp7duYC3nnsua+/fXJl7aVo6RxFtD8HSdP6xQf3x759QPjX7g8z49jHla99NotzipAhI55
k7Cv/tyWYMFq+uXtn/AvgfnvQ4kvmpe/wQggAcGoeAZWKHr+CVUPspg+C2C39gGvKnZYSdF/rQaA
vo38x6AsdifXyHzZAgBXvE3Qu6kQQLLUc88eaFUCfIr6Kzhja/OxUAr0WxBKczF80kP1jldrsqci
nN6N4EUkD2vlf337D7myydzK9WEj0JOYPJotMT6Rorplp2oY6xs7cWV0G8vrxXMxSpL32eSbbd81
/nTovT6/wRm8Nvrl3z9LOwvQu0L6xs8qXf+cl+VDM/sfnZbFLrzPS9CWBZFJhoLQt4Bd+tX9325D
W7mm7fuu38yQZKjwdDvfE1keAzTgNriVbLqtD8t6xeAFiOrs/UK7G7ff5QZ97bxb5yRHzZ5PGDQD
jMhLI9GqY+FRg16V9I/TMsg/eSmiPSc0zN7+U65EMbfSTzAluisaEWeA5G8fZN42D4lBAxO4mujw
9k9cOUDcei6gLjdH0quTbEBY7UTSnuO5dfrm8m3IJ+1V1JTtmGQo6tdPK3jff6AJM5/cZm6ln87P
8UQPcCfyRj5If/gh/PLGTl9b98u/fxZVwTZ2QAR0PBtpW6HqT4BDKIn/HjCC+cal9ftj4pXTxK3I
bUqheW8CngF4GX9vNkB8gIkku7Kq1NOERvHHmI/zfdfpnB9LKtAQqXJyBHKQ3pta0Mdum+ShG2J2
XEXd/3RbVOuhAYYR6QrhRdkalN4uDJs7ysQ3t7GtqG8qxsYoqPHCSJp77qHvIepqdIv6Cwfl+Zb1
Adie+QVqppvRP4WDV5/KObnx/LoSJLEVh4DUl9vizRSfm9AKQFMu+TbzIndLtLEVgsFMBfGBssoA
TYqOzVYATDd4xm1hLrSxFwtTrn4805xlRYOqf1eOX4Cx0W7XT2zFIJBzUNMAniwL8vkT66DpUI2R
23G59KWfT9yLwhrILtQmVrG+rxNx6Gt5//ZJBMfo1VQeW8E3z1GYDIVkGSDQ7fuRL8VfoY7LzyxH
V7nWdYw2LEugQtHmaFsOVfx5MPHPpOi7J8Aqpz1lK/9WSkAUHXfJijve6HUNuqjNfM8XJdRQfP6x
mkPmuE9W6HkFKBzdcMG6RuwOl+5fhgEz8vZiXltLK/IoeEjgZLE2K/q4Pi1qLHeh166Oo9uXbpKX
hPC4zSoSszPn424oQuV2QV1K8s+PGK2pYsBztVnXh5+TmN2VRXdwWhW7/0aYiOJ8wtB4CH+gasdo
9OA2shXQTShZAThOmyVe+5epzEnRWwoUV7byQj99vh6d6To1xZvJCPH+6kcfnLBpKxxXxIpnsNVq
bwTZIFvDPoDWjq/uFi5Dt3PCLn/Ssytbtbxp0T/LsxxE6AOpBwkgI90c526FZ6wZ3WhVmQwYr+R+
bZtwV9T8VifisnOvPAUunMvnc/dK5vky93iWh94v03fTcYFy1ScZh8N9oJcA4FJj3rmdHitaFyC1
whX0nGzTffF+ABD1uAatchzditaED6Rto67Jeh/veZJPT16tbiTtK4czsoJVF14U9woFCl2L+B3Y
k4Dzocntlgoi6xIuZ3RSzZI3Gclbddf588krqHdjWa5scGSFrFELZbXQeQa1l9rfV1urz5FeWqDr
p8XrdoGooCXARFm7RcNFR+PFiYrMooN8w18DZAe4HD6dDuUm/GnvdIoiK5aTTeagefp1NmlSAYok
T1tB6NFtcCuUCeXNEga6ybYC2kbRBC2GeYrWG8foShfKv4i0vVgbSIUBMkRQdJGVPlZxX+2Noc1d
p7z81JVqepAX9GtJAwh/jEn4axooXn1uf5sV6mMO/lUe0jrrwAHlGlI8yfg/spr/ZXHej6zIbqT0
pLdOTVbwFrz58BeErb65zdoK646UslioMlkIPDPoEP5eA3DrtiShFddQ11pD2qk645Tlu6gv+v3i
3wi8KzkDWMQXe+1j6/wlyPMUOpF/E4iW7QcZOX5y2FIya7zOAnfZmsXLrHZ4Q6bgHHG3CAutCEbC
71eotdTofZegDkNZMPo+baCtOewow//75cKUouriiU70PBfNuC/AftgZWoyOo1uTL0zeoQUx+Oe2
Gf5Zi+WX0ACPuc3cSj3zBNy1qX3vXNVoDsUgzqDYCIql2+hW7ilUAZEoKrxzZ/rD1PofSFj/5Ta0
lXfKKFbC71vv3LTmXEb869wtLpcXdtN/uZsLmC4orObm3Ky1XvdxUYB6iG7E09szvyztv94nGN7K
LN0U5jxcPO+sF5BWDzFYO3on84D8KEpgVd/+kd9NxNd+xUoy7ZDMEHAsvHPQVRF0RQLRfmq9rgcr
a2j33IBwiGjbll0MoThIMICkgwLz5B0NKbafkShLl/uHxb61UV7XiERC/fIMSM52xwn7LjWf797+
M6+sZWBluwFiCoFOoGYoarnKvRp1DHZdDxGI/ZTzfj29/TOvJr4Ls/vliRArJLQA4jTnfutBtpYL
23dFaA5uo1vZoweJTYDMa87dtvyTUMgqhk1546655IhXjsEFp/78eu7nJNnilZozRBaKNKz99nup
C/+4eV30oMehdmrxYomsROJhPQr0Mc1ZsWj7HldoKNPEpze+uOklOF77O6xMIswsKw7BkDNEgObj
Aq7br0py9pPUY/mOxUuJbffkeBxmQyHJFST7EKI4cjebOnA8BNZBLvyxVHOLZGagtodUvBu9qnNL
lIGVcgq6ToNoEK10HSIwPEQaVM14Y+K/wb6vLZ6VcRZCwTIHgvG8Ka+4N+0CwGxURR/wFhwOOSjU
d6Bg5g+gr/cghBpQa5O63zcg6qekAl2Vge59GCNflTs+XnhKWwt5sXJmZh+W23ZXCy/oDnk/On3u
I2dYy7HMYCurtlnPa6D0USWd2Blvc8JdYHRrOUQlWLgA53BewdcFjVfOJ6jbLW7RbCOuPTKCRra2
6znQYbsfN1CUeeF4XdvwpdYvSKIMX85LQ4pD34Jgv1aN28wD68pATT5p1IY8RFACmfL6fsA/3A64
DZxMNjOVVTKY8xxuP0BRbXeKR49O+fOiuvEix0ElYylob87FlP85P5qm/uk2sJWYpyFZRm4UEnPf
SR/wfqDkd5oEN1H6rye1363gZ1WW1jOtiEB3v6ig8vcQmYGW86iLG3fjJTW+EvW+lZF1DkVlkQtz
ZuHk7zYW98fNH5ygVwgiKyE3E3pEUmJ078JPY6X0LrRetxcYtXaU9B4IOi3bzhIdwqda0e2RKUXc
zqKNpRsiHnY+4du5L4f2CG7PvEvCads7HRobTEfqNkRTSc7nERIQPh3rw1DRW0j7K3tqY+lAsx3D
Qa7rWXQzUOpLm9+FoypuXBSX5X3lxPyu7z87j3jRBH4Pyu6ZMkgyrnkbtAcw3eMPLWCsf0Jda3xY
4yI5mGSaXP8i61bNebCIOaz0eS2RbOSo38/edu+2FdY10oQQsglVoc9aSf0uBznvFDUqdHvY/n6q
PFutAL0OlldyOvsjZTtZxfEd7VbPcXQrGaOyuFW4YdW56cP7dvq8JsKl4s1iGy+ngsSfoGypzqrJ
//aqf6oZgqZOC26j5cIOFcQcX2bnPjInUILGHQpy/7iNbSVjAtDLhJmrsxe+jxsw/RsJebS3x76M
8crBv5gfPL9Btn6E9omm6pyIcTxFYpuOod8G99B9yR9AY/T/jIt5vvFjV2LYRs61M8VHMaSTz4Hh
dBd1yfxxVaq+IWl+bXQrL7cJ5MkMCNPnXGjzbswh5g4qe/fp7YW6NroVrRsbYIEEut65KedfS+6d
o9GpqYZj6b/cA3ApwImOQ3mGOs7XiKw/qgRi2G7Ttl58UwNVTdrjyPdKDecaDMbDJe24heq/EHMR
CXJC5vGcgMw0RxAjSVawNF2mDsXml8vS16UeV4GpI5fV7yEtKw4tEU4QZwZi1MvRA9WQtZiW8Qyt
wfqwQWFwF63TR7epWxEbB+1gki0XZ9FMJ+J10GaIReN0zYIj9HLmMC7QTM1Mntc6JveqTrq7rVVu
McpsmFkAQdac+ZU8973/OQHTuFvXP99elSuVGRCyX858FUWIrZTyHPhQr87X+F4uM66OYQ99m0dC
o+OYxN9ZsZQP7VTU76G2SncbuDs3bsXXb3lmI9FAMkXJZ1nlmdN2g2B02YZ30GLyf/aACn7ooaYC
Aek2AAdelrXjUbCCe0tMuAFyK849VeoDtMPEse/D8entJX09K0G69OWKaqxbA/SkOHsN/E1mMn0T
rds3AHiDL8f2Fo22NrSvz6r/CpBkDH21fnGLbRuQBp8JXyZ9OJxl7B1GOj3m3a26z5UlsYFo27pu
pKENlmThn08U/3BaahuEBg0SaFG1C8Ydwj010AQNCbRC3Aa3YloEiiQRW8UZaU6e4sDrj9AJzN0y
Bre+h5poyH8/zs86zoEOK6AKWpJbTOFr6335988eg029trqFtOF5geKIF+/UBvkZt1Wx7lwD/xa8
T4LhPJZe/4HJcf7gD+aL2+BWYHa+VCWvou6sKvrOzNOXbp1vlKCvLYkVlZCLhKB1bPpzzfiPLmxA
h1+qT27TtqISmlNgMqptOIfcf5rJ+qGGR4LbetvwtCE3vlfBOedMQgY9oU7UxQexkMotFdr4tGTV
wPP4rIVakJb7qq23/eptjteijU8r+bCBJZb05zDJ/yQV1NX0pNxi34an+bVfViUPWpwVRY8mIOrQ
0MqpiMNsfNoAdE8Aoyis+uihjet/HcvgRiHkEuD/ft2j4/IyNqsgrGoabe25hEvDHwMn0SEy6BOo
HFA7h/OIYoiVW3jhKziisArQp/JOQFIFMm03Zv9qGGFoa/bCtI0seAgBknjzoFEFQjvgdBVxHN7K
LnAMg+wa/GSyaoUyA1RPP+t1cKq0Yu5WdkHxoykL6Elkoom+TqyFRAKFs4Xbmlv5RZTEAMJbrBlE
sNXR36Ai1YPPfHAb3cowpUB32FBKszauIfgXNxDEamf+1Wl0u2+VkGgLJVTLsrYcf1FfZsl2C7jw
6mlHu8160vsQpJw9MU9ZCa2px3yEuoeIqvbLGC/qyW321sM+aZnmIfQrspg19UciC1gqdV34zW10
6xUwroPfwRVPZUhm1f3YCX5GqYXfuJUuo/wrGWB5rEgti1mRGAZtWVz24Z/Qcm4hY1uLO2iM6Dup
i0beOJ6XxXjth6y4ZQvartM4jBlE7NiuEWP8Z9wN4uvKt+LTFEoBATQdFjce9ZdRX/s1K4xhcyEK
uSk4OcnohC/nPakckYZ2byqoGTOlt8rM01u1Czhf9zKab8n0X5u4FcV1A0XGoqM8bQZIKdLPVNYu
dS7stBXBbAhBNoZqTGpqrVErXe9MuLhRveEuYN0pPU9mU/aYdhDCm6eJu1275aNbUrY7GmGft5EI
ApKSqNwPSu1RUT44RZdvxW4fJCtZPKiW1PFw7xvyuEBv0W1oK3ArnRfrAMpDyroVQrcUypq144JY
UUu4Hy8aVmcp0/1nbwAFG/KMR7dpW4HqwS+xHEqPpCWBplFZwi9o6oZbaeDK+bbhD60fVBD3i0gK
lVkoJDWE7iq93miLXxvcul8jDcG4GGKxKRUQxqoGeZeHNXPcTisy5zmpimELSTqQ5QvxIDDdFDcY
QdfmbYWmX9T5vAGqlko+HL0weld3/Xen3bQ7pEwrynqOWau+OdEJ0qCt23rYTamZ6gQyaxtJPa/7
MJvxJNAPd5u0FZQzj8YN6sYkhVnEx3lkBx5Pjm8wux9FPd3oWWHaKySyV70eW8H+cZu2FZWFH0zb
kEwE7D1e7LtIf48Udcvedi8qSuTWzT3GHkIoOptlfQx9/cVt3tZl2aI20i4Kxw+aGp/gSALSIWRe
HffSiklgT4qGeSsOoIx30P6/r6Bq6DZvKyJZPo6NXydJus4bOrobvjUgZ29ObqNbQdl0gYQo8YKD
Mqz3LCIHkFrcJv6vlhM8gisSenk6oQk9gqoOWr8bTtduOeEG81WUYNbl3Kd4P5BV3HgpXklStj0R
bLoKPcJxLt1qKCxebmEUG5w6ZbAXse7KblZI2ypO0lBuX2D0ZaDQoIXjcltxKYtwgRNzLTPja8he
6uALJeyWssFlkFdemt5luZ5VupKp6MuCmjEDkPBrVUfw8othOBZG5Oh0Dm11BjVOKhFrhx8QUPet
/AgGHgzvK7fRrfCMBMXLJGQQ3SihzVb3FNq6k+uuWgEaVVDanKtYZDXXAWRRx3a3tYvbpWm3mRp+
UcAIDGYe6fZYJiNMRbh3C3J1OXj/3lb4iL3c1tbzg8V0UFGh9ap/REnr7wcj9L3fNFD+HGLPu3E4
Xz8/1G45iSFGOwufP/DIaGa8iEDlOE4EpraMAePh+CPWhZrPrYFQ9yYypXjzGJo4fs+r+q++MtGN
F+mrXRQo9toBLADAgiMIuPYXm93Nh2bkwcBOL4XWIv0kR0jCS5hjndbeu9mmfj0jUbsrBXFBmFmO
5HInBk85TLT2PRl/usQFKIYv9x9GHXLhuewz3w/8ey1Zc5qaMHC6zWGF+HL0uEaP1JgcXx3FmrwP
R/NO1psbzw6o0peDCxSX8KldXKS8yvIswtz7ZGhtXLBI2Ggrpn1WwKQiMTOKHfVTOC/fFx05dQ0w
tnXlFheDkcCvFTQ/mkdZF48zE05tAyhRWwG99FPt9d2ossgDdk004uTVxgVkgLGtGtMEo7ZQ1p3K
vEL/zD3/kbat49BW5GqNOgZ82lQGbfjiQwgo/gESEPpGmeRK8uFW1A5QTofRFJ+zns99sVMdvj8q
D/4mfJ7AHHMKJbvRNAj0VccLk0VwInasD9/D0OOT29hWmMI53ocPgdwyuKs/kDz+rpn+221oK0YJ
bpQIniU8XRVhO6XpB6YC7+A2uBWjkZQlo3NVgmYLL5uwb+D9sjoeGStCJ+jXzPOSL6Cf68fG5D/i
yReOe2lFKEyg4qJeSZKOQB/tqK8+RtyxFgNZ0peJa6qMrrTokrSscFA2tPkOVdIGblO3G014LNRq
GvspM4x/8Pj2Ia+dGu6w0bWCtC9mf+0DMmTxgNwSbsEuQKXzxt19OcqvvETsNpOcc8KkTMasjJLv
RQhfEYigy5PTObTbTEEY4YnGTA+JBflYoVYKfM2N0LzygrLbTAN2s6E1blBvYb9ET4u9ztl3tN/Y
PXwe3OqlNLaiNILwNss3gl+J0fmoJ3aCov/idk3HVpT2lC0QpcvrjPXzdJ/Qag/oWH/jxXRtX60w
rdtZQThBgIMXs+CuIlCU78rIjc9MYytQOxWU9TKXdeaXMeRPQXbd/64TOh0bW9qgGwZe9sNUgaGb
PJECvp7cc+OQU1vbQEQgYHG0nLPVVHcmyn8aIp0QJjFlVqBCn68dzQzjV+B6P1ZR/U+0uVEHMbZ1
l/oNRVMMximZynV8hn9Q/x1sLHLjpr5yWtjlBn/+mdlVHfFCrAq8ij5BVv/vqXdDYGLml998Nnas
qoYE1VBlgxQEN503wYqyCt3OObMiVAUCMoKBV2Yt977xKPyqW+WElsbMrQDVbIohPy2LrNmgL7UU
1X0oYdXhdsitAPUUDeNZXSRxARyAQznIMWxIvroNbsUn2vt+3UeYuVetsD+PgEutV+YEe7jYtr7c
0RbsEjXzOU8TDSefETasxxV+eG4LY6sZxB0ZNtIp1N3q5IfP9YOk3aPTsthaBqRQph3qAXUguEjI
YHyKW+r4DrVlC+aZbfACqnhK6sg71utUHIaxrx0XxQrQMKy6hm5DjPJY8g01OHggsi9ui2LFp9Cq
lLlfxGnTwaquLTayg1O044pb4QnMQBIOK8nToSfqHja/d2Rr3dqw8HV/eQ5F2EO9QTUsDeOV/1jr
jf2zwmc43rktjBWhg/CoWMo6TDch+WnUIT3qJvnHbXA7QksFV7hpDVL0ZL/Em3hvxOz2QrdFCXx4
itRsYX5ajHAQG/Z+Dasep1nbmgRaeTW5uPCmpA3740xhkanL7uQ2uHV9GtPk3gCrvzRc+HsSXi6i
wKmah4rjy5MiwbAMZ5h8p9HmJbAbDjy41xZT7Cb7QW1EEnwM+QBtjCmtDEwtOpQmYZmr3JK5jUmC
jKLXwkBuSoEB++0kCiMXJ55HTEMrPmWTTxAf8qeUDP5xLQtvFzfcMSXagCRZz8EMZ64pXbrp3mjy
See3nv9XHiw2rT8CDEasqCXDyy+AE58Jih0gSk9uB9GKTZjcwjkzaae06PsT65I/YFLv1nykNhap
UvME38JEpawOuz2QiSfoODsB6aHzbVWKEhpo0xSxSqcg/AJT2cd47tySSmAFZ7OMcLUbcpVGdZgU
8D7UcPGcosjtAWoz5+tKg+458Mvw5d+dh2IrfAodL08bhQRHLrXMVaRSGZSwReNtvJfGCad50VZ/
mVrgRNPUKCgO6eon/p7rMtr7I+DOTkcxsOIzjOB81RX1kObJDCvp9kBDz+3lbCONal5OY0SrAVgJ
/yD0nz6+bt0mbV2cOungZT5hZMXW4tQVMEouYidhAKy3FZxwoQnlVK99CrO37kPXLH69101bdken
ydtYI53oUs/G71Ofbbk81H6otjvoPRs34A61CbGyLebEu/jb9aZ9iIwODmWyOK6OjT/YLhZ5sOsW
qWfyaG/q5iMpkr/fXpnLW/OVUhG13qBkqbcRn84YOwr4Qz4Fwc/LE2zYweLY8SK1sViGK28LZNCn
kyrfz1qlPfecUMPUxmKhl6PmiEV92ga1qqBbksPVBrL9w+e3l+fKlWTzy32467Ykkl06CzRr98G4
9v9QGGN9chveWn1qQLzh+TKkUTsPX4nI2W4mne/2QLIJ5gFsTpOSFl2adOqpieTfOpTf3CZupTAj
21hsotap3H70yvsZhrHbnWQLVxgV5aRtMPK0UDg+mh3MgN3yrq1agT6iDsel0unsjXLXhx6MEUfH
DwtbtKJmcbH4sLpMcx31P1EwMl/wleT2eLEhWbwAid/3cMwrDn3yItg+MxO9c9pKG5TFJl5U0C7q
U7HJ5Nipdr1H0+KW0uCVALJBSAIM3aYKlzGlIxMwOJ+XwWTVoKJbThTXfsA6iWDnggQ4mjHlBYng
XoplOm4kDP52Wx3/5UtgCwCjXopFpIYVWTuL/rB2tRseDlD4l4MPutx4XBuV1uBJ+ivJqrx2wjXS
32KDzwp0vIs6XZsOb6+5fkrm8S6KRre0YkORInBS0V1skMZrEu/x4fjUMfKX03LbWKSynmbZgzWa
ziEBtsQE71YlHds5NhzJ6MKUJChk2shg/chz3+y3WtwSC7k8ml+5SW08UhyZCXL8RKRT7yXDAUxm
/mOoyrXcdbAW30ejbvd1x1rHJ4dNgjdqldBO6GRKVhruoTSx1UcOYOx4eHsrrthpUBumBENa7sFw
fkwFLI/jPw2V3nzmU97/gd411186JmfeQDi3iPs7GGDB8QHWA574ungXnYswHoJuX1GixAOq3HUP
L9dRb7tJNHCqXSjsIKekhrYpb2bylEsQT1M9ek+rGpPl3ZJvcfe+IlOg7+DHue2gg7f6O1j9xoPb
dWCjpLQfD5tYfZGWsbgDpvuPcb31dX9F05PaVHye8xlcLCHTXmrDHtZk8Pj3CFJQ9Z4PE/w8a7bB
W3zYmuWd0L1sT2Ou9LJbBhU4vXk9W4BeFQ2kn4DLTpt8PKFo+Rd0ZJ3uaFiAvsxbxVDyWcG+LjWN
OnB4j9JyufHNeOU96lkpseb9kkMxSKZxNerkOHG9ejA/rWqJzxnCb8lVXLk1bCSYNwxUqCaQKTfh
IaFwUG4Y/L3ejpzXB/dsIJgkfqd548t084T+RNtYHqEYp9z21UZ/+YzCjgziQamuS/nUd11wqohu
nB52nu3TAx0408IPSaXBlg+wuVZHBu3qvdvCWBW7hYOEN2mcG4km7C7I+UMbE7czaSO7zEw2408b
Fr3NQa+BduMOMtJuJmaeje2Cu7uGsuQqUeGJ1M4voncxGW4s+etH3rORXTqfujmH0XuamzbaeyhL
vYurGLZU3ZrfOJG/H3P/vpw8G+Dlt23owTgKl0WXdH82vfpn7nJYleOduuOmWL/DczF/TwhU6lZw
aXeq6fS9Tjx1olKXH7tgLqE+KtD5hFiEelfmPn8oIak97ij+042FuBI33Hpr9YkIKCRJZVqUzT9j
2877Kl/XO7ezZyUWFk9d4wVxk85B9dEEsjxEM+DlboNbCbGLE1IvMWIyXttfZbG9E9LN6sOzQWhB
MHem3NoxDaPkqFnzHkrsfzvN2sagxQSGqpEaZApNM/kBBy+516qbbpy5a7sZv7wkmKEDaovI5Kpe
zl78mEfE6aPfsyFozcqGfNCJTBNJn2JdsozE9eb0xe/Z0DOQPVfgeAtU0IIV3ysb7/eQ139yW/HL
Wj17lee6hIRygyJa0g/NnpccYngcQfT26JeVfSXIufUpVEJ3ZiRFMaaeRiGXdNF8rjevf1BR1D50
YTB8xctK32ANXMlaNvIKir7NOEQjPoxaku8HOMfvNjIAxwuosNt1YcOvZMxpDOUekYaUPOC79G4c
jdPnEWzpX25EUHa9SDw8jqp4jr42qDl8XJmY3HKNjb8Ko6GEdBe2GWadZD9UqHzPg1st07PxV+3Y
VOtCELXVTIZTu8DzNC74X28foStBayOwUCYNqzLvBnyux3+HxVLvVtFVbi8XG3i1DEW+QV8Gl+hI
1gPcAKqdnCO37yF8YrzcUrB6iPQbPaQeqd4bMNtB+8Tnutu6WLeHgfSSXhQaAoMp/xB4TKt2dstm
NuwKStYQiF3nNmWSTA9qSPZor49u59xGXRUiXxfw94aUB+EBPr/fmr516mB6NujKlAO6Rv+Xsytb
khPXgl9EhBBCEq9Q1YvdlNvreO4LYc+MxSLEjoCvv9nzZGu6XBF671Cphc7RWfJkSizNARc7VVr9
Ba4qv44acVFXg52HYml6JC8E+oQbV/+bDuoZn7uwqwhi2IGt4Lq6eWoeKAueZdFZrz4JAsNfr+E0
2iJpwbtzWRfRnXfgr05VJT0/p/N+qDrs+7h5qQMG83dRqrdmEDcSryuW72Ku2rheNSiP+ktSgjbE
LipKqezFGy/7cVFXVWChXrWhARM2eCMqFTwaMDT7re3Y5j40NqqVBdMyiN0YizFgHxU3ntRrp+IE
dqyTcpIc7wRZzV+6nB6rHToZXvt2EVdTCXrTOkFpsY72FEIc2ag841EXblVW68GDGG58mcSXmKbH
VHz127TzcDZAQIIHcMU14TRJh0wwnnieh5MdFr1Vpq8qfZESa/ZzoTPLbmSHV6IVVx9GzrShynDc
EZUgUhFQJfgxLvWQ2vmwn/yOxjHOZBMQBBqFBhBt1udA1u+22A5+b6crEoM6emKThOmLQcUsYMXj
Utg//PbtPJxjeZidErxtQjZvop3dFWL4+/dLXzt2xzTHWWHYERrzlx7Z5uPMzJDVKOs8MnF4bt4x
0LojyzbYAgGLneg5BDFxXve9H00LcVFX3T6SFnXi7jLK5Y61YwnkiK78PK6Luwr3IEQdTfUXo+L7
hp9M6Td3S1wxlWUMoJ/SVOUFMCCSajN9nJvKz9u6qKvF8HjFxEx/CYZ9SeUg3k1h4Pe8uYiral5r
Fo7wiKjhfAUxUV6No1+04uKtpoYKiGfo/iL18mXZ5Yd4rL7//pJfeSNcuFW0ymjuxu6lRTSDBzvp
UemOb5yIfD2lc9FWUd/Ypu3b/jKEpM94VEYfREjqe8nn5CTjwkKhmgTZoIZbbYx/MRGvZJH/QWGt
R1tNQnYXPcz7132ymO0t26I+L4mo3rZViF9fwzHtg/nQ6dgmzYfkIAhfO9H/UY9y+8DNvGSoJizv
mrBo7xsQtH0iLdRRVCU+RPWos67pj2xKEpDkY549bZp+OY1TL++rfqzvR2vlXb0X/+umNrgn+0aU
3xPj4npWUsThPu/tJeb8vU6Sv8Ii9BpyBK7+17hPxotiATGQnSBzm2IGaUlHM3rGCi7CLOkrNVYc
d2yekEySQxxpPfpx5RAXYbYmgE8TyDpfuFLQEpyqbI8bL0kEgQrbr+eia6NoIRpz2ffwLHZap0Ui
/PD2xEWYdd0qElpt+hK2kKoLYvmcRNU/XmbtAsxEHVrMT8btRYXDVx4nDzvtvQgScShOpUYOY9tI
CaMRtfpLBe13aqVfoOAiwHbMeybFgiMBYd9814jzhtKDX24TOc95BYWuYp2EAtMU7R4p6fRTuCbT
DeO84utcEBgXwWo1KC8vNQ31/W53/XAALNAfoswawYJTwEyc2jX2I+4jLios6Aw4uNHvuIwrXcvz
smBQLm5D+CKvG+TinpZStD3pjYFLoPeRwIxM0Hd+sFDiIp/2XfC5aJEKrlX1OWB2Og3l4UVqDSJx
JxQH47ShkEatL4yMUbrWpEyr2G+6B+IWv3qE40CrgdCyuQwoOadFQzX0ecV7vzN3gnDOonHWLaoS
XTB8rTYGzZHZeFYlXCYqqJ5CuaREbbis1wJp/dPB+ltKJi/+8JVn18U9TQBrUFoqA3BcsbMTmZYq
wzTBkA0jp4+sXaa3nTKe4ZALhapEs+wMczKA5Vcfy/aRceIXkLs4qAbtbsA35/ayW9OkkeE2Jfst
8vyX+/fKIbk4KOiSm70VFIi2Pbkrk+QU1/KeJPpP8Cjf8EL/Ih9f+40X9/RTjd5UcRXNB8M/MEuy
nS2v/jaxqZ4DjcHLYC3DT4dV/K0K5czSZiXNUwSWhyVtl2h4ZqDr7dI+tNWehUW5/bVOob6FG766
NectBXVCuBCgzC5VeExQ5urxmmpV9E+VAedI1kZtR+5GRquHHnnKfSnG6ImJgH41exW9EUOzPwRW
l3knBD8B+DX4FepDx10kVFXtOgTt5RB7fNKQ+KmaybP06iJUZ3JwVjO8w0uUJHexpToDGbpnS/o/
+LR15sHcTR141NYSc0zWnArQtnkejPPODyPl0WJ6lB1CTHnPh1rSbfLMO/5lx//pojKUuWYg65H6
EitSDvV48KtGfm+XC00zRblA74i0l+iwWafJj4IGxw0Tu5Iwudi0MKlRFGhRFdCTwFUxrE7B2nYj
Y7pScnDRaWTtx4B3Br0XVZfZUdItM3sk32669YS/uCA1bUC9xzreXNpZytM4t2/Wvbp1Za7t37Fx
cHFVHO2AFpN70j5KMIdmzRBGMOZB+KUqLlKtqiKE4F3dXgYeT5+1rZ6jYDZfvB5gF5bWgLKpJSAq
vqAbGQL6lnyBptgt53zl5riQNItO+GaMxc5fJidE96Rl8Oy3b8dUy42toyzaIEcVnKc1qYtUyOn7
7xd/9XGHRogT8tADmhBTaJqLnjfDMtU35I6HUf2lG0ASsgi+P21LpM+//7VXT4knbiesaCdRUkgS
XYp9abOBjJ8mLXyOCWs7KcDelbWsMdV3Wfayy/DwQSY0nr08A1Z3kmggBgzfawvLYiT6aCF28gf0
kvWNe//qVwDdFv31ZdctakBmhGntR3cu9PhWTuahi+S5wqwc5aVfCOpC2PZ+TGJSwAIaVXxNVPKU
mNkPMUxc3FpbJNQekXxZe/2HkfJBJfGn39+aV2MrqOQ4A+DripZ1DCQiCnsDSvtl1JtHAgjQvWmW
5A/FZPPx9z/0suB/Aiz8kBtggTtakC3Rl0TFckw17wa0PHdzPx/EPpp92IDN37oRirqkAQZoWm8N
olwRjkncdmgSG1PiuW9RRe/XfLM7+SBmBgKjVZm7eQ6WFPCPJKtMBR7YWAUZNXX1iRtRPbVH4NUi
xAG4Lp7Au1iOj2hC+rXSzf+a3osmEks7kdhmFnBlNmgTMNHeNS1mec3Ivv3+u11xKy7CLtnp0EEu
WF+OYH9fR3OU9rbzU7dEJ+NX2xzCY6vKqoJfEd3bQsX1SVZ8vvPbuePbUbLuVvTtEEIuLcmaZf6G
9q9XLQdH7ngVCZa8sR1lfalKCsQkBxVWVPU3oplrZ+642yWsy6ZTqkHDd//LhuOcHbbx3bnjbYHe
pkE4wx/WM71b5+D7XK1e7N548RxvEpclJJ4hrHpJiGRg8Oq+Tir2aUFgbceBrGtnez3szUVtJLqD
BEWcgc21uve6LK4+TwDJ5UjU8BH7NAYfoVjwpgvX44bvu/I9Xehav4X73jI8cBBzKh+6ROpHlPhv
datfjR1xMI4R6aQrB6QA9aUkrDrHHAzLIY/VeW86r1oxfsIxpUgIdaxiaS7RAI7LTX/AfImff3Hh
n31slklua4VeR/9pG5vv+9I9+H1Tx4x03Vo62LG5TJsoz+vULRmmeJRfvOXC4a2puoCjynqx28LT
iiVvNMEshNfWXZzdblgCdRGkv5R1bxExlbjrsZ8YcuIi7AiqubS3yPKgZY1KGalTsuDt99u588wR
tXfrsKGQAhBC/CSpTlLSBbdgcFfCFRdjN4TNgIwobsDkHKbBGv8xF9OJjO3nOqmt53/ghO17yTSK
/qy5HJiKHStQ5jfVn36H45gqBmroPPQJ7Kg2n8FbbLJVk1ujO1e8jAu0i2Ng4RM1I4we6j4FLnlL
i2L2KmtDNtBxv6FmwTYtQFK3IYOmefR5p8zvVFzY18o6SicJ98iP9es03LVW+DkXF/NlQxScWxAR
XupteNS2/tRoe2uu9EpA60K+xk1O80rHGtzz7di+HXohPqvIlKfOGBCTkroEFxSPpjgVpqTft2Up
bmQ0Vz60S8Mlo2CjU721YEpngBJPIHo++PLD64q6iLCBRaAlSyJcUU7FPeod7H7u1sXPtlxEWDsk
Gho1W3MJAvqwjoVJ18Q3suGOv+czMCFsIQibmjX61NCOnei0rjcihCvPLHfiJq7GOI55iSRs2JIH
Xu7qOQHa+sek4ZQyr8N3wWGSTRtZuhX/wain1CwaFT6z+Z29Cw8zU8xGNiIe7uPyn7aQFwviRc+N
O15/tWhUV+PUoN+L9ubW39cN9yIHh6Sok92snTz4WC3tZVRBf6ac3oWCeb7iLkTMrkdPqxYxwiiD
MQ2oeh7M4Rd/xP/x9qu2VsGUbDyC1QZkCPW3YQHUwe+yOEFZx/ZqZDVSd4pJzWziS9KlNRXK977Q
X5OzmO/h1LK+vVScfSSV1UjaEy8GZ3xUx1YFXtlqqFAbU33YZIwGJo3VcKupfMVWY8dWay2XYXmJ
/Ch4Mx7LYz4egqalWdzQwC+7dEFi0UzjetezvhBWDukMqSES3pLCuLJ9FyOmKEC+6AQ2qPGP2qRT
3IznodnM+6rs1xvY3BfLfKUe46LFSlJowPBHlPrJ0Z/l0dhsMeGCYA0XyArxdVGDlyYJhHsdC453
Wy91BLB7ooh4t5eyfZQV80xOXPzYCFZarVuk4qvu77v6Gx+3s5eFufCx9WiCktu4BglTvJxXFsb3
wVB89lvcMd9otDHUVJC2FbPoMk6VPG3h5jOtjxN3bBejBHZoN/iGgtI2I2I2pyBavvrt3LFd0+46
kcVRXzbG/2r73YK1K/Hi6cXOHdMlwzw3LZ9RWMEg+YNmxfyGaeNXWHEBVSPg0czUVl/6qbDpOiff
y2jy+54ungpAJ2mpIPVlkXPyuEHjALrg5ebnblxAVa1HIcYYMGMabx8GauszlKu82qEQtnbsU4zk
GCVBWgLyJfWm5GP7PJXJ5Ln1Fy/3U8dyh2JVPxE0zuzU/S3p9raTt+QRXjb4ihNzkX2L7TipoxrX
fKDHjFZrgk74EUKZTaCN82C6kN+Iuf+Nkl77Kcdcq2M7SMCBsNq11imvVJE2gsiHdZqXx3gEyfms
tn+iPpnajOmApS0RU4pp7emhhTzQ0ygov4OUFL0vxlpmYUzK54gv7LQvZHmfgCQJtBRF+AAaf37X
zaS+KxbkRVk8gYr8RPfDnlVRRHc26fXZJGtB0mqY2YNYLMafZ7Bon9mxfy4D096N9daxu3Dr+i1D
+7wY0mWzYAVUuqefmoq2MtvmoF1PQHgGOS0OcPpBUOFMyMvsVAWyv/t2rnvg5MtDyFSWsX6seB8a
aCcNvPjKlrD9CN0dNDhC1D+/SDrtz5iGpY9CItAhRPTPoHw1N56qK/mOC24rD97tbYOnFuQNF0qP
kxnNjRDt5Q6+9lUdV2bB88KDcET7Y62mO46hPUjNaXGOg1U9enlLF+BGo2ncmgp3lMoDEx8D+aPr
51v4oStH8x8wm2C1wJdC3C1Ekh1b1J0b2/Y+Q2o8caFs7QBCiwGp5qUFG276mTDIuHsdiotjW+UB
zpQdBcWp2aOHttshJYbb6ZeNuEC2cu9lBw1UVHDWyWQSBJBnK6fu7Ld3x5+pca37qO8Bk6OdyaIl
fjdhwtzzYJycIQ6EqFFkRegXqAeemDJDvcUzoneRbCGkxdeh7TANv093Ub0+AcDjBbLGXXEiDrIC
sx4DQHzZ1Q5hz4Coz8mq2Kffn3n44mZfMVQXugZ0dYzWJLrbFVPibYS4+B+0oaPTBixeeuwF+dK0
057NPenuIzjDO2NJVGZDuPPH2titwl/ir7wumHT7VrEOaoxGthXg7139xAr6fRqbW/rvVx41F0vH
wyJaGaaHL20QKJNRuVNwo6LjdBrml9YpHSCA5nfdXGidjFrLkV7UF1kWT11cPsuNhJ5rOxXDJNKW
vogiXKw6GgRbLdLTzsR+VuhyLxrUeQgSsBpzNNOWYmCPAVO0+fWaXGhb2W9LrISoQOQTEdDFK7x8
LfOLh1xoW1VaO2sB79QlXZgVRuAV3eytXOuapbjYNgG9qESPA0rkbJ8+VvUW3++AEp2BRJ5kOqKY
97RDmylvtxYSBK3Wz0aOU4pZ5GLM+lgv77bRRjcevyvv67+b/Cn2s6yV6lhecrNE/m8qQU+qehOg
RLpNN96oK9bi4uFWNHmCpIwrEE60e0YwgwsQgzIYyZHx2mRl13uB43jiguPUFhbbESco+PLjacW/
llY6uvFfXHnHHXDc733klTVcDJzoOz5C2hK2zC1KWbZG5NYsfsUmF/0WL2gSJwuw4RAM4udkiPez
aILPv9/568RZPHE52uqD2w2QzPoSTqHNEH+CJ6NcV9AQQScHiHE9PYzJoOv0EGxPodM45kED5tLf
//y1g3u5Wj9dUgrpg3bpK7iSmH6rVXMPx3Ujbbi2tBMrmGiXM+dI8jVb3osd4oYQ7/OSSMapvfzo
T/vWw4BYdcA3MdMGcrV5/rx1N4vp/z4Br7y4LlFaadd9LwKEOd1ONEQZh4J/nDZMg6W1PMyRWhN3
f2nRTEVWWJSTT1VUF33WHGR+CPuD3cdzEXxRawM7GXVxokVE3+yAMQH3P8sUQnnD97GgxKviIV0+
JRKHVoDQo7qADe9Ozp0GP4Z69rkg0gV7iAPCQf1+KLAIRSJN2C7T4PAqpkhXJi8CjuEoI17imJdM
791ntgSeSzullB7g11lXYXkBCdJxmuehfkLFyYs6gEsX6yEnOwRCI38sExM9z1s8f9eNaDz9jRNO
WtrTMVj2+sLX5ZOsDVh4N828wrfExeq1KopLRL7AHFRZtWGqMY7prdLzNYt3Dl3sCbM1sufLYul+
3ihdQQKpbjjK1xeXLlpPhmPfDAxTvXHb/r2j51dgnNErXJMuQA9R57ZIkBVeWNCHKZfq3UzIez8D
eilC/+SpFssA9OoQ0u51+1jgkUKjwtc4He8d02Q86k1Xl0L0KkvmMBODtV43RbroNwHZg00tSXVZ
1fRtovWaRipaz16n4iKaAA+OJ3xOgI9j/lHJ9rlLhg9+SzsH3jSGGs42LK1NnyVRJ09TJP38igtn
kpjlR7maB3lSt322tff9Ns1+B+5ipqM+pjUYQ4N8xaR5FgZFlbK+3/3uuAuVKgVpNsRI2Lmew6cY
VvSpXtbZ67GXLkoKXK9REa9biUJncy77UzJ5cSjB1zresDkivJblWF6YHO6Hzj7szH73uylOBYy1
Q6RWaktw2O/ixPi8Y8Jcbl5xLYZbfzX8rh2OloTYeHMgx2Ahcp2xYl5UYVy6KCl2jChoanzOpbTk
ybKaZJLywisslC5Mqh4xfV+vdZCPbVXcQwh2Py2ADnsdu0tFpoQUM1RrirxR/XNglrfrwD1vuQuS
Kg9MK4LPBzbUGLxtGlMqQT/6XXKXiGxbDsoxXFxeAk4f4rBTD/2WlA9+p+JEtLJXeOmrvrqI/dDn
mlQyi81+iw/zyuvpAqSSqIWqnMXqk323J9/m4offrh3rhMpuVY4hwolIbQ+cL/lQ3Zr3vZIZSXfy
ol9FG/IwQHjYTOx9DJbstKGJOg1dI9/alf9QjTH5UJTrJViWNVvWwa+vKt2xjBkvXQmUS3nZOn6A
E/FYz2oz9cnr0FxQ/s5NuO0TV5cYhzaVe5M2i/LzOi5WLQjxlQcmwYRCqj6LguPNFhHluXHnaeVG
aasCpi5yrE49WzLmp1POMeX1q7dMFitQCAqxdMHrtDbHn1E5eLU+pQtXIwO4M4MGazcjf0qq4Udn
QPng9y0ds10sLxtwg6sLHVSVGrLVDxZRmVcqAMjcr6dS2zbYGjZi9dmuKRTlz6ZYds+tO7bbNFwr
uhh1aeuJpGUd8GyZIVPqdzDO4wrRaWhabjiYY2y/QFTsczKXXsyHuCzO06q6pAX8TyPEA1L9gRXm
c8mE9nPE/wGihWa0LVlxW2iEFmPwxgI35nUmLgytQ4BEeyLxrG5oPhTkoKmVi1/rR7q6kLEyA4du
hrqIYI+z3kYIIssxvmH7L2Wb/9ZEpAtFgyJHA/6OJMjrICxStAzHdJB6Ox2gL/I8eadiBBKDxDYh
DfIZMl2AHitwxFvPHM9FpMmgS/istbp0a2yyI6o+TuHw3e+7OmZKlxD9a02TvEQgs9frgwwTPyN1
1SGbSPV1h/Z7LkD5h/mpZHmYhWV+lSMXitZWcrVNuSd5sPU6a8dQnIZi98vYXSSamCs2oNGJLruc
zkW1vR2FuXEqL6/CK5fRRaC1tAFRWW+DHKgCc8emzj7WRTQ/rnyOv6JSVd95fVi3/Q4i+LZQ65iA
QECdgm3fwcbiCe6ULtRtr6yQB9K8HNpiy5sasnQPGC/zS7BdjJtUiWyDHkF2sbfkPA8g0VtNEN04
/3/b4K99AOe5Xg6hKr3AVFHgrU8Y2+zeNHvNM9us3zY7wv0QuuXg7qxSWyzPgo3vtCHFaU9etNkT
9aG0nN9ve7tmaMsCz9EdH7so1tkwxOR+0eUfetHqY1wND+E8vptq0MiQGCjPWKzlUxi2NZBd8ovX
V3ZRdHbbFfooR5GX+IfoNkDamQ+f/NZ24gNOKZUyDGS+V3Q4lUX5DCDNLf7rl0Ve+wqO3zlqbapt
2ZFJsfZJbuDIMrieN77xtcWd8KAzA9RKSJTkRS+eZiZf0MF+nsFlXJtNUAYtr5Ncj5GdUr2RoM96
NrV+M0TSRdIlia3HkoZJDorXObNL8j+0+/2cvQuki8JlDBexypwpovhpXitbZaEJxI0I/uW1e+Wj
umC6cGRoFlr45KZRY1aAnOXBxkt9Dmd1+DkHF1FHy41W48yTfOQk14MBzla2nkmCi6jb4+rYV42J
DxDG8DbFAD3oWbakV8yvOOHylNVJD76LYkvyY+YDiOe0uTOBkTfatleuvYurE7RYNAOXX66W7cMY
kK87iz037pirPVb4yKOHRdH91Joz6UvPd8oJto8DlJ1R38GgGLuL0bDAoEN4q0F7pa0uXRgXwAym
WesaX3Rd6tNWLfJuoseUtcXWv6Fd2ZzwRupvaBURmuqRF49W9MF5EIm+rzXeyxVawjeu7uvCHly6
sK+Ch2LhfVTkoifTm1425k1iUWxLq4Oocys1G5DLqPHLaMeizQAjj9Y0tkBDnWjIqzfo11WnJhLD
kmLYeH/TqmO+e2nBVikpq+Y+bMAB/3vff8WSXTQLkuRwKcdB5maOzLmgc/R0mI1/glCS+PT7n7hy
W10QS8vAus9tJPNKsb8U7b8NA/fSs+DS1ckr6hYsl2OLp6vsWEa6MU7XjfvF+i6GZdoO4AmmRuaq
o59jDGVmC+n/9DsUJzjByPoMak0pcoA7+LnUxz3Gf6aT1+IuMHADK1akFpnkhAVvk2m5D2P9wW9p
p7yCkC0QTCDaHA762YwzVGnW0W8+HbVgPDc/9aHKFpZw6CnJo4V9aHr72MJY/fb9cv9/WnrlER1Z
N8NlFvK5aOm3NaF+3thV9OQ1naIpxNIT3d/UhfwR1MJzaccbb3MZg0cKphPFpsliMYOtELRYfkdC
fz2SshqmbtVS5gm3zalYgJPehuaGD7xi9C4gkEVFu3Uoo+ebBDqLNO0Bgh3hdwldiFYC7ceIAEWa
h0ex3Bcgt8PIK/v4+2N5uWyvxDYuQIutdNvQgpbIN/l6b9uapEwUx0nbAx6mDpMbee2Lxbz2O863
BQslxmrZIhHNLyglWEjtlWDJD/sT56R5IMkK9GoJ5Ynf/1tXPogLxNqCZDj2phf50JP/JaZ+x8PQ
rwLoIq8k+HtoGYwiN2g4pjFf3h1x8+y3baeMBrIDYEshOZOP8faxn9Q3yOb6hTouIIuLcuaqpniX
pq74c+Fl9RlCt166lly6iCxOWXJsDTYu92I9gXTujyEWfthN6QKyjnqlfVFg8WY4ZPqUMIDJfn/e
8vVb6dKQ2YiVtIRubj7UEXsb1ax+U9X1eh9B8jPV0VDdNeES3Bmi+hv29rodCJd4pynmcpN2EHll
YtQxhyqtWvVDbFEu0Lk5Ub1++v2/dsUCXBI0XSUSeegi8r1v4ksfTGGmA+GHUoMI56/eNHrhmi75
KvJDCOCehxcW1S3wewdcsNfRDAsgXDVHhU3rk1r0dJ7WW/yd187FeQfqrhxHLnqeA0jxpLfm3ozF
335H7sT8cVWuDQh3eR7JKjkddfLcvahH+y3uuIZmmYaDLTxGZQHeGhli+RH4G3WjIXOltSdcME8M
0g06Nx2uC6bgutSU8fRHmcTRJdmmP7tw2M9dc8xnGMuSDts6v0Ww5cUoxoUL9lkkmTZQisU5RpXU
aTZRc8eoZl5vs3D5qJa1o2o/RJyHexHh0Sfs3UG66FZK8foDKlxQjqblCIlawfNkLEExsvP6BI5q
ZCzFSLb3B1pFfvGicHH+GJI9aCxJnPOQTR9iPm3ZFuv+xgP9ul0IF7JYqZC0dc14HpeJPI/gTdyI
XzIMPvRfvQXABeG+HnOcr2Z8o/rob7XcmsW4tm3H5jSpMBmM8eecTPtyjukePU6x7U8+RicS1+hw
5RcA+1+OfFuyjrXsFEMZ2GtxF7O4BhEfmpbhVKxtUlT2gseoFYfn6i9P3k8pgBpNP64hbosIO0j7
Nlt4jwL0X35bd/Kiaq0wJF8ncEYBdJM7mqPr5ze7I1xA15IcWjUlHN3EG5L2x3I3tqWfFxUuomsc
Zgytd0ecqykgp0IXmAGAgrTfdXERXfGwdXvFN5y5rX6IldusV5iU8TtzJ4LuCoyYaN7iLmpTTxmZ
gRLlBYv9pm+EC+vSKM7COWqc+7p/IKjfpTNjfvEhVBN/vY27WccubEycVyQoHuex//vo19nPw7u4
LnXE6DwBLp8n8z49Fqvs7kD/cWsq84qHcXFdgjbVTDG5jlw6/B9h4dM2TH/+/pO+pOP/TYrEf0Bd
04w5VnnQnDUNfW82Yh77sRgf1NbUfm7dhXYhRLAD5KEZ+nJ9AMYxkUJ+nntlWWDs/vWrMkw9hXEb
sDwKQfuj4u4urqNbVOPXzv3l0H5yYNF4yJbYAYtXdk5B/fiGm8MrzxLi5Td/WjugqLsEcfly1wlU
Cyzq7dD69SuRIAD+dXXgr4oQrNhxXkqQFrU6AyLVc+POS7rEMa4M7+Ickjv/jHX9Z0Pjj7+/jNfO
2zHRolRhNGrsOmrku2Or79fwlhb9taWdZ3Q+itL0ZUXzSHfxabNDnw5d4IcjEC54SxelFTXraQ69
tj/DKjhNhP3wOhMXu0U3E8dDBYGeJYE6B2hUTdopdpz8Vnde0XWlBxDAHcvn0PyRxBq3HCA3r3xB
uPCtfsEA7Ir0Nkc7YEubWqm0kszT8l0AVyznHowhK8vBgN2nkN/9fmztV79jcYzzGIQap8SyvGvF
DzqSH3KIP/st7VjmWHUyqVYe5v0IRdIUHJX6i2Fy9aoxiv/gB8jYrYoMNJ9UF6esI2+bZPYzT5es
bKSSj4iLKF5QcuKmIZkuSz/MnHDJyrrZVqRQJsrjQv/N0HLR2tOCHNNXILoMGUTVc3KwZ5DHvk3C
xDNSdHFhdLV1oQYb5jMDIYVYNeq6ShZe/RDhQsPMkFTJzsYwb7TO2A5Wx9qPykC4uLAOgIMmCgcs
zeJ/ElV+aMGQ4XXDXVCYoWj0AZxPcw5BABBiBP/0i1/lU7j0ZHIc1yqyO83DeibntpN3a1L6Lu5Y
fdAmqh4aFeWlMZ+jowXTZT3/4Xcojtn3Ebh21hlzlN206XQb+XOPMnTmt7jzJO/dBk4HqWkuOm6+
Rw0pP6qw/MdvcedRPgYt9rpbaD4G+/YQ2eZ9N29+XQvhwsGKAhJyag3DfB+C/S6ahuAkrd/8iXAB
YSzao6EGjXs+9+bTKgbI/MxemmucuwEW4L17VBRdlw8s+AQuG8ybJoFXnZy7ygWBiGi98UPnbFvl
KRCjQoZo/CaKuIugJy1fQhUqk0uz7plohzcHNBluPPmvpxOQRvk17oznkm8m6PocSK7p/cyoPYlC
Dm91gaLd7+/jlZ9wY60X4QW0FKsup8cyZMc01xkfuvJcbeTwyli4G3P1aj2snGuTM97l4Ex/gJyT
l3PExfn1gMqOHLNFdy7faFvl4AYuzvUW+RGacDfiqpt5g9b51OctZpGbvkigBmi/+J37y/f4KWGR
VQQIcdC1eUna41HZWD71/VacQPt+K996OYT/JqPcJXK1wACSNS7aPAx68jGwVldp1NjpbVVLlBuC
mp/3kvL73/9Dr6cE3EX4TXU/jf/n7Eya5rS5KPyLqAI0gLZ0vyO0h892EmejcuwYBBKzmH79dzor
W3Gnq7Txwgu1XqHh6uq55wyoJ7ns7f6Wq7/gre6V+OKuTh6gLHhIbr25jAf7TQTde9LcE5C40WkX
/g/HMkZomnaXKZn0wzwWxxD7CTpwN74LNDS2oYXVXcauSzJTL68RnA7vLNtbHXeOkVmFyyBWYi5z
VwEAC5YmKwcvy1xMe2fbQa1OGrUgQS8s+r6nuGwsigd+HXdDvGZc+ileVX9pdjlms4ibl8ku96xt
+a+nvBvizXFCJhUM+jLjBExfacyq+oRL0wqFlYSVf2vW+yFy3A35RsSpy963GjWw4VMyLx/6xU+7
kbsh3zqlcUO6tb00pvnC+v2PPgAB/N/L9MZ+74Z83Yr8SN8Rjbr6Sg8nzeGj20wlXkdrFMV5RVDc
LQQwVjcyiri+bNO6nFJ9QOJS3gOjb0x917U8Yjuy4HusLxGh4hRxax76dOR3xufGpukWA1AVMGHm
Cee5GIZ8XSXsQZMOknaRQH32KYqT/mk3Orqzt936HM46ZlMXrsewtJdyjjponqwxomS8YUbay3KW
czcmpCWLNJ6ocUQGTZbGkK6JWemHJXE3JuwmOUF4HI2vHaWFiezTwOt7mOiNsXEv3+06iW2G1+ml
Acz5IKrhG/ye1WsTx/rOx74xlVyC34gEClVTZC46Xk+ThPgI3czH/15ot9q+blE/HPCzWHcVmElf
Fl7+XQX9pykY7gRUN+aoaw5uodB1lPtqLgNb5/9x3LJ+H/DYW8Lzmo1Zp4YWssGpXyqBu2Kvi1nk
qGNEuA1T0RPfBnUWklZ+W4XLqS9pe/DtmLFV1NPfKp6eIxSJ+501LqK+8K3uj73Xlzqu2vNWkbe8
mdsHr+/rMupbq/FoBtnIi07i9Cx4nzw0gC3vPN/fmD0uoW4V9IhiYfWFbfUbgjtLJsb5i1/Pr9Pq
h5lpKxpVh4YDWrfxl27iVVbC2MHve7poumqPMOlk31xWCn/EcH01s33v1+/rPvFjv3dbIzSJ6ks7
VKhoGLotiyY/OyfuMulBLKhtkrW+QNHLnKDMEZzK6PC7ghLyc8+TA/CzPSJ1GVv5W4N74qHnO03f
2Av+VT41S9VPeJ28wJ8g7DNUJMsX2o/z6xp20bsyCCKI8evmzvvWrWnpHFcCMEYLA0B16VIrniEb
W55S1OXdWa83NnwXgq+mUnPWHOpi4e7457rP42MZR/vrDNnZO1vnjT/ARduZrPdSbbO6tEoiOw+H
5JMeYDniNUNdcHmWOkVha4nW2f6ydFv1sA18evJr3Fm2+7Ru/WR4iZTu8rZn9llOh5/WF3fJ5Yhv
s6SalJe6XcRJl5xkASTU/fYE15y7wcN5uyR7eVmF/aOpoCCcVB/8BuX6nX/YExKrYXoDauqiG/ZJ
TuMbQ1qvVwvuyplKWvZzqjSaXtNnq7vfYx189et1/HOvoSkPk6RyKC/KTsBz6YErHPdLonMXXe7J
NvSyC4Ii0dN5NdPLEvW/+/XbuRjGwRoih4amZRR/ig/eZ3UARUSvxt06C7gKHQuvVXkJkLJ72Oqr
wdAIy2u/1h16JggW26lYBAUL23eKbhdpU79IwK2zKFs8DpVbHBSp6pO3894lb0sr/Q49Vys0tmtp
5r4qL7Yjy9u0ouvDAJO2O4VwN7ZDl0Tfg2SN9o6Vl95EV/hEoUw0jO7EGTeOJpdErxTWjyHourIq
qDIR0OEtQxl3C7WPeH6yodHnSAT3brbXL/mLdJcrBtpM+5JGdg2KZggUO21Bp85dyefvqZ75I5Jt
7ePeD8HpoKzy25JdKD0KoFqpEhUU+2G770EazGdcKKTX4yN49p93iQgmZCVMsfAHRf2XqSrfJahx
8FsNzkKuZMcMKodxlvDvUNfozipm8Z1D8MZ3cLl0ODwhFGmD8tKm4LAN7/vHI5qbV61reLwQAVd7
UD2vEgyY36H+L1YdjlLtPE9B0W6YxWkNxd6m93vT5y6rXlGxYPYitxZt/QMq9N71Y3kndrux+lxY
XYqZ1GapRWGX/ZNZ6zdHvXsOiRMrV8uqgla05YXKPYGn6g4rO+Y3eVxUPFx3VJa0OHNpuL+ShH83
YvTziuAuKR7HsLLngM8L204vepcmi6PonqfarfF2jl1LUQrNylUWTWNe9EQ/73i+9lpQrubjVCVk
XkoSFJSpb1G/9k9xNPuBgjx0VivUJM0wHpso5tB8ryImobNMpNfByFxOnGrM7ViOOAJ6UFmpXv5M
QuvnBstcEJyIflDj2opir/fP0Jl6v/SrV3jG3LoLOs9KbiGThTpQJXiQ5cs+svLO1vtPuu/fhwlz
GXM9MMpLHCQFWNv2skfJDDPb1L4pa/hpvCpcIp4GEDMZ9LXlU1Ky4B22uPZlhzItpGFHu/4Ribl8
F0fQMMvAM9PTvM0izfqlmb9RWAl9TDrSfK35QcsMNoL8va3bpMxamNOUuI8T+12tMvyDhHR5ioKh
0RmD3+iDLlN9mtPQfqnS/njEAwOYgNWYt1UVwWl6q+cVuswIhLM+ELPNKkyZS8fpAc182H3wMm2B
U+twzWhV6cysY5Jb6M1/3tKgQnVeurBHuIE3RWkC/RSglvaFr2uPLq1CeJ2azAXse1pBFoYQKMI3
k8qOerqkyHj6rEPmIvU7mzjKuYQsGDScupV3mY2xifx3479+XWAuUd/DabGx1473QF6+j7jsvUCV
+G+VmPJNGXfz83//zK+3KebC9dPWj2ygXBbRED7JVH9YEdLf+RNute3EFIpr0K/LmBYS5kFZoPcH
Rgc/zSjmwvVwyeKHkocsuCWFkuwTypO8AlXmovVyQX5GiyktdJTKjAQfgihid8bk12kHlO7/HGel
XQJztcCKQjYgYGayl09mstGpnQ4/fXPm+j9zs0zWDDBBmPnUZpzulxry13f6f+Obunz9eoglagKe
FkjKvERHHZ26Jar9jgeXr48X2cOW9UiLmS37+ap8dxqabvC6OjGXry87NQcV5BqKYZLfVBd9hdDz
//57Ff369sH+JZd6zODTw1kW1ULNWZXx8pAQyOvXKZS7RBscLwe0M+782K1PEP88hTTSMhvEEmSx
9XWMJFz7jpnEKxXMXNK+jkM6Vgq7zj6L6TSI7aFcEz95GxQb/dzxhdEpbdmEjstQP/Zh/6acpF+x
DXNB+5TAIJs3+LpLm1KQSGn9wLhJz//9gW+MucvaM7Nxk8yIiqaJy1MQDXUmjrj3W1QuZj/1CVRf
EyYK2uPZDxJAS3bQ+pNf1523obKO1FX9XhS8tVBhCr8pKv02SldA1VYwOd8NRgXFzM/p8Nwlg9dt
hbmIfV9CPDI4IlFA5+1iBsQEMHj0ynIwl/9KgrG1dL32muvPqItrTkka+AnWMhcAS5voaIf6EEUH
2amqD7aMQtLEc544ByqmXUkk/NSLrRNvWmPHcxXWynOKO6tT7WTagrlMik21Ty08Lk91WnkufZf8
mtK60o0qeaE2lRMjX9LNM+x3ia+tUrzjrOIFgXNv1kbrUzyKP73Wjot89VEVQdik5kUz/TbT9m3T
LX6buIt7GZTRh0mteKEVVruI+UtI23d+vXbu4wY7U5TuPbRR56AIlj9Jc3zwa/m6Pf6QAd9kZNow
uo51wMMiCurgeRuRbvNrnfzcujaQLhx3wwvk8tiZs3U7NWl0J9C9YQLCXETKGr1B6QXoG2qVsdx3
2C6dtpqXL1BxQvjOxDcRJFW2pxvLQ2b4F6xl87xP2HsqORCVlU24PnAyMzwzBnGSlTjQ3m59XEV4
o9YSnodD5LexumAIgfcgX4VmxRZl10nt51/JXH1IXtqO1Rrthpyv2SC7MGvrO9fYG0ekWwUg4wkX
vJgkWIdNLtVAsjhJ/MwLmEuJrX0rWAUDtALpjq88NJ8tVqPXrHMhsRZOBTyKBSv2NlzPKhzXR8KO
ewnKG6PiQmJNVXdTVJasGBb6gTV9nQH68coDMZcK20QErS4eM3jfiRPiy69i87NyYS4VFlgo6LOA
skLg8pw1x4JsTZN6HpIuFyZEichsUuj4wv9eUpR0UOIn9c1cHOzQDeQGFkB+ivZBlrChywIoxd7Z
ov7Jtv8iV+MCYTomY6cXzJYrhJQtVx2ahEO1LItwvp3aMiXvShmPH0MJveSTnMWoMsjaiad2n9dT
NA+757R1jms5DUsYCBlfdSLfBEdfWEm8dPGZC1ophfTCuFtaTBUpTN8VkSw9m3avv2q3vO1TUoQL
WLcAeu9kru/hdDfWGr3ezn44nbCnqdC2JC56Zc+E66foWPxupq7t99yzfgIcGRd4SH1QrMqrjd1p
+kZG4F8sM1V4UBAYad71LVSS9+9kYsP5aGLtd/F1meYhVq2eaRAXCKRfjmh69V5tLh3W1WsdGtQK
FLPBmPDwfa+F51SJf/6aEQIBsS17VJBU2iwJVB4d5R9ee74LgoVM9X0fRTu2t6E+i8ommYYpvV9e
0EXBAtLHAeVVWPRb/G0fB7yLqDsdvzFZXBAstjCNS+xxFKoSe96b6ySflzpbBPWMwlwajOntqGwf
H0XHB5MJKT/3tbh3j76R1XSVSsdxbFWZDgdez/rlY0vL+r1eh+oz21T5TId69LwVuGjYgeQjFWzf
8BggPmx7AFZ09gt0XL1SGRvwkCtbi3TR+3NQdt0psYlfHQhz2bBQ4BEj6tC6IMl5TqfhUauQ+s1M
lw2b4UXSoKgSo2LNmgWzeDsgnXfnbLw1N50Fe2jbjAcukYXCZgOv31Y/w2u5fFqqJr6zV97Y4Yl7
ASZ4fU3baivKDixLopvT2MX3bte3+u+cqEEY6Ljfw7VI9gSi+1FvCqmJertI2j967TsuESarZkBa
bFoLmGEMz1OAKvYameyzX+vO4QpNzA4V8hgdAhwh03H8mSTWL9Z0Xa4H3dVQ+tMbilbqsw5Eko1Q
bbszc258VpcIq2M7jFDt2oqQdcsjgQDWU2jW3u8gcYkwE4oo7Zt0KXjankc1vl3b6c52fKvj1///
IeJYBiJkb+xStMH+LtVVeopLO/lNdpcJQ7pummkfjoWeg7Ntv0IWyutRnbkG1zFlfNHHNhVURBD7
bbuHdWn8HpCZi4QtA523eA/GggZdeaJl+j6oKz+la+ZK8A4JXHjrsJuKSnxqQmNx7Wk8x9tlwgKx
hChgQNuWdp9VOf0vGD3HxJXe1Q28DnVVT+A6ApVZCFiQWfstHpcIqwxB+ouVE26YoCOqODwFfEj9
DgyXCNu31lxN4tHxajlOfSdf+Uxiv7jUBcK2phst4I6xgMbgpQmTL7uoP3hthS4Odgy03TeU2xVS
bHB5JfM7JTzPf5f9soPFMZqasbAm/Fsu/GOoVy/kmbmMFzLHY7POaFpO+o3cn+Bz7XdddPkuy2TV
C6jEF1Vky7PuVXSCZMu9x+ob++A/uoA/7IMamupDDyXlYsIr2IW0EX+8pvD9NkIX8kKSrtOsDPpi
F9vHuI0uVd989JonLs1FQziC6K7sC77z41Gb8FtwJH7FLMyluY6jH5oaVYDFXG5/xQBT7Hw32Lox
4i7OlUgh4HKoumJL1gsf+9O+bn5Jb1f7s2ZVA9mNrS0sFE5zwcXyEkaG+SWnXaCrB+9hKZilAqGt
OqH68Ew36HT6fU7y83lM4A8YxUjUF+0RlA897exDkg6RZ9edAFeuGgItWzwU+y5eGCvIwu+EKNcM
xS+ySi7R1S40rvGG0RZCNsH8MCwdyJ4ptN3XBLrW76OlSp+TVR9+1lLMhbySRkDRN5oxTpSHDzKx
4tRM4xefj0BdyCtm5qgJT3SRjMHXoU1Mlg7SeJ0Z1IW8YN2noyMQpijH7lMEfXIlIq9gjrqQFy/D
Y1BzZ4ogseTZTuys5SG8In/qMl5sVyKW82yKiYFJngMUCachMoZ+Q3690vyw/2J/TPvO1qZgJuzP
3TKi+hLqHJ6tX/egH1pftr4yPJna4iiTL6bbC1hq3HsY/Cea/ffUpy7nBP4oFShCbQuMjn3msq/a
bGhHGJRSY96UkqtHNkTHu3FN7GWup/3BRF30wtqgxt6XzJADVNqcr5uhyFaq5XSqFj7kEm640QMb
QX3Fg9kx2oKg2oQiHOjqcrlAcNoP96cuQxVa6LUNCquX7Mm3hUZPg929cg0Ix38e+ipO6j2CeGMx
DTLremjrMkv90vDURagMnKyHqEYeSccSAnzDW9l42hNQl6FSJF0I9rI9XzrzrCGD/b1au+qb13R3
ISpxNOsCs48jD9TyzUzivMbCj8WgLj1lqRxStTdHXoWkNCj6o/KE6iQ/xVnqikB0W5NuqZI8B4Tw
BhzlmtVd/ZvfsFyTbj+s07DbAGDv5sinSQ6nDVWXT1NC6/d+rbt7zCqDVMh5zxO7xbmkMHeCoof1
Aj6oC2chiZymvWEs32x7vESkVicN4yGvuIC6fFYtJB6tyybJA7Z8TJDUySohA7/t0ZU+TaBN1les
5JA6ISxbEUlmdclWr+sddYms2eBFcuB2z8GTD4/rVDWPq/STbaYukTWyoNZTEpF8ZcnnslWw3uvv
PZVdT4dfbOwukFWHFls5a0jejePjLj61svM7S10YC88A8Jtt0zgnAms/qUZyQlrZ66JEXRZrIRMC
DOiF5kFtc2khsR8mnkUB1JU8rVsuW1zX4xyVs/t5Egk918QvRUddGgsGOaKrhinOjyEaT1uHDAM8
FP1sFKhLZKUt6rijRW55Ryv9h4nTdXqujrAKvTIN1MUzAtSDQWNDkzypUNuWqsyEjR+ITF00oUq6
AHeBA8PO+zGL1q7JKu2XU0e8/POuC/1Hzfe23/JwXbasq6bkPOKA8ttcXFhtg5/9ZqDIl8PvGH7Z
pX7V6T1q9dYKde4z5Tp29aEDbOadgqlKPz0P4fLJ67RwpcrEslPCUxLnA6ko/NxQBLAIJB38WnfG
PF1J0+1y3vJ63uNTE88vMpj8KGTqsmqtOvhhyyTO+UnvpM94OfpORCdDbyxJ2CFFnJcbfYZeFtRy
zb3nlxtf02XVxD4kaTNwnmsrPq6zfERJ3z3htlttO5HFYvqkKds1yaOKvENF8Qe2J34Hv6sF25NW
j3Ur4CYblLo8jXUMx3m83FE/fSDqKpPxaI+iMaFYQaSDnCD7vbb6d69p6KJDoW5LriQOIqRjKjyn
dRxitvyeNd6NQXfRoZqnQNYgEJmzGJegEs9G79S22We/vl9TET8Ei3UfE9J2iOS6YJyypE8ft9rP
cwqvCT+3XWpypMFk49xuSx7N6/N++DmoUxcdGg7Gd7EvcT5hZB4DavGEma6hXyKTuvSQmDdAsBHG
vN8BeHSS1B/ThASeY05+HpfhEGRqeLvlek7IY4qQ96Exm/ZbSS40GE3KQF5o2PO5imiGd/YV/vWo
5fKbL85NFJKKNbSg4fps+FoD9YjH5xaPA345I1c4aqbJrNeqI3kYVm/surzuS+LZcxdnEmPYxTsP
1pwtoXgV1b48w5CDeqXsqSscZRbVc7vJNa8Pw17nptKf4I58z6X9xh7gIk2RoD1ySTXBgZGeuQwf
aB17lXpQF2ma1kRRNZk9r3s+ZAHyOqcKrvB+eTqXasKthQ/Tjo6LcYhfRLqbBwmlCL+F5BJNZGCi
LikGPWSNeomUHXNpjnuShNcb7S9uLi7UlCxrRTRucNgEyvkxChPyTQtuPpDdjnf+gOtO+KufcEKv
cB5hp9Wx6Oqhnr4tUzWeNR/5w2bSAGcI8YNbqQs6iQFeBcOaRHnSVZ9pMryTkvhFeC7lpIMlmIaW
RkDhmvAtSUmblTPnfokvF3RaYoprnbq2vibvQxGYzI7hX15bmUs4jYr1ELhatxyixc0no6v17ZoQ
ee+mlP7627qMU7LbMAELveYwbN8/9NFU2gy67v2DbuLgfBAzvlNjifoHU1Xmt//+k379gEDd985q
w1EF4S6bdzpiT3uAq6sKgscQkNvvEPTe383RgEzof//YjU3JZav2mXR7M1JsqGz5H2oAviRC+Z1h
Lls18GplPUzQ83ZNT7ab/ir7w/MccMmqGqYAA0XtNtIGujot/YK3g3Tx2+9csoolOty2fVjyuOH2
JS6D5QF3zcHvvuMKb0WU9hYaMks+jxCduD5EweHbcyG7UBXRCdIE4G1yzTqSpRH+Kbc78/LWVHEu
aiyW/RYMEToercF5u5IsY2L8tJ6oi1PVIdzg4K5oc1NCB2cNlsyG6+aX73T1tcZt3QYN9fQcF9j6
WSWBzOwO8+f/XkM3DgCXp9omjSKXXq/5Ak21j3MMtblM13jHjeYKWnZz7Sl1RF24KpiDXaIScs3V
EX+e2ZzJBXnt//4rbnxeF62aQMs1bcuXfFETy6CK0oCjHf7wa/z6oz/cUPqOaVC/64IjoGyzjYrL
Zje/LJ/LVi1YSwbeRjYXyaYfWjp2SFEm3/w67hzuxnYACRa75mNJp6ep31JoaETMb6dx+SoK2gSa
9sOaDyWsmMJjMVmYstGzdWfBdhK+CXiIW/JDDTZrJmi/G9Hdk1Bnvz4aXcTKTlZ0Ggr5ORK49DHE
jlyUtEufdy4bvxPERa3ARlfrUpZTvgbkDYoBvq8Rp37T3UWt2qisYbqH6R739fzAbLhnKJ3xfGZ1
WavZiFnOUs55QPfuTdy3y3Mzs+ROxHljqbqwlRBViEPqWPN97Ltsi8WHWvmZP1GXiLoe2FzO9ZKv
NHypzZ9L6VflQl0gKqVNDJXheM27de9O+3zE2UFs5/k9nTstRCuJiVaMCQn18hDuszpTRvxE6qkL
RUXNEgeDwMYbxnudt7aCGP4YeT6vuFDUakmUTEuD1qE+/qiOaTwN6eR3HXexKNGIZgtCteRDGn2C
yOSb5Aj95qELRWGK27apMeZdbNqHupXv2hD+IV47r0tF0VZB2Sokc65QRH8qw7E9De2dtm/sXS4W
ZZhtQG0Imw+z2E6mH/XTNk/NWa21Z07OZaMYpZUqZzXnNUnDxwlZ1yelmWfY7spdtWUbbrDAnvMU
XEsRBMfv0dJ2d5DiW6PjnHnHQnClTcItR0a0aZ4h86ffN+FQv0xlzO/9yI09zMWkEtu1PafRnMf1
/NxG9Pc9qfyiPZeIsruh+mrwkXfRSLJ5DMasCfc7jf/6RkhcIkpBvDlkcYX9UTHU14+LeFg3mzxu
oJk/wH+2PcV9GZ4GiXJfn4VAXEwKFVkx1KiXJR/7MT5ZHuqHsDz8pAKIS0rFK9sjSIWMea2mYmPp
O1K3d9Jpv55HxOWkFNV9HM5IG/M2pi/BClcha+P+PEBI6E6EcOsnrv//Q1wZpoANdIIHu7SKt7+7
UNQPq8Wqy8ZW3Aujfn0fJ640VAo5rC6ecY8VQ22/2roKH+xEunOt9uil5BN5ZnuovQJl4j5vBhbf
WB9lk+9H962th/qBh7ho+c0kJ2ctQmiwpmO/5Iakv5f9qrKxRE2rX+POrlGBYg3CjU14JWR/o278
FUVD3/2ads72rqZI483XIww8T5eRdtF/DVMf+ZmiEBeeariqol4kax7rWL8tZTVd2NJ5VdsQl55q
614xK6cpT7dsPVr1bdQy/Oo1MC48lcCLYzFWjEhPdb+bWL0fu9TPIJm48BSBVQDIgL3LrdqnbCrZ
y9DEdzKCNzZRV3mqmq/FpgPrcjjpzidS5XHYqmzpmyhr2PpWJfJ4ZNrvxZO4UlSy5UgtQzwuByWn
TiSqWMZTrbyCIOLSTiIUBhrSu80tKbs/kRAJn5cIith+X9hZsmQXSxe1+ApTEo9v5d7Ip2jZqjsb
wq8zF8TFnbaQ2iUQkc1nupMu69aUnBI4yJQAK3CSmSQO/HYHF32ibEqhNhhOOdz30qyDs1QWy729
k1O7cQy47BPnJlia7hjzkO/yg4KRZ677NnqcU0iA3PkN8cv7LnEZqKALWnuk5ZqLTUcnuJ2Wpz1u
g8sa2/rciKp87JB5ztI1iiHviFur38i5hNSWlOHc8Cl6ZZvsH469HR+CzY+PIC4hNcJ5dtiOJXoN
yopk8mDgmT0rSSDo+vPhvGqKp0WGxnWl2wzyfh1L/U4El4/iI+GwEkXTgkP3JJ1bk83Au7zWnItH
tfuxLF0SL7k4VoQSBELN+dAk253HuhuT1cWAdqV4mVBgzXqprMyGqauKsk1IbraU3IlSfx1dE1e6
qgniPtwM8uMbV9/xVnRSM9Qt/nt4/qkz+veDF3F5oMqMEaq9pzEH8loJDDwo5v36dlAZ2jygSrB/
lmUzvqx7bU5z2ZvHcDHygXTG/P3fXbj15zmZraTRxq74SjkzUElN0y9cDl+8mnaJoSbetrndpyUP
og1eTv+rEz/VZhBTPy+HejhgmkhnRDGmeQehD7L40YKox/i55ZUBmWwFHiwYC94j9/mFln5mdORf
2lZtJVFTNWIthOo7T1CLPKXNX35D7QTv7SK7CYttyOFz8mXa3sfB7LmEXVBI67W1c1pFr0YYBHTb
AzHizu34xtxzqW8ZkU23e4mtxwBrSPr1RNf2d78RiX/+kI2YjopKtF1aBf5walEAwf2YEuLCjSj4
qEnUqSa3bfuZGJYrEvoBa8Slp4gNg14mInyt7P5B0OBTYps7seKNGMVFp1TH17adg/C1JIN9Dg5E
DrTv0zfGhuwMRaPjo9fYuwpMeDZruyOR4StUMzPZyDdQt/7k17RzEE5Ivddwo4xepWj/rid1trCW
vbMb35iOLkRVB9vO+JqGr6iB+TtMkj/2Ud5TUbjV9vX/f7hdB7LnZVtiSMq2fzOYmJ3hicsf/AbF
iWyxPDEPY3R8MP07lQ6w0RSTn3wQcfmpEZ7A9SBZ+CrW8W1J7LPd/VSoiau7Bnk4YdIGTaebOqWE
fSl5eK+C6taAO+daN9KlpxNFtwmehkX3NcA1yW+iuOhUQ/q0VCkJX3nafGx1/1vatXcimhvddrkp
tcZQgBrRbXJEL4sST+PE/O4/LjQ1wk8rUcN1RKov3bi/pi2/kzq61WlnUYamjRcdYTzirnlI59Nm
1KPXzHZ5KSLrYEDke91Jmt/C5sj23q+GjLiwVLxDMXRUGI6xLt+2uskU0X73WJeUKndbMRiAmXwK
lz5LzXacj2q6Z7Jya7Sdk+1A/cRqmzqGC2P5sQp26Kcdu+fl0iWjqipeSTiq+FVY+blexOe02fxO
ZJeMsumwbmS5rppBvmlXdeJt6De1XSzKdJWYlhXTRFrc5+ZSQTFMJmevOehyUVqUzV6i6DgfVa+e
od5PzrYm9+7CN76mi0VpIO9hYCIseGE/L3p82HrrJ5pEXCIpTQ9Vd83RgDYkaUYM/atfN7/YzUWS
ahVzGZQmApIaZPNin47VeDZ9Haofzsq23qRKl6DOY/gh0Trbps9+X9I5J5O4M0JuaBhFHdhgu5Ox
qV9c4qJIDDqTcIW3x+vCFpLVfNxQKQn1Eb+OO1nbLYgbySJR54utL1Gtvw588IOoCHEOypkeTaJk
3eZYQACoQqC0JIM82Oz3NV0aCT4Xy9qEk86XpjqeeUnMmS++KR0XR9rKZhJsarq8rvs/R9J/HZPV
T9SfuDCSDqTRZmuPV1iR8GyPlzCLFfWL2Vz+6Bi6Ja4Tc7wa0p+pkZ8Iqe6lFW7sKS5/NKQmHIF2
t3lAms/yQNn7ZJjnNTZ2Vmc4pWnXdTZ+tfO26RMb6wRy+/Xi5y1NXAZJLgqbVTTqXAbszwB6G3VY
e0b4rsLTpoNwjMqkxUuyhOZjP22PRIl75bQM+9MvkjkugrRO4QQhM9Hle993X9aGhv8bO6s+lIsg
T14bgSv0lEIjlKYHafNj3f/UtbnEKvRiv4gLIY3xEMoIZca56Iy60D4JXxo22DvT/Z8h/sXguABS
MrN621bd5lD2NudkM8Mj6ej+WOo9OsWMLqdy6EKZRWqePx08PZ5WzOEva7DOf+BZoPwjxvkuz/A1
l0/NUvEv24gUB4/Gqn2CRuV8goNOJB/ikI3nUk388ZhYe/YadRdwIpWFJiDG/RWPT//n7EqWK8W1
7RcRAUhIYgqc1n06O+eEyMpGSAIJiZ6vf8s1ete36maEh9X42AcJae+1V1MhsM8UYTXp+5qJt/ym
jagtowu8U8W0F7rrT2b8kx7w79vnnx766079fzep3ikCKxLnblSEI7hUYENXcGac+FmDJtOXI9Jh
sjLWHu5vSP06g/Ia9WUU1Ws555IeBkOBCmajjqq0FYkuIOkYPpI2iW9qOatTI+e4MrA1OXEoyb9O
XvB7iNQhJFd5Hqo62bAwyWtVYwlNPi9T3RyzNAt3IcV4uVPDeoFbobupvf/T/OJfzr63pKt6UEb7
AY+TdT/Dkt/E0/sCZMhbMjlHRspk+8GhLKHxk5/HtUjHnL9vtvmW0qXGeR5zib8b4TH3bPlq3klk
Jm89rnLklqA/gDqpZrKC+PFFRNn7yOPkLZnLGYRJ1llkbvwanvOmRq5W/YcT418W8i2Ty/AobSEi
bG56vZhiFEGfkN7zPrE8eUvl6tKV277t25s98uRu5W6Fgco7U1fIWzYXaEpZXje5umGa3yNMDlST
9n017FsuVx2vpGthxnUDXuRfdRQ+7Ql93xZ8S+XqZ8S/RkqpGzz6Rx4B0eTd+r5IXGSm/edR1Gnl
KHKM1I1ET1JsHcZjvdTvAyDecrjARE941C3RleromxmB+EAn884DOn7Tb8uxiza5j9GVbOpLKt0N
bd/HbCNvmVuqbaiRDq38GAZ9t1p18R1hj++6td5yt4Zoa1kj5gaU3+E+tt1c6KF/3yg1fcvdmuo1
gxlCL29s2qzV1FtEJsj9Xe1O+pamRaykEvllmHYmqj5AA7mVXWffhRWkb1laliCRLgIae9O10Xpw
aS0KqMGe3/PM07c8rX3sxb7iLboCtRovmdj3qgvp+0bMCF/4z3doc2JppyYR13Gn/q7DYOYcd/n7
6GsIc/vPT++aDU7TiBm7BrrOpdMZKaZmjt6F5KVvDa2sC4lZYBB5HZLclEOyV6tv3sfrS99aTW2S
Dwlnm7hGzolCU/4t68fxD2yFf76I0rdmU0OAnw9SgMVVRaS5ryPyLWKjf+dufNN9izFpvYhhG8Aa
/Vw7shzabP+T+up1X/x3+Ze+5UuJpg2wnq7ZFaJKeuSUNFcwqHzlejK/b1nf0qZ8n0RmbWJ2Hdcp
qRKfbh/zNeSf//fr9HdT+U/f4M04luy7J3HT8mvgQ8q/0YTz56XN46LZVXIdESNSMgLTuNnX5pHa
gHimIdmet4bOTyOCZn+OCIRojzSDu2fdtuSY6WH5wNM6fqAoVo8I/Yo/JV1uTjPb83KCQ/QFkgDE
Y+/Ipv3fX+Jf9s9bvk7WzAmdvcmuGen6e5iVkbvBMVi5vO/j2X++tvDnBnWmZtmVLvVXH7nnBCXq
+z76zXmTRNgyr7XMNWqT7boLv5aS5X+q1P9td745b6zIYVTn1+wKd44Osk/P9jJlIfmQqNm+qzBI
3zpcjWmGZK11ygBWyO1FTGI78Lb5Eyz3ugv/aXe+qQxcjGxDi1ypq8JM/IPxcr1oHJ6y9FM+kDLu
A8yGGE3/5E/5uqT/9PveHBYYfk6z2312XXKRV9C0bqeGRKaCpYk6WpQpP/6w7q8f+A+/6C1BK052
M+oF86G0nZL52VGhQ9kHm1SiDV3p4EJebCRzz7LLYlohMTKFxC1xE1ZwCEgryF95t2nI6IUZTb+o
bJUfjdnyJ1C/BldQPxO8j10M5sa+YPyHBPrXovZJxG3zoMdInuDAtXxsYahymWxohiKWlt0ANvi0
ayoPrnHm1EFQE9pCkDk55ZvdTp5E9lNLXHTrWjYuBULudOFaNXyRKSI5//Bw/uXZvOGeWGQMt8rX
+9VOFk6KiV0PXJE/gKX/ssJvSWQkzAHYhWFXjbf6BCMCfcw66g6dCf2HQW36DxOqv9vhf1rhN6dG
sw3a27zH1QB/4vjSd4tH4Af4EsWCCKIDOE72C6wK/A+II7KDSZtfSWpokXRbWygMQk5Ds4k/0BL+
5YD8LzYP9YmR4A1fB7f/HOBKU9QdHu27lustoSfyDt5/NKRXOrFva1e0w/iHc/1f1uotn4dE0mjW
oniPI7sWs1WhjOMlK/hORRnifH/fhntrBYSgdKaS2qdYKkPKqB5Plr+Tr53+F/tvkB7Wwzy54l3i
v3su6mOAW/Vf//vhv74T/7TL3hzx07TBnmtK6DVr8/wzj8f1SjTrbqnm7jBI6Y5LL7Yrp2J5F0Ca
vmUEhnje2Gw8vWrAr1eKrVohU7F+V0uVvuUCJo3fmn3s6NXnNFyVtUkRVJI//++n9S/vwVsy4OYY
ibeMkKvdV2uL4FCRyEWkn/73x0Pm8i9XLn9zgQDw7lsFyPjqYtZIWjYa/rChdDGJaFrkMDqJP+zL
zIafCjh2bgu96xVOA6leIpgJKZFmdSh2g/ugLxBtZzV7lBguzm0ZhmSaG+SiM4Gx3e6GLTFlxElL
P49/v4LFuGKM+ltOPpdrgTHCtN9rZjL5A2YGBtDUKhEckRT93ml7n6qlPYQtT08SLurRYYgdLot1
ntS5g9BXHBoCh+Ox9uGEMf5tajaNKEKLQOe5t1lc0q7JKtg3whguaXAB5yMkcGcfiey2hbfgU6Li
mlbxrpqlmGrTHGGY/FuqaP9Zv1rstNOoCx/n45ear/W9ky176fJ1evCNjY8Nhyv6sted/r0NW3BF
u7K2fgiwz/jaCRFHpwYq7faBTwO2RzGg+uuwyZWOCkMS/5ArE6qhi3UBdxas8WZmUYUp69DrEn+r
EtUgidn3hWHtc292epvjO8AwuhnXsh2SumKR0aXRU/fEw4p4xjR4fuyxnI8xLGbm+7ytV1fWmc0e
4BFfP0Q1V+d26pKomOAFXpodjsDn3axp/ww6NjLamy7/GmlYugkuWVqRLv1EpYp/1DT9zTbjrr1W
4XOWC+kKyJFiVYI/ZiowuLOq64ehCnScjlrIARQQFdUAkzkMBcM89J/7oU2RAdI2SDkNTZ5O56XZ
0/ghj1aQ8Jt58ctZh3oln7zrPT9EzuLnpy1bX3Foak05c9advWLJBQvg8FdaDXL9pV8kjGH6BejP
WChE8+nPtRQLnMcGk2/NAcem02MZ2VbY20TgRwui3FzuQcaPqpMxLVsoqo61dB2ydKeFTlE1DouT
l9G0qnmw6xSOCvv9tt2QgDiRfkDEHe95ZQdFigxNia1s24X+iRvRxsds8Dw+2jwl7KizNQ911Xc7
MIECILrrHyyPJnGX+do3n633LH5wItlHVtSoHOPSNtZ4g7/Et9EJ4GG621JZjJKujNqpPabbsIQj
BLSSfJ/HWe2PUW2RC6NA2++/pvNmFiSDOZIuvkgxsZgL08+zvU3TuCW3KwZT6ofaZaJuEzXgf+3w
TLInpNjEUbFhMbJjozLLjmQIuTgvtg6itHENglnRx0jRKedhy8VdbXkuXzi4seEIpjt8eYTDD1R7
5yKYEiwrHesnZEDAzgtkb7YcG99T9QsmXwNmeWjOZvnQE2zEk5jmmV2d6zVS3vpOAW/o5YQp94iA
2fnRiEkedIhqDHW99DMvhnxZ2JeWENK/+A3RkU+Cdhkqlljg9aRT0pPzbilff+u0iWaoLRflYei+
RvJCOlgxVEmjdXMZWdOPv0geNLkTsTbjiwn5Ks6EZCr6JDvao4B0A18FGBma0FLwpa8/46fs9Nj7
bI95sZBI2HvF42E6wXKRTQfaDbH92HK6Tnc8wb6GLXAX8YNP2dZ/gb/WlKHTbBvsY8Rk5KfeTLm/
24kcm3Oudee/xrtIu7uN9oNMyjn4eJIFQroIu3BYENifodavehIHVclJJ/AmObdrt8mbHpTL5Mya
HJU7eNxru1/WvJsXWZosc6oa45W+nq5TEs1f7M7ceOwn35PbFKfRlh2ccrW+GgVJ1ZeZMgYHIGZz
lhbWLjWVBaR0oO20OCu6y4rvpJ8CtEfuUOf1kF0gWM7aF1tvA782iJk8qtBk7ald8P/DhHx39QFu
oMI/1SkiqtpCJyZ1Z5Qx29JVmZ3j9gzBoVrtcc8FLNW3FgtzHzGKaSASZqeOnXARQTeQ5EqNl8VN
i/3FkfLJzqmDNLJQMK6QxRBYCFU/mDb5uYc5mk5dAvM6XYTA561gTRZVckhU1JVx5/z03aV8jR9t
a41FdDmE0hI+U0nsJWAqBhhpaHMd78WeOFxQedap+i8oeZfoA/dJMl0tnHnWE+1aLm4Tk8zih3Zp
knwaYWlkj5qRsf5KkrCkdx2nfvxANTbp7zmNZn5pML71cdFHaUL/onE6hjPZaRTfDHZebZGB8e9/
8Xmet6YgMwI2v/BUDcnRKdCm78wYs/V28QTNUdHOUpjv0zjV+b1I2qF5WfEizE1B+TLUn8Sm6uio
6yVlx5Rvq7xVEBBEpSdbkjVVl1IC671oiU4mTD67WTDFVt+BHaWth3ppTvRQ1SrNgbPEuEziH0jC
i1WFX9QZU72+HMNW1hSjoKVIbRpifkhZkplblSL2W5U7HDnmn3vnB/Nd20yP38ddRRzt2aa3T8IJ
03wkDiyRX1OryOaqICI2ZUemCPCkwzj2ibiFg1wXnlIdxUNz7uCHJ5YSWtLRn6fGr0Se+7xW268O
dHVcDwoJcvUBws+8U4VoWZ+tBds7lTEYI0N1TIsx7aP5NhVe1YXNa8px29b10IeChTFkyQG8ACaG
qiE2c/TEp3mcXgYFI53stCARAXacGwVT7pueMj9uJZtmDMu7rYYQrBCblTMrmE0iMUMGpNZT3Qo3
mFMNXYBMKsVyEdkr4PmJPKUzzAOXkqw58991Z6e+L4hJGnV1zaupVElV0nZ70YqFG2iX5n5nlZhH
y5syx0wyPmkbIUsJbnVEZxeYTG7mzCObzL+zuGf8tKQq6k8NoCdRZTsLSznwTqNgWtXQZOqYOF7L
FkOZmdkD0/O+nVq2mPQlqhs7HNZJ0N965zb5xbuZmHO/IrBlTGlatqOyj2m0ZnHBTKLpCSnKUtzk
Mo1XBLllYt3O2Z6Qq4Dr9Yb7eunMsQ7RHH+yxMj9wPKozvRJpquJbrchmpMfokvjMzzbqD4J5NTq
Axy4h2wu8xkpfXeqiZP0zq0bvIJKoHQp2ER+qR9lJy1U4908ewggyHaJpmAPcplgV9tPcDic4SFw
ylFGhW8Y44K4hq9MBnEJJl98XjR2zflBEAHmU7EjFsFeFlSWODWUVlORwwHzSYCDZX2Bqmqh9rSZ
MU0/JDtbZXQkPPbrtWNO6acoGWBhRxEwhnINr24Cjw5ObN78JSPiw1kofk0EdZcmhcEUTtjcvSx9
DncyP+xGVZpvqbhkyRAE/ttgo6GIgMKpv8xWQ3+xz03UXFFZM/J1DLi5HkDy69IPdb/H5jKPAhuQ
gZ+Awcaos7E7IYvc4y8Rhu7TGeu3mqedZcg7HTr1E0MnXIa63s8S8Yq/OR+aaSiW2c79I4Ev93TL
+2bTDwSypOxhWwHuPm8ENNwzeIqdaoq5bTLYU7dk246IZBjcrzxJouzYyjEWL3Ti0/KcTSB6P9ey
C/UPjb8V9Y7hfG++1SNHZDoIw3vDHvYu1w7SybYdY3yzmNmiiVsFccVAN7y/YZjXpARiq7bCxZTL
iwC+fdSrA+MJ/k29OqVm5gPOitXoh5pNMkJF2cZIuQStQeUdKCOHWQgEEWcsRsZjGasuRM+T86pf
DhhM1Fl/blvdnnIucFWPvBZ5U4bcRgTF2Z7xnzUs2Igv2dwv8T2bl0xd0nXPXJHC5/q0d1Q/c91J
hCwbjj7u6LSjShRLPMXdHRXB9k1htOj8fVqb1iXFxBD+i/s5CumAhYuk3u/gWNpMrtT9thX49xHI
VW3WTE8DLggcfyDS1mEt5KBsRbaw9j+zeoue2E7RvXew2buxKNPHHSdaGnbgdTSSH7Fr4X/KYWu5
XAaBIrqAlGyL75PRCwxj6zzL5S1DGCBFyTA7MR3wwe3ZwMhg/djwPl/WO58nvX9cXL3xqp3aNn5C
oaBiSCnNNspj1MWMf5hyVCtHG9gknkLeN8tpmHh9S8UI2XCeyRNKLmkgPYlN3p1AwSbJw44ysDv0
KfaVOwRojAd/mTOX9R4V9Su+1yRzdKcm7effw6JH/tcCq4XPC0vFLzSnOMyO+dbBaHhO63WqeliN
/twQ0VQqjBKP4wCvmboMopbUljh8yLwd9AIBjz/RCUiGv0gEOvsDGvzciIpOpFs+Nn0jl7HCRHb0
soroLgiSAKaQTo9ZPizpI8JsoxflFwG6jERnIEqyWWXEZ3TG8BOZTI8MQSRQIZuWlzoKLIJrFKBV
mlUNtSPMu8Z8vGtWEn8fCPNNX6460mldpXMfJbzoNJQAX31Co6WKyGong8jxpZ7v/LpoBLaMNSrZ
CeOuuE0Pwyrr/ptQvVgOBm9E9kHgS0zX3PMla0uMfMZK+36bCjoI1xZdxF6j6yxccVO0u307f3dQ
aCSnTbwm8pR8jUL0GYdsxwJ618hsh71BLMpS5CFdaVb4HsaKJ2aarLnb1kDIeUEK6YTgcliqNMUo
O4xbhh2TiewZ6T4m3HawxUxzuABOuEnrmBQ8GIfrERjBlbWvqaUUzowHsUxZZYkkaRVMvL6oRUQn
nqb0wU5bFFXRin8G9k5+eaiq++Oovb7DXmE3VJgcQ6hxi8px7smlI9v8Ua/MPU88M2sBP7Mc7RqA
zLFIMC3aihh2QS7/yChdMYaw/S+iB7IAWgflxId1L1aZsycxo8VCSQIbugRt4UnhpAUVbaeQ8C3m
cSABJ/xa7+SqXBdu8HYNSekQpQOgO98vBtYaJRv3EdX3Mp+zeESBsgYEfW+iK8GiDifdz7JKsn04
DySrT1zWy1UrHFAimV3Zdy67SxIANknTaxRsIMYJWge43+/xgQ8hKeDJZ0qRkqVE5qE7zTPtX4Z5
wKEFZ7FK1zw5wIuKoUSwvCBi+RLG3KAtoyicRrTcezvEh0bjzJhSvpdmZEshHKJMNwLAA2Hkn0kz
j9hyIL7joKgPEfCTFM8gqo+jiQM6Jjdetmj9gXBOhqpRomHrOP4e5cxaJutQ4/nLNBnKzoz+Bun2
KboAOv32niWf+hbHB1XR/NK6YSk9DewR8W36kya6viBssb5q4S3OEz8UJPKs7HQiD5sicG9JWCcP
YI2jbGpyH52hNJ6qzWuUdAjEGL9NmxZFX4M+rcET+QjVGKZNjMijQGjx2fQoAkG8W3daZlFXw7QP
bfMG7tEJHC92kyI/oi8yHA0n6WaGfF1Cxuaw1lR0sK/K1r+oDyiA0dzSR2+cQvvP1/4XyJPxeaDR
9oFC+Hlyks8GkocdD02qrJLax4eW+P6HnRdxMzE2PMu1T7HzU4VhCgOS3GAzHH0m4bute3rOtOwO
MMvGRg+dPbcqbHu55eNy7CJvmiL2dfNLtp160DmRX91iWJHOUdcdSJO4z62t1+1oOj2wq4qdOapu
ZFOV0NY+Z1L2Tz1ts+910qvfyHOLEC3FUJjlQnzaXRSRO8hwm4c52PqypE0eFSucJyoI01EDbGZy
J4Uh0PcR56A/sx0wV6UbWZ90ViPxkPZt3JS7qrdznSeyObg4ipaCx0YnVe9cBnBrmLcA6EhPtjK4
vg71Xm/Jy9CtuJcL1W7xTUL5Pn5OsxGW+3k2R+rQoo8ZDujWKS2GPW/uyc7lHUmYmRDeyluASN32
I4637oWBb3DHIpi9Ye3QIqKtnIEn4J6MDiMX4RkuavD4DBOiTn7XSpu+jFFD3UudrgyU0hFR4tzs
w6NMUGKOu56u25Qi8csmwst7TMN6c7+j/JUHM1L5AF9Om1e7RIYv/nrUF6XAVf+dsZVfwPNzx5RF
4Xc9xmEH5rnUV3B7G15Y1KpZid2hZdnGSC8rU5DOHwhf8Bot82uQGU8ymAC0IVqyY7pmPBSB5zmM
YQfed9BxauIvLcftd+g64l9NyXuFCrLLnprUD+wuCqP4GXNlm5Ih2go9HkKMX+KecuxiTADiAwgx
KFM4VtUdWrGN31DjDV8Q+1b/cj6QrEhEJNOSLRSlcTPZGWzwFV1muc35POFlGeKvyi3TPQ6F5Hvw
zfIrYCz3uAiIB4s4NtiT0bKPd8uSs+vSyOYHa8fsL5Rs/IuNO46eTNo5utngfv67qVG/FWlPN11J
1En38z40e0lXkt8kckhxmI9D+sGMqN6KGPu/Kfa5lTcpKpCm9Nqmw7Feh90e5UBnd2GJ664+eYVA
OH5ZXuAj7Ii6swOo0fqmLQmUEPwLUrppW8lsAtE4hcggK6cFGYT3YxYbeIXyHoK0x2HlONkExfn3
uO9THX1dUdVds7COBwNzO1bt8QrEFd5HJj+A4DE+wyYRLvoxXUWGKJpa5k87Zq1nIB7ozXAoxjWA
IdG6Wz/GsS+53SIwcz3Oi8Z5ln5pZJ8/7OnqProErmLVzsc6lBSJP6EafT3sE66DdfDPLaP7j3GE
Edsai4Eeoq2zHwhiyL9FruMnF8SobiZPUP5lnprhvC1KfWa7InMVo599WmCm+UvvpjVnUOz2qQwr
oL0j6yDbhCCi7V5a0KEfIL6y9z2HaudQZ64JB2AWbC4tehB5lUDlpzN+Ir+moBjZE1wQmK4oCw7r
FCsvy1XEoT8wBo5x2cS8Qc8BzsdYjYGSp3zZsKD47MYXvLH7Q9yBu1w4XBYI8yArriwHs0x7s0i9
fFfZMITCby3mGcxTcYppGAGgbBuKcDosYCHPyiwc4KxsqgaJzPtBkVW6q9pbvKkGVI30gucm2SEj
o76oHBO+xY5JfEnx6L5H0wLovUVhcpcTKBOOddwP24Ub4+jF5pR/DZObzSNnChHsk9ktXgjcbMxf
AB405hA4ALLzHq0zK+nUiZu6WTcoS5BTAlibzXPygNprG9ElzGNTinmNFVo4PS9V7cnr/ZvWLs/P
cpTmC1Vx0z/lY9JET3xL0q1Ege7WUzT08Gg3G08ep9nq72bc0UhnagOcCUsXg9lKQpMfbcNRgcDm
Z5CHZOxBwo5DINMdjWk2oqed47VSXvGHXkfzX2GcFBy6jMsP6PAArEDa07cIgmra79msScX3SafY
6tvcVJahMghozNxR5EtzCpBb8sKoLPqxz5zfAZEQ7LQRv11egyv1D9KH+MMcZIdeKNTdbR9PnX/k
DYkvgCAfm3YhDwnCKK9whsOTdZuDtjKkNQfYaLuGnOywgrJq1SRf+rzddBEnZL50bNS0TNUqT3sK
B/uvIwIJDrEfAgp8t9z2VFN06ctqfZWtmYxPEU/6L74f0rxC1RscuOtu6k9+mw2u5AmNWdGbVBwc
gMq86FyCgJCZNv1dmgg9FgMqy66gpBs/NBaGDzhdlu7kknb/2ZAJU+G2gcHrfZ/OYTzkOeS+18zj
6AfKK1BdZMoOr55BEYq1OPUwHCnGTNGmWtnu5gPS5XN9NiwWrAQ6Sroj7Ji6pbIxU3m5SAj52bAw
zDw2trmCKSA2RRIvOFEJtfl9JqK1jKhQP1ZizIweQ8XzUcfBcaRCrqh54k0eWWpzXUQ5slDQOcCE
r5CN68bLbvvNV9ZtjSjaFhmGVedBYYOFe28ufCLsAbh1VumWyHtRU+yTVPHPbEyBVwm0uQWsL+ru
s4xG+CKbNW9R6un871guqk2VYdz4+lVAAimWfJK+WBIynoi1e1x0A2kPa5Z1L/XUjMd0mdD0N0OH
Ocuchw9TcNu3LJ4yKOs7DBDKJaDkPkxK4SRIRSbixwbu8h/bfTfw4Kp78yEyiGO69wJxMmjWFxh9
OIwmtkNWRyvQUVCU+5NDzDIp8eJxWww93OMLjNK2D076baqA6eMeSCfgf8XYx/14iWXLv8u8Mfb3
TvpFF2gvgRbEvcNDssjJvakD0WlpLbXg49ZNtD96JmtzCi6aPSrkMb8FV398rCeYpx2YVUJUCqS1
sVp5bvYy1F5+WKHsmMsNHgsfMVkLv/qEbwhN0Yk+Z22iT7jncTNJ31074GIQOaFrfJ0szM2DWrCn
YFa3tdlN45dmuG6Ksx4DNeAM50nm3Xpo9dZ+9wC7D9LV6utC2fwCS9jt54bG5goAHruObOtHuDdB
K9hCrCOOpvb0YUJrc8GrpZZqI9S3pQ0QLKG7aTmBdRGJho+JoyM7sc61/eWVIr+VGA4s95aCF3CD
AZbNv23rnmAaF1B948AI3a++D9uPsDepPC7xnHzUEtMxqXxyAXOB3UxLUiNgtM+G07rXChU6hjG/
RhawC6RYE9BnSM8xGGYefW+NpNaMAfiboRX5KJblIa0zWnUZNfMZBYIrdLo1qCn8+DN36zDfIW3V
pgfL5H5jkNB2EZ6E23HpslMTC4QPA5aDD5rYkKZUIdJ3vTgsNABS+OheOj7ggkM1p4aiW2kA7AC4
FCGOEEqcQK9PfzYeQ5VijjCcGZWef8/Q/ygc9bMpnFT15631K8f2GrirZBRmHDyLH++yaFW/O5qj
CM7g+J4hS4FiysKlWu760Xp3dqMwz2vUYMgJ0dinFVcbLuNhVwAwV4pBsBf2Wnd58mGLCBwSmyg+
zH3qDkmMWZnGGYODjqAyJKLhB5LG8rr3kz0uBL8+icfmOCgHzC83uGQ6DHkKy0VzBCzcy2Lhs/LV
BGTtgzE5OjHYbGL0HuL6rlcOJe9s1vH7rI2v6pBluFWitit6ke7HWsHhDzMrWZduztPzwu38ma/T
1JZjwBkCxQm/Wzren8lWW4rZjmIP6MAw78bQrLRtFgAC/B9H57EcqRJE0S8iAleYLbSXumVH0mhD
aByFpwpbfP07eruJGCepoSrz3nMzs9z7OdTFfBibPH+CHIh2YxAuu7UXy/tkDWbnYjk/q9CqHxrW
paTInN1Jhpn1xtsOLmozQz9BDXOOU6bt/TIgIHAX5sfamyreoCKjLYlYiJY2TcF72WwtJZwh7xEs
8stxFPFLEXW0bsV00w28Z5RR96YO1tbJHdAAbJ0X18lr3QRJdKXlHBmWuGpfJ2y4YuZy7Hs706jn
GSpk53pEqcQailPTZevJdzBj29aYe5oNc1h5Ix5nYRUnkCRxrusuOoxWsx2ZOlLfj7WI960qf7dE
2VL+KqGsXmdFMnUVq1ZNV5hdF6/xY1UK+20pOneHMWk/IOrWt75onN887N5u82WXet6cZbu1s3E5
cjdPOk/aSdZu2T6r5vLLy9EMvcbOT0PhyF2YbwOnuGV9gZtlCJrFl2OC5hgsWXSYI3gsngv/T0j0
cJL7zUMe3JUsyX6SYTEeUKSxRbN13Xk6nI7haEIrKbL5F6P2kGbKaTurzv9Dwf1X5UvwTEyXBcmM
FbitJZ7Vgk7/aud2eMT2dXeFtcbnKNbWbVjUV9B3/b5SEnclz2I2fGLt0YKU3JZl6L+iLAxHRKvq
YgtCa0CHiovclH9df+xO6JDBU63H1yGsi7faDljLNlEDkFAaMsazVdUdk1OjZ6cuwt2m0SMOVhA3
SSV17CZdZ5rEjKG9y1rnN7mygZ/nLHZbrBv4FWmCcN+S2tUpJEubxIuYl1RCT0gue6ILO1WBNal1
zB9Xq/jplkwR+5JL661MCg3tNvD3Obsd00lusvGOyzhxEVaBhR/zqExp5/fNNLiedTAB0SpUqXHM
N8EL0Ij5fd7itT1Rtpn1BSm17DCrjPbjH3KY/d+iMp18sOUaqn3nREb/K4y3jVWyLpXod3KQyr1u
MeOUv6JC2d2FHzdxdeFCEmBz614+uIyK9+433VQ7P58b9914zqYubuU02I3euEj1HBMp01x7s8Mt
adfKWX7Ek5bqb2QtgTJJ2xeOBuflN6g2GHi5JEyfnmQ6+WWOpmuc+HMaa2poP4zyG/Zn5ez13Gb/
pxHLvRuO46tcpqJJliHS1j6bVWlSRN2Q0tIfQce5EVkyC0Pad678Mqry8bwyyw/qW5Fn6o2GsqdG
qjlumrSoN/NmMxtcP8VFtMgDg60cO41r1V8RVVxwhiqr+n8z9F772pfCtM8OA/91Ghdc/CvbPxZd
JgUva3nfDb1q0thhwiZ9JzaWn3Att+1DO44bP+l8Q61NKoNgndaLo7EaPB9k5hLHnm/uyXtm+cdo
dSZ6oNqyizeziK1Ptsnvl7eiVTxMrov15Ow9s7g/MV4j57FCZMn/Scb//ZtCSGxGzAGqF7tZ2BHd
bIfCcO705HgpStNmPVL6jPl+iKT1Gi88Jcy/9SupbMCEIqwy1mYLwfJsaypaNrqNBbrxKGYmO6eR
jKb1ZZSYM7tigHqykrAD9IWl7ca1wfa1M3v65yw9BN8eP6/zxf1aS9YFDUEG+sC9P+o9u4ut6aMS
Vrv8jZGUIpfBeXplU7c7Mct1TRXXOpoy11OB+Tesff7ulRaOOPNBvMg6N70comZX9uBml9oFOaow
41k2cI2NaJwTvI8250FbQ9PtwqGJ6tuw6jU+hrKMenVmfVROWcTS3e3Tn6cmTxfbIy2btxNO065p
mIL7QyJteU8rKxF6tVuHcAoyhmWwfp25qc4mbizyiCdMaxdCw/b5Cc2JyAAG+sSy8vV+cLzQa+7o
Sel2k9ZlWNofYYQQw8Gbg2ID/5EdksUdwd6804e1mNHAJjsP6qvCD6t/Y2C12/vAgSX+lc5oY0wG
Rb0U9skmBuo31AohrBzeVsX3vhvdpoic/eYEbUvvJEdrZILp5lioDceGDzOvz5wnNHCsuevc7cPO
57DfecMYFdUzZoFZultku2Fj75g+orZfgZMH61cdTrLC4TZB/WtFEZjUofC8XB76qFhVnw6u2NQ1
3zCwmTcdkCpekQea4/adnX/uN3YNYsDPo0rxQ3M6I8ZJ2oRCS/IJCZMT3X/o/VW45+2ro3kXjUZf
odLr9uoIWrPuwF0aRmz+nQT9ifE4J/hJN3X/i5e59K/26BYqUYu3+AenHCVvf8WK1nR2hoj5I2P8
L5d28TVT/6wjPpcU0ZCyOTNu8mPv51v9nAUD1/Vms8aKwyQoz5hbjXipomLKHha7nser1UOnXhhU
wfa0bNDNDmZd7Nk0L6hNZhX9kXFZxcnqlYpXNKesoGRUo/XWcGZ3e77/etoXoNE1+fnI2zuBvU23
zEfQ+RL5FvSfEF/uH+WtW4S0gIGKrL1E/r3ApKbnwNrwjlmgAa6cLq6fo76I2SC2BnYQ7ObadjXj
BPz6QwLZTA8x7YVJMUZDdZUdq4cPxuP93fcxJnDiTevWu6mSIMVvSzcu3j527HVI6B+2B9N1y9Yl
MwGPLS1L9NdHC+pFHLCYWcxSekYYCpJV3SlXTWuaZXUmT8yMk7iS0rAvh5eHNGfnrs8qtxb/3V4C
e/2yWW/t7MxEQ444Opu31XVmTXHM2MafsxN3x3GBWPPyIDzH3ojsJ2BLU7eqWfATuTavEkJGyYte
hCjYMVs00ph7bNt1HRRAIjYZMkKfB8B9zSqBStTXVs0E+rJ+HPxIBQ8D1S5FixynFbewbC5VVYTb
OSDjfgZfD36LeLXlHmDD/nCDcH7J+WQZPbgow8zWJoAGDW39rGEEwj8B2vyvLONtOa1Vu7Q75iCg
DIY2peA5xH33L0AJ85Nf+AaRv2kjli0Je74tlVVWd2UlO6oNr5m+/D721pu9xv0nXt76p8nCpkrj
PpN+0k2+j6uXkxOxoFfTJc7mKC3nUjZcHGxSQWbklxOVMFYTH1aeFJtVX/s6CvZt3sxHEYVryaz5
BRnC/n6ROzfGDTG9/pTLuJG5wk7nrpj7PEQKdas3d5i7vzVG4R8mIHfby+YL9WksYgdPJauQsjut
K4sZw8aa40OGQ673gJNbv4vboaEwWTzZ3oRhHFraFogoBzJfpfUcwHcQ9toq/QtL7psz/pbrh2Rd
uwlFf5U9ll2V2zrDiclLL12KCQJOGC/uWOEVeRUXqrCzBwRcsl4JvGs1/GO3VO7sJSgLxZYdT3G1
a4VpnKPVa8v9sLusU2+8VeHynX9A4FoUC0QfYmRsnfDBNeHfIe6rX4XTKYdnaJvkgTmcfXAHQ8ZV
XQzkvoK4UmG6WY57AlAqB7KVCAvj0PVPc+AqxE0NqlA85m7n588IVcEzEmyV/wkGegp7KuePjtmN
T0RM1zZ1As4HIlPTwNlvTbX1nHN2PfnZmodpGM4i2gerrMBOQ2X5xd1S9179Xvl9y3GZS0ucFhqw
8BRHSEaHMEAeOUB4FdMutxcQlcZEZHdErmB8wrq0zYvid1edsG/G51wK/TYyw57tA4zb8PJcua/N
iri7Hmu32bxdRXDvMR/ZIrD3oZJ4rrZmaVLJklrk2cWNAVcSBsOH3YM0lcw+a1GX4h5BaM6iNOiz
yE8QkTa191QQimuUUxo/sJtKn5uu8HxMaK04l6YyHi5jZJbXftgUy4aFO8gkVg2uQ4fFeWzMlJ/D
hpP+NJtpWFjGCMCHwcE5dNebge3n4KN29dJxKwG1t77h28t7hMoPsU2dv1/i3ufLmJdZ75at4LsI
CiagBlPWvsTrEr7acRC/u4onOWWdm239M2sv+bVos7/u6OnPyJ7D7rDiYM2JzPo139cb0nFqUZYF
v13OPksmU8yUkedoCcS2nxs5qDefZL91qJltkv1pKTPC960X85PO3frOotR5HvpIwaBUms+rzoTB
Y5imMLEtvxwQjkMz8NRPdavko6/a2n6YHTjU+zobrfu+gWjh5mzNrWfJvAudXVbVTY0STwXyk8BV
I+t6L0JLMgegHjeBW+7k3msLN3funDHIH9tGy3ShS0h6muk5WUQQn3QL3zm3lvpgfdAQJ3Xuyofe
YfTOo+BUlLutHLufdCY5AIDyqbo6RJz2WjW1ZucYG41quKWqlKkd+SuHWOvGjIXxVpczKpLbz8A4
XQq2PEzfuLz7WA+DnT81c6m7l4iFnuVZy1p91/68KslmPOQlM3vieQ3GAvbaBfA7Sqr/ZkzCzGyw
L2iVL3QkcbdX2p1vvtuKa95n6hxTLwBaxJbrPUO0rP6OZmsY3rbaBa8Ml6CpX4s+s9t9ka8QOw4e
DIrgkg35zWY7wkPl2K3AYaiG6pAvWROd2n4WxT0QX4lAPKsx+4elUI4/VVz33WvGjmiRUEiNfAJb
M1wzBFn/AAM/RkiP88RvDmOnjhpQXnIR4TGd4m6cl3MN2ftcTm7lHnq3z+od1rDJH50tw+qWFjDm
rcEMY8BM49CbJ17n2svzZk089n2VjyMpCW4+ccXg5ptoCxdQseStIikvhiBps21UV4+R+c3Jrza5
YbCMsJxo5Ntx6KzmUMP4nNXCUZGU5C3mlEJ1vA3svL7oiJE8bdflT3E4dJdxdtmuG1sBNJBloKc0
XovYC7abXnP8r7SbLDZpKp153gcVhQnS0PI77+xvYvtX9rxFr8tWF9d6ddXnQOQkT8qODWcp7fpi
ruMYB/AVXB1jihEL+dcb2ynvJtyhZd8oazgvTDnky1Rd+Ciy71G41uRNN1P3xS8dB/0xXEebfNLo
rfYJhF/oQ7xsIdMFN4rktP1WeS5omRk6Tia3o89C0/lvFAsRpv68OG06FWN7BkPQz6qzfEm9aXwT
70TH1ZWCgS3ycZ42KATexJFWLbT/gU40aTN2brXnP1c+doMKvDtPWX18Hhql6x1xMPbbZRU9+G+e
6ukz38y4h/MijuAHWaf3vdPQ2/t1484HNx96CkJrfRBqjg5lXlYmnaeJkWCjw2G165Q9HtU2dH+o
sKr9LKrlXvhOcyAxOe1Wyrv7KUfX7MgcfC5xV/JA9hWDkLa+2/nD2Dw6ZdY3x7ow1QPWSHOSzto8
KKvw9pxlLp7jauaDphZKyniLT6IvzSM/5XHaUxLWPTRJYI8pHS50qdfnhynHL3jquWw0HyCrnl/s
lR1BftxPO5AKhrmu+QSs6usYorurQo0suC3cF8Pg44l0+uqLLf8pen91f5TaGR3/uJAicj+0LguW
DpRLfe8OtnhxZRC9Z5BveUrGKJuTyMIkDgmvDoluSvfvCh21JXY8L1cpuuVUexUQTLNh0Lb6WzZg
evodA9SjnJ+99n57XRV0B8xVsgPY23WTzi2j6c/5Bj/ROG7en+xMxB4lgcvEKjv37/nEKANWnQFW
VY5irrHt3zI2H/N69b41HgTpnIdVmvHKP/IBtsVgEwYRbC9kDwm1VpGunDSTk33aBLTRPq8rq0s1
vNzGVCbuimgb8nO+WGvS036dwMeHl67SXoamFMzmOYxahIaNyXxdUunQMjeAWbhwij7rRzB72OGL
nr/v+q07Oq6IxiNGl1n3LVei/de2p+8tDZBOVYowAWO4eF697Ub6XPOALgysxsGiRL+3NqdZmDbt
cFdsBHu642q3vrVTuKPyGXOJvUmTFdNYJJh7isKytGMrvmSlzDSwT013FEMcibtwnHBIDRf0iWMQ
MGts+4wGc+nmR/p5/yvuh4DIkT/LlcXRfv4WALdd7NBSj4JpXv7e33Tn3Cg3p2zndCDy73ZRWciC
thXtw2WlWuahjU6KZ4K6jQJbpoL2EVvMYV/YjlDXZJImDDr9uLWLzBDzVkehfA95BtEBW/tCpTJP
/N0iJ5JRd+0rY0pD67L0dHz7IXbUD9/v1h0HSv7K/ghKWwbrFZTfxRYHrGjDkpIJnDYHAXIip7iN
CXBjOh5FF678vOczdr5sGpO9nHwhDlyVsAo52BCeV0UlneilgjxZDITtdaZgDVJu03W4Zxi9Kg8O
EIh5dCY1OJgmrL85fJ/D7L3BlrSjRNRQDClZEkfu860MgsdlJRue9EG/Bg9xI8LtAZBPLme4iO/N
BTZv1bXkVW0ucygG/2TyvqD3s9fFP8Zd5si/LpED5gVaBVKHxHBdErvKop9xF/nBI1t2B5+X2pIu
SaOuzneBtFlZN61ZFaQjh0Kb6n4kZpIo2Df1ZEbuXo7+vAbCSpnWaLfpwAWCGTFlIzRnajxg2/t4
UloA0SJmWz/4s7N/XokdsxjXi+4b3XXZ1dFene2Xds3fvKmVX8TDkLt9KZZwp7URyLex70fTG26s
3941S4jpg0wJtgnOquCyPTUcepsOOpmJTLnoqjAAuwo6HrFoGH64hHb6QzOEhX1so3D+m8s+Pshg
G/rT6NEvJCxGNYcQ6jPHnZmmm+rGqTlss4n0c7tNlQX0UuQsishkr+V+jtvqt4WJP9xamUfD3vdj
cwxCazHJ0tXSSsrvlAH1cpMfTFYUhEcIK6fBGkR/4Mz8Z5X1xb3sQhzQSLp0ttFSAJts22gOmlJi
TUnJ2P0rvi0/eisPbVR4xj2XSV7PXnaaur7Jbp612d9pz7H1AMptaLGrz4DC9me3DMVD27ahYUlw
IF5Fz/pRenQ7Ku9dQWryugyYE3/zKiTntbUyfNHfGBcGHR7yxUfRbg5uKTbsKGvdrjxIDpV0tWyn
YRDZY72BVr40NOyPPpcuDAG5ul0mhnW7d8uiCg8RNvcnxRYz9dyWU7RI4Jy3d3sUsSYLqCGvI+PN
SP1T4SeVuwkenE79HGLV7jTOz98gtw2lCvPsTta8yHe5DO0rbzPGpcjc04TL+1sVYntZVxHcu+2w
/TJFWR+YiVTeh3YYsFEDpgH3AcCw0OVvBl30bVq7whC6Fuu9BZg3pJNWK65frj8aAg20pv0U3hqS
odwQ3J2O1TYkEysk8tAd+59xEVjYafX2BsS4Pmy4j+faCskONllc7EtG2d9Za1fcnHqmM94yC/Ur
VIzGoRVzQwjzfDoox52PoCPjJ1yZ9bDIAocdEvOOYKmK9wTa2j+gUXZKYga1flis10gu+rkz/frF
VO713iGs8riG66XiQTpSK6kXe1bcXXaopyPweX6JZq3PneVCV1sVNSbjv+y9I+bf6BKkcQZZ3kOF
kQJzV4flLbH4CTjcM8Vnjb8vxgYoh+2v3XnLhX1yl9ZcQ05hgJOme+9yoFqLT+S3nIvuX1sHhFnW
0XpdoYaemWew3FfzOp19IJB7zyv1n8p41hmxbznzT9HZUFbLaxRU8X0+fxN9Q+bUkIQOMU9NXVzP
vd5xkkUIj06bY4bZZo9nigsJkC2Qx1aYm7jEmyRFTwomn4L+mZlM6wwCFlkqofVsnlwXwFEsVrt3
x2L5aOYGyRVxS8Y7M2t5GuQ60hYzsz7VJU3f7PnFrg8blyvVBjplMe3AzBuBwp3mNXvakbz0BAMY
qvw6WAoUQWddndqV8zVUoXVmQUV2yaI1/LlavocoF4krHsj4y5TWBLRhl2+LE+K6TIt7j8GynK15
m+4IwrS7LNbRPmdA46WfrGJnlaw9xxZlEGtkr8lI5fudPnSOHs0rs0jXAwGprxC+9jRu8XyimfW+
ItWPd8MmuidEQ9RXb6DWZnJdavXhXGO32D5HXmEdYWMrogl2fFgJYTLQM9t+bw5Js5Iw+HswtvpX
ToLmCWucwPOCUdlb9XxkSdvIDcljBH2spx0Cljukpg23N55foBXVRT8y/K1q5852/s9UrbXHCKBn
xbO+ObxzmLdTZo9UpXZ7HUwlnFR4vvOSW0KtWPN2czF51dNIl6t7pQuzLz2GJ5cN45iBmHFtWLrA
3nl0dvEmjR7TSk15kbBijIh0tFBBuNuwq9wJCAhVxbyM1tRHB78y9XsU+KiwSHB7+iFYuXAeykeY
MFQdhALrbPq4OXUeHiBr+ggOcUa3CZV/tSNzN/0O2qD4IJ8xYHqEC4PG/Ora57J5jgcTdE+NT4pA
yr75GFr21CaxYVpLIkc/osEhF02iroYocsfq1lceCBdg2bEWZXmZmgzZm833Kx7gai5F79t3JLT1
0cJ7afbUvtXrSlEI/0fKjTCGVeMwsohMuL333nTVZxsFitzxOHERTkHJVgCGpGBMBp6bOgtw9ak0
GkhXTi4ONKntHVXFvAvQFMCHpubol0Z8uUB5t4Esyc6NWm5aPtaAW2ShBZJ4EylVcZXylK1vNpDZ
lGCNkb8L2Ap0FvYKTK4GOnRptcVhgYYg147fEF7IQ3pP3RLop3zbzEk5TTXjLssJqkk5/1jB21yI
qNvw/I0Fdxj7NGBAWSr+q1BW88R8R/9Sx2MdretP1ZUJOGN4h7lbCqL5tIYnEHUD3QRbVCYUO22W
LITSTpSC0VVJne0Rg8FJdO+lDUsCfpFrw0iGBBv39qDGHxkZTOedUQbx0+oYQI1cFVNdJoG3kAEk
jDIdwmZ0zo0G1SHyOR3MnJP5kqrJpnS2x/Ci6pypfF3ctevFYTYBpdnotMdxWB2m49r99igCivYq
7ud5Fwb19p4FMksbyVzWY8U4ns+8C4a/FBXiZGipDpuo7T3xme7V3SLndfNm52/fkV4RU5RxL21Y
fotX559Sz64E73H9e9m0455psGDG6DmiSph/yH+aL4yDjQvLuUBcLOiQo/U5xoTxEJjD6odaGv/c
jIX1hcTgtydDAvqOcBlDYqumOC+20leRWy2QZ9yp+8qaeTbYIXSThu8tFtS2vFFIUkyplWSYhiVO
UL/Wf35QDHsSB4KvyRavC5P3iwTLG18OeveFGWDZ1QZeueVe3x6R23rySMocRuQDP7HyuZd7xu91
L3OnaNbKGilGll53M0Xb/WoLq3204sA6iVBtrwr6i/wnYtSWjvHUl2RdSpTKIIgP7lTVT9u2eAeW
bAvEhy7+G5BPYoDBZn/D2CwKHplixGrUMX70dFTcV5lZ3r6RmJuLs/8jDP35o5ZUH+Sptj/aGYDF
x5neIaGBrS9IaCb19DRcLPj/p++QIbEXi4ciVbE9X9ehIUwzuttvaXvecwhqfc68qHks3W365Wlv
8QhvBFXHaY/VAOmLysqYtQoTgKZuIALhcBD64ZQd/DWbb5B8DDlkrFpbpv5QImYDRwSQUXnU/Yhm
MrN7bhrzkI9T2e4H9gm+BDbXREW+9dc6+aBFa4wRfbPJYpVfRebgMzkGSjxGO/lnQxrufT3V29+C
UWSHYfSn6CGaHbii0aqne52Tu7iwOcl+GwZkqr0UtgIBHPuwPMscxqRDFM7HapcNJQxOUTIa70jy
OmpeGLUSO/vByO4KKWz9cHtE6EPc+koeuhAHO63gHfMDYSLxp5dZ0B2NIimTyIj7m2FIbmO/VU4Q
OEfNbjY3NTUfAgM15nnTAdRfSyp7nazsMph5jVXacw0wt84IJzMpDd+i7qHsDOsCY02cCjmpnAWZ
HzkZelBC0gd/srwSPQDMZj3ocRRnKzTK/Www5NOxzpz5mUswHF+XJcrleevcxX9itNq2JpWyeHNp
5ry70PyPlw+ZeQD9iur7JrNqprlRSJfDTQyqXFn2C4xxYFIHSPiqCz/aWb2are7giUDtgNBdlujo
0O57/mjemcneGRnay0/g/G+7kE7XInLUdxFjTRgSc18zf897a/GT4le82arjZKwr895LFNji2geD
B9PQqsXZ2w2jBM1x2Az9LrZsJa5MS3GXFHVHwUbGQPnz8zpWtEFVAPzSZLbfr2kp/EFfsdGiiLRJ
I3QORxZC3yUib/V210+x1z5vGvLuwQ5s4O+UuOGmH72Ivh3KWYj41W5tPSbr7E/rPWqb+RJdDAyS
kJOZDp3E54wTnYGzUVCHIpiTCUyoO/mBs+zcwcKwb7bBeYlJzV+DNSKfgUC4ekQkuvAHYmT0bpot
OGIWqotH8/CkV+9Jumt5CluUs0mHfqpC4f9SmN+fOQmWy6R8f2/8EFmgh6rCajfOT+o8i7uDqTUF
0ctHp3EoJAW0oYg0OMoyBs1eNBX1s1tmExhRXF+N7KNXroj46Pcjt1RRcRG70XAsiAp8MH2G00MJ
yp6kEShKIcM4Lr67rv9AG5y01N+YzJC1LvZ3UD+2cyQft94KWejQtYeghm8fhrIWiKlZ7e/AktxH
s1nmihJYgeh+5w0T1sEPP3UWggrJXsgvb+iJg7fFetjW0ezyJujfVmXD//vz+g4ho38EroWXU4vW
+YyVt5xib4HHofCZXpl4OJCRL/SaYqesPBvdsty+V+x+dB7JwpSGMj54VWTuCjXVb37dL58V44p0
KnkrPDx2/quNWQb3W6hBEJ2meRt543aCJXGs1a6m8ImUqvPbKljeQ9rSf93corlWdljmSdOv03tj
4L4J63RHQZd9H9G3ngYFLJ0YMj4fPXvJntViNPQ/ffPB5zigqyMgzl5eKV9tq8s/W7k4VO3D5O8q
h1W0dew5L709zNZ+jZhbqXOLAE7rqYeqqDhsDNMNfvprSfamCLb8RUWDugCGb7u5XYM/rmWjHCCd
RSn3B7i2GrzLgrF2HRzX/fD8en1sQwhlm9jQvXaF68CvjxnQCvmMp1wTUCUPWe6nQJeMXXHzx5gv
8TaE2/CP7CWJS485GNoQaCV2GsExjHl+F/SMjEs8aa0fSA36NiJ1IQO30455F+XbSGDiRz47wY7p
heYQ5HlDwBzS1k50JLTe15YbNDuioMOtYP5NcCOPwH4ZhDZk+Wd3Gd3PcrFFB20ANrQjOq/tg7G6
LXWq1XltKvzAhedkPdih188/cVAD5+QCJPUHhkuMH8h7HwTvYD49YocqYQ0eUS0RymhXtV0w721a
w/Jmj73Ir/K7RUmzUqndYMp2S+esRwJqZdMfWg/C/DhtejkyEBoVemI+4jckEcefQZRb8mDFC6GN
zjXzt+/rd9vJsecB3I/pJ7eecYUnv5XRobNBFS+ZNRJ9BrN6ZgwPER7j9RQAcVjM22XsWu8QDzR5
c2Fp7DE0LhqMceKInqirpojJR83YVCe9fHOU3+M3DrqpA5Sv2K+mlHNt2s34D6d+WOZfhSFvsooR
TgpHznN4qGOkNsVoDdYyzOz+tDoFb+qVyy+IFsZWuehBFBTQRt8jdUuVOtRmQOZhZQiyZlIz8kSX
DipsC/3YUBNZs2YMK4OCtpPqZ2hiWqULXxcc6Gy+QxY2EWZU0n6fhVl9DsCJL4xOWu48SS52ldCW
g71yH7g0CDxhfceCeDggGOcsXsVvgMBlIIM6qh8z8uafmuvol2SDx75xveZBb7F617S/+9UsJkVm
bo+tHZLmrMreanemzq2XUsT9X9O4zR7UHgdytnSXuiEifLhF32skEIZ8krCZwm602j8Nc1F+bFmI
Gy7GQFGWbIDPmQAlr6Sj9zKagb0y14J3Cj4GFnFixkbOjZmGFTh6KY4DBsmB+yh7HEJjfsTdf5yd
WXPcyplt/4rjvMONRCKRwI0+fqiZxVEcNPAFQUkU5nnGr78LotwW69hSNx2OwxCHKhSATGR+395r
2zn9mjh+oBzr3ncZzjKkI1GW7fqG84dAhNZahDLgtoStxkjHtfU8sHnZGY2Ngg+n7pdZJTMKNbco
1xrBJDtDQR0ZUTmdqbwO4nUf98bRpPG8qQeTJTBaDEFEuEXUMkH19ca10NzuTYmI64y2JOYXa5RG
RB29oLtFt6E2N71GynbWizo7QIJN38mI6hFsr3jNTgBfilciPRyNgNVtB8TqqZst1FMe0pGIDN5D
3FqwaWa6Idc8nKcP5FzUt0YFwgG/IZu3XJTYyjwZj3u4nZ7YsS2ag7MkzlXInV2LSyqyizqErs2F
4rn3HnZFW+/Krglbep5O9tEc3HlZa84QF+egtop3CF7cC+VFbfw+KFsJJ0fG6zot5KGWdqk/2UUz
Z8w7GOnWUVSUh9nBtc42FKLBoAiuSOaiG29jxMx6E2amNW/kbNbNQeXIIlHlCZcybWi2Nl2LtLlP
py7Odu0C8dm31QwrD4qdDvaOmfczexAnzR5IGOjjdRMF9SJ08+LgSzr4EXdyXtX0JzUkLP+un0Cn
mOtpKiM2BjLP2ENP3pjZkJkouX7po7jKvrWZRipDhyxJz6bl1Y+VO5nGgfKFkW2wSYxURl23xhrV
AoWpLxzPEdYjCACtGXo6V+Wtl5uhHa5t6hD9MbWHQe/JGfYywlc5I+uQx6yzDluhl3CcQdcHGB75
Le1J77YuRX/fDuVobWs9oWBjkTtml0abdcM5hcj4XU5K5Ie5d6Z0TTD8EO2kkw3+LoX+dChKuzyP
8oSmBrU0uphwXcRxZGiuw6Ry30dtjY3LZhf4JSLR3D/KgiX7pxjKloPdCJYv4tdpeppohlQEDw3N
Ew4KuIR9x77tXNWer/d0cZS/rdB/XwaJiJ5GHH530pjsDy0bClQnaMhwJqgwso8dpJJpVYOHgSvG
9tG9oyU3VHexX6xRWFHDzZiMStc79wF2bN24wzLq4nUat4ALscig2WpvC3oiO6udzasJ0scl3XmF
vArpULvHkegFq5T65QOqoJjHQBL4rEvC4VtJ03lPzUNF66xT3VnsC9WthgFQHsSG6GvnUO+kS+YO
T7R24jswDcO1R9k/2VSK6hsf1i43k1Wogy9kkq/olZfvO+h++16Hznnmw2NJCdX81pV0cfaBGAam
aYOedsbrXXmtq619OrfNlUAtP25HB+lZ7FlNvA19tmj0zWOM4R4+itzL5M5FS66OSLz4XWajwtxA
C9UlOhPEHyt3NmJUbxSo97LN1aarMEYAeWLxytCWIHXKjCnKq0bMLi0Nt8/hjAFtBZ5g3NeVNuk6
z9PZmNDSo1cQUL1k676C290/VbocQFUkrTecdd6kdzXbt52q4/waPSEgK2Ri6bGIyYqiQz5cpVlS
HR3fD6/yIvYRpLXyQWeGSI5xmsFG6OjxXblt5e1l7AEEM9S9MIvpzPZtRXvbT7xjwsoEFNM0HHQ8
Ns5NXvlec0mzn4UMnJBYW8WmmkbYbJ4RavKLZgxLVenf4LSbL6eGgdl2brFrGpGB2kP4A8ooO+L7
ttnf5Tg0QihNlxHdVDrgrSMeAe+zNvajMHv2w8X/Fo71Y2C36dpbiFDrvEr1J/YBYksbaN5A4miu
qSZNKNCEbwZrYbSd2AYypqRJlFhyMSDF3RcWOEazUs3HEUKEeRbzMGUt2ZWbrhTqYA9dXWLPSFt3
U+jEgGaUOlvsTx9ShZvbEdWHzCrFlYCcBvtnHva5N6v7LjKbL0Ss1ze1AyeJsVHc2fMs78IQtB6P
TZNSHblOOlpVFEv32kpijjNF1kKj0q0VAvTsC0yQ6Vw247BVgq3OisEkmFUnaVFfM32QexOUmyvU
sL1eI8J2j1lfjXQxYIuy9HPH+t6zxmzHcohSQ5kMzecCttfF5Cwgp3aY7pSAA71uSp5ovW77fZPM
5Vkz2t7dbOTONdQYdceG3rigp2ifC2w/FNK50PnRbCnvVhSCkj3IEW1C+EzS8xwXiliPudbRhZ2m
5VNV1+JgIxxjyxmMdJHgee0xrvLkn2qc30Qqd6s5aodDGLT+uZv7w8Zl0vuiCBS4d518pCSSg/+Q
9As3hMq26zDreSIPE/blOPYOFuln2Af9FMcUtPtPjaqwuFS47VYK4f2eJgOjzzd1OW1tajvBwS2S
6l7XVvJgQjJY4fo0dpZR4nltgDVsakRl5apv+uisaLDVz7nZ3MIUVReu+K4oGqwKn7vBTImwwWJf
25r5VezKFoWmomTmz3guwrgHSkUQDSJs22/Pxxj5SV5K75jCLnqoqbLXK4v29XVQOuJi7PTwsanM
r9Mso4/CEeGtbsPk2nHCahNY7P3MpEsPyHicS8QGzY6MOQeuuOuXh5KGyJ4WGutWgIXLvEVfE6Vw
8OiHUPO2Lftq8K4xLiRkqEvflEGJTuOTKSb1YWg6Y2eMdnxJeQGqgOjSrZbolIPC7aEaghP7yoNX
f3EMXDcTd+o1RQ2BH0p1w1Vo1NNTZ4zBeTe38RaqisAoVlDUqA6wjRNWmVkEXtg+Sy14bdPOI08k
hkgSESTwOY4Lq7yIeViFWPcGVTUEO+FHSVcQ9rLBWtWGVv6VGSYF9YOULKnuFkVyZMdr2EEZTQK2
PUyHDGfPzRBGg9ZjdCGfy27YRc0K6JEftrhM2T3PzRU9oiRlJrDYFVzzfAUFsCqcFEHyJVoUonR3
MzyegNUvdPadOyMNvTXQYxbPvwYM/wd+seNBgf4pbawNBhRrmmxuy7euPPTHFfCHt730CUga6Emm
h6m0jpycT1UzHvPa/A1y/T8dtXx91GzShE7TXBzxE+Of3Ddp+7YIK8s5yQcwBFKuJKnVkRLHu8ae
nVVjDuUbweYnmaCB4VMorBPrGDTdNXvdDzznfkOH/0+n5AQTPfmoCNGwWkf2PpANgjsjwR3xpit5
Gm/vDCbCKgtPUZH5n+12etTc6m987RM0Py05RGFSd5REIFzJQpxFxhuDWv6SaS/xMFu0iI4hBpSN
jCwJr8mt33Yx1QmOH6+JGysTbghLRRyByQ6l4NsiMNTCAv9pVGZVCcUkUiVba9h6H2U8/eZsLy/w
b+Du6mRM1qIwQzPW5dFBqGRQcSLwmmVgu4ugLb8xlEidjE5bU5dE0sebiOSbLLNrjPObt92JJ6Nz
TDo3bkReHlPPfUzq4gZB5Le3vfTp2Kxkm2TUSY48U69NtnBF/7ZoLHUyNMeqq+m+RtPRJLXBHW/U
lLwtheE01L6DlApWIJiOAQGgG1ssUUReMLztBj/NtdelMCvq5CPD3pXXSIuqM+TJ3dsupX0SExQ2
CPEbtxuOztCfNyLYm0X87k2X0j4ZmVzJuapRgB5z1hpknX1qdPvGM34yMl0JLbMVTX/0m6TaokpT
W11N1hvP+MnwjHoBGgKl21FMsX9Vj2xdyXiI3vbUtE/GZQLppFISYXezQBXKznn2ffXGIz8ZmDFV
j3qowSurEJmMZxTsDTI7+c20tXz+fzNt2SdjszayksXk3IJg1S3uBcq1fijeeElPhqfrNWEC4jcj
LEnjbAkuart4etONeJpxbwSNm/RBXR3RHOFHSRO9qgT0u7e9+smj0w5GBa8dzD8TOEQVI3iIx3h4
2yNIngxPYmdnSyVdefSFWLybmsVsAnfsbYd+MkJdge5q1kVxDPLZhSrTX9GwKtZve/GTMZoDDIsF
++UjzqlkBUZnJ3CEv/HFT4ZolzZR1vU83CIzvQeFxC4y736Xda2+J7j/mztdnoxR/I6mnGLFicFQ
fm8Z8b6wu/e03MELloSSCmEUi7pfn5V6Po4FDYgmny+U62XzDvhK8B73b3IWK9pm2m889jpLrZyN
DpqG5qsakYOhd+yWeIZ6jS7knV8P4RqgCdIrAyN2PSHg7ZDkqslSx2oiC2Hov+iRWgJW3xV7f/dm
yL3kOjWR+iLzHK+wLkVHDXltFYbGWdrZd1HtXcfEuXVD/2GcQgpVc4IIla3enPO2pc6N4d7N82TX
OmawRYPm7ZLaW8rC5bsEL9Y2DTqBeD7szwRqWoWeh6CB6XwcdbCb2ec1D6RlHGRaD8UKD6TxFV62
JsJE9ciFQFf3Nnp0Mch9iSDlAtt2QcUphrocRtde5fvXwGO3ZtD0n+LJwg7cOpuJJOUt5pdz4dYf
Z7QNZ3aXXht53+wo1xvsz4vxafRYGTjmeUaVoTL9Uh+EAb0KAzL1ITdasNha9FBQxh61stGMiA5z
1FoY23PcbPYqC/2LKOhQNxfnokzP2Ljmd6Pr+3tlQIp38HxcwfnDBzqhh+3BZ9rWTa/kTe+qYccm
MMNhrUesj603rnPaUVvaP93aib30QxyhQYxaYy/QU90k0OAAFl6VHszhrIgf5jRz16zO8mlHM/gA
3Oe+NKaB6gh+Y9abGy91k2kDjPzGxrK2RkENGawepwOQDXIfktC9AGE6IMmZLgyMyRhF1VoEvr92
ufqVIZWmD+uMex8M78GRAkdOrneIFZv3lBTR7vR0RAnI6AQGP+rc94CbI8y+kOrWUIDMnTPQWFxj
Q8e46Vj1uSsbPdLJtitw5PS0W0lyQVlN7YXvtVcFN+NCct66HkzLvVuzygI6Nah11k8HakwXQ5A/
DO20F4nb5duCXotje0562yBruZiUeRmDbd02oLXXofbw9wk4sz1Q5nOsgO26rcwHgXxqZ4KM50aL
KbkrN0uONJ7cvcaE4rjY4u1gT7rEnt7tIoJwOaFl982jlb3JNPACTQ3qrMM/uKnocq4Cx82If5mB
aHfm82zP79qWjLYbL9ANzP+mBsQlxgv6vRPw85whTHvVQnK2EtN4OZEcCDhoqmbMxLTKaDa2vTwG
Y6o+2l2HZbh2zTsYLs6FGgr6nYCesw8DaCROgj2s6X560x2kp0tFXcN68IuOVJDiLJGOeRHBP6bo
05i7zvJuKiOm2TLEF/DvNjC/zhyJCMYb+12zCDPwgoptpepVZycxl2Ca9m4UAJMC7gFchHt6vfjg
MIyN7xKwWbtsiI5tIs8psX/WQe9eidgCddbWjOxpLuePc5SmMESiSO3JybDWxUC6fF+Fx8yUzjei
QCZ4LPCgiWTxcFs4SkfzruojeaEsmvwbqxvNHXDzSxV5lrsB1I+Kc+71FgmSb2zyqVxWVo9hSAIM
SKB0rWjuPws/N2LgRtX7KDKTg2hyWoSYoy/62X+fRs5ippz77Nqm9LOzsuKIYIWxAana65Y6VmEj
scVhsgIyxTTj2wcsOU+4icV7z2ATh7+D+GSa5NXGgO6HYBatOf/uzWsFFWY7DpOBaKVclIC6Noyt
i3XsIcRauHWbWm/cpAYspYOaaxHiRJ0iM79opvQaFZp/ScbJtcEUXuYUAaU0cDIgOCN4Z4DHx3Qg
4O1/Ek55yJP6wA1mXAf423a+DiGE+/QCRkSNRZ0hpVEVyDlcsQxnv5q/ljkqwqSRyR1qRwvp7RB8
pD4FPswZI2Nd551xaRbohNdD19JNT72i+2IgHalhUOXVvV93z8g8jXNIkSiLJ64l/ZHuGBgAHCcu
6aZq9XzLqmLeIeQo5w2CeRSOtMK+9HbNhrp3SC80sGuZGX65yU4fxdROBAD3CVbT0tp6M0qQ0Ktz
8g3qm3bAtpq0BFNKuw1QZdUjl8YuHA+QvvdIXTE4mG0VfUhN2RbH3rD7ad2iV72Ih97Ta+m1n+oG
1bQEu3/sswHxadK4E30ap33qwPWsc6+dETHZ6h7zPnqqFrsujeVsAwwI/yVEb7xSAJuEcGHTAEE7
eEg79nNSBBd9Opz1StRHXPMhJILKvkm0mW2kQ/nY8MyzhsSorVSg19dTFtxQeCTOa7a7Ab1SLMOd
Q0JOX3iOPjdg7FePmhyfdTLWwV6VGvidV9/3YSo+mFxTVLAZ3kTgLYVdqvIB0tncbVy6l3Ljxpb+
mPYeLbTKNN2rKpsP0Mung61Qyo2EpeyrmN4AAPXkKUhClB5QUXNao/IbEBr3tqhpi7Zp9FWa9ODQ
oIriYzfl5nnZe8HHvm6zbYUbfpMyI0NlKUIdr1jUpOsw6lpMUhGUmDgV/bXRoRno/AyWm25dSS/J
usfPKM4CtLXfJmKyHnRVTtdGnNGrzVWGft4exdazsGzKrKWnBBrzOm77+cY2Z3Ye9LuY0QIAoymi
k13ZpDom8wW1E01ba6zWmZnWPLMKiXPBEzhKsjJvzoNwBO5GjFn3bsAifF9QLL/A75M/YC3stq2S
wXtE3CUrhK4c2h0ZWtMBddFYHBNBZpYpZKjIZmvox3VhziQUp8VqKNk9G7ON3ckODSQH3jbyK5In
nEluhsK+HMBK027HxJMM6YPd+APBHv47GiqGwOpXp3uLRykLO8hOsuMd0CEhcIuqB5+V2BrlZX4z
BTFXLtPGS4Lsf30Z/1/wXNy8rDabf/w3//5SIGPBhNSe/PMf++fi6il7bv57+av/+a3Xf/OP+yLj
/6e/8uoveN0f77t5ap9e/WOb0/qd3nXP9XT73HRp+/3VOcLlN/+3P/zb8/dXuZ/K5z//wIWSt8ur
BVGR//HjR2df//zDslmt/9fPr//jh8tn/POPhzxqn7/+7Q7/83Pzl797fmraP/8wHOfvHmZqHi2u
dAA6mWxdhuflR0Jbf1fC8kyXm0zZzpKrTCRDG/75hxZ/l2SrS+TyLm7LP/7WFN3yfeH+3ZNI6YEd
WVp42tJ//PPoXl2ff12vv+VddlNEedv8+cf3zcG/Ng3LOwoLcoGQFqRo6VonG0IoknUugHo9u8Jn
WttaNO9BoZgleHSkyF2ZPNlGDYgor6ZmolfDEgPqklH45mdkl3SdFoNLoo8etpVuk3hGXh0GL0ub
S4hZLBVXBdES5WdFXtVYbDhX5PKtA6TN+IBHlKW3AM90+uS6qvS/SEDWzhXkBhKrVtjXGw6FqajO
rkNIhJBTAqh/ZEoUg8pouKKO5ZARtYnp3MpkHn8zAJLwNz9d0h8n7eeT9Dr313aAgVi2p5ZVHpfP
Mk/2bxp9FBSP0H32hyKPqwPJkKl9SG10PPqA6xavD8xzIhe/pSYBSv7u128vlkLIz9fI01pqadnS
lVwpDuZ1aXeOJa56wK9fidOSIAxbEhwQV3geZu14V49DULebOmwD0OWGbcxlfjPYcmqQf9KMGCR6
dPJ9ADCg/Koxwyq34me/Ochll/nTQWq29NomuZJEIxucjHNyklzKfi0NcSTyKbsFA2VEGs3Dqp/M
Fo+ahNCTPGFGq5MnLBSI1DF4wrNTB9cA1UMKA7KD7/cSyZuoP6E04wUfk7LIfnegS3vq9YGCztcY
0RftkyLp5PXZHBG4l14+y8+Nz04n28YtaZndTTW3EWqIoZoQ/JBomfX8rJgqCHmspubJuBvK0j9r
vDpFR0vWnzmdZ2EFtQPlg0nowhpkj5HeOpnHpndtSaKEwG0Y8YQrxkSfy6smkT9Uv6uHLHWPnz8P
0n24ngxeR9g8fE7DSscwMqywlsZXx6h709oEs0a1hSYEPYS5yhHoO48JMJz2NyXBk1GheV/QlARy
KNPyXHn6vmU3gXUxpPs1mBjtRLKYZdp8DG38Q7ijoWFiCaVtSbBbGBaW5fymDHR6GU1JXKyw2cTY
yrWYvV5fxkChl4QYIL+C+teVXKvBdNQTU5jRnhXsBeH3GaIQlzIB4XuXNCaP+lWD9ZGT8utbf6kN
vboAoERsF3mkoxzOhjwZnrh/zRjjmf/F9+Zc1fuiwiw7bQ0/a7Dp4ukduSq/fsu/fnhXL9YxRUCV
KT37pP4YaqIm4smsv9oIz5NxNwkk3AlamaGD/x7BOXEe4ZNbiGAbR2vnsTAxIHpb3JNmOfzmRlgG
zM+fX2CksW1Q4VTgBLfhycjvYHzWZjWPn8e6rTm76CJMjsIcBwn0byQ21rgrLXpf3I3tUCxfIsIf
f3MUJxHXNmMZZAKzJBO15HHqnpyTwEOE6ZWt8TmMamRAB6AOy4TIcitsCqQOsb0Yc9kPInYYPUty
bhRY9e4uKx2gkLmBjvTOy8KszjcVJETrNuujvPn86ysnlrrzz2fLcoQLKchhdaccxcG+vm85MtCM
pG49arJsMJOVpqs4FN/vsB6vxayBPqwIXvo+himM8bPu+01dCn/Bh4+gSpxq1w0AS353W33vcrw+
OMliRKGHs+RyO59cSiLDmswPi/IR23lUU35uEtcGeB7KRcLTTUxeUMVwI2fA7CeW4WE9VODzTAss
a1BhPz7URGPN75GYN1QgIuJMjfWIXjXFcNapZTItGukx4U+QA/rbkmCzGcyOk5DEY6bp8tCKmCuZ
TguS1PgmwVesRDApjsy0UsWgADDumgFSplI1smGH0y0zbTIGEQuM6vvbe4i0pyXZhuI2zz0WDxw5
1q1lbYD6O0ueUHvlVbnzeggad7Ys5vYCVplfI0DMsPrggYfwfAhsHq6fcgQ99vve7KHhbymAsM7o
K9wv8v84kViOxCiu4ZPZ2lF4P17fGtKf8kB4ZfoIP4OKDm5g9D5o6MkWS89kVw2Mql/fjadD19IM
XOxPy6qUJ8jpOzY1KYtDJodPCJiWm3Ho7OX2txqd8Ahxeki7j35MWR+4r9W1TXAJw0lzn/76MJbl
7KtBIbXjQBB0sCLgvWOV/PqT4zPsKlx12fsMqH4rYWrDC30uwKWxdghxdIB19XUR3fSNG7A+KMG0
BNvAbS0U7S71spSSkBVU58T5OHejrEkzWRF86/S3rWsQYkypbSzOuYlQ1sSm7UfkkvmOWB7Nocl9
WFBkZC/pxwlGs3XS20peWzx1yomIxhqs9P7Xn1iczOAuwEqThx6fmk8r2RO8/sSJQ+TiUDX6oSfY
kUUsBgmLRWyPoWYAMiNsG2vFMHLbjokn+QJgcLl7DadcbmnZUU3zIfc6yzetKpqz+hCVllwWNHB+
kKpWmNqbaD/TOmbU+QMKAUk10M0YnZrSnv+bu9c6mdlcnsMkT1nMalxBIcyThRUZpRnpE7n14Lah
ZGy1yBg5gNZAucfQ/T6O6VUAaNqRhbEMcebKZUqBccWy0AhR6Z4LKph8qwDYlzyRyqrtAxHhy3mo
EDo6Vz7Cctw+oVw+4oSfqNklhq7lrqQERFlpYnXHx/311WJP9er+5KMhXrUtwVAhNJRVx+ur1Y4J
4qGumB5k0C8zVVvj37qdUwyHX1rTTaAJT9C65vdwhZfVLL51wQUZ4YYFBKrBgyT3ypMQwB5YK9Wc
jkHHkrtP9jOzCa5SKqR7G3zfMrt1TJuHyCoHprWWJxJvGAFA4V/ssQSnIgsoUF21rYbpsFZpFzMk
gKPG/Ovl/CxTYfKbhuTJGIXLInm6aqSqbDvNvyy4MLHazuTQ1OgzXTA7vCyyLOyRBF6xswzx4//m
tC/D/qfH0fKWNlYby2QTbDosMV6fdjMuWMiUo75vMHkQOjW1LTcUK3XOjx2XdqG2/mAA7185WIc5
4Wnv52wwmPQ4S0MN5OJGkwHgE9+CKZ7JgAHZ3+IT4LcwfjPw2zHnQfXjsgXVkHMqR4QtjBVG0XI5
ggTRgbU2YmTP1tqbYq+/NYus4EgUVND5PSbFZZ/668+OAeIvH355CDBJCGGLv67rWTs1RmCO030I
KTyFJ9wlslz7lLfjK8ea7XqiYFY7WAA9C7dBCCC/iqqjmXZyVLS+6D+dE7Ni2Jd+FmqAzkMxBl/M
KDUPg9/B5CC4ski/2nE617dkKmb10zCLdLi2ewivMxU/IB3lumK313S7YVBuf0XEE4HzKwdqAvnj
Zi084Ai1h3twbLvaX9FcqWaSv/O+Jm0lGIneIuUcHxWwv9FQ2It2niXo9hEDNRFACeelQ91K6GQo
fHZbftCetaFmH4VNJx0wvNUht2JJkW/yiTtqytjZUXYlw0NlkFbuB6ewovcgCAJ/QwHXEuuJXVIB
MSxoG2/jRdaQrAOVBgdtkYxYFeYwn/tYI8w9bIvQ2gUGcGtzWyZFZj9MikAHA+uOOZJ60Y4SmG/T
5sYtTwzdfVW149QPs+7Je1yRZibC5p03zilxvxhRsDgWZMXhQE4IZg/p4MDEdz+LLHbzr1Rpi37c
cKtM1bPXtcNgrpN0aER8aP28ggzMolmlzt7HHetceUIb+Ip6p7SaNHwO3Vy2nOVRSLe2AawXPbf0
LOqmDN/Rg6EjuiVqpCw1wnm05elFrsakIlK9D9qhvxiUH0AF8m2SItUtFk+Sw0AowBKCYM5yGvND
P5s81tPGhVQNz9uG+beBxjXH0xkePoNO2UDl0sEwQaoNEyw0jE59LIyONhg6ZqAn/nqg20J9oStZ
dXmrdpIu+KjU0povMBqXbxpRlPLF9Nhb0ksGA1V9nrvKs/pj7NSANw5iRIhNMTtGSaD3Yx6LLF0p
u1+eiybJB3ycQCoeKk8j4A/TwxccQna7noZyKPVN7Btw33Y6kYZVniXkkLn9tROT9u6tKo92WbXT
davC5D3hi74xn9s2Mt8Afl3FlH3JrF2FIHWkX+sURX8F4fcmjofYhRkVMxEE+HQEcfJrpqzlkKYe
47VFWxjmULUxSxTw7iZvTUPlH63Awk20y+LU8x66wK2qdc1ujDNruV3EE2SN4H55EY6fJcuqqtDw
Whs7xJDIxgBrJQGrcTgsZ0ymbcKXAk+UcQeKdpny7b4NXL3Gikh7GawS64095vKM3ytfPmrYqpnT
V8Wa//EswRQ+rIilZ0eWi2i5PKK0Q0t9EOm4nGfCm2JqSUZn0Ms9GHnihvZzVbGhqXZ1FLHSWkOR
n3S1JqdLdQZX0EaJ/R4TEtBwzpcRAo8Lu9kW46WLhZBDibjSJRg77izeQfKj6jPJO8sN5tTGcuXh
3fC91MuWU9PjIAUyvmrdauAY+rzhbdc/Pk9dS1l9puAW8j01loVzlyjbhyBkDwTDolDSoeBc/Lh7
yI32eEkdUy0HCt5O309Gx11Tr3+scQEr4ASkXNOo5FKaUW3c/TjVxsuv//Mkv/weO0UruSSONOMA
RI7Y4HMSOWVU76NcTnxovG0j74X1MojMO8plQeGt1MuFKuaeiNktdbKuDs5yeqo+EXtJ2E8LZQ3G
1nzXW6QjBFRhlzYDoFfp994qIauJyx1kyuKbqQ7M6rP3cgaLkhHEvPbymUIrYo+2LovcGeihLBhV
Bs3LpX25PRxQhpwfIqX4i63Siw1yPTqY+6tdIOrlbTCNOXxzAhlJK2U2Irtrj3xSuZzelxtp7qaO
o+RDLq8iImBeA3szTdDAqoGlyJ+/nFBjHmb+UWBTtvXWMBVsiTNEQgRn7gOTugqBK1EH0PMCu9xS
JmgGrm/Ua6v6LMg04fZp6J0vH77uWexeNwuFlxe0+uWL3QcEfazT3FyGA/DO5fhzLFXh8NClQRpE
O4i6vG5YQbKQh6Shl9qey5d7hbglr9X7H6fci/uawxlhuPIiPAEK3pwgk4TnPEBdOu8PrNxwfmzK
CgJatDYBAPLmKgbNn2/atKTCllLeo77BZQq7M10Ey3AGZ7FURRJysWLyk1gswtuRXpOOxaG1CxNO
RerZKU1taLIUr4QnOn4/bHF1m1gcDJUCdO347wSMznlU5iCoq1TU8tMrUoR8igJArHh3EQZF/94h
/5NdAMTb5d4fPKbyeDfKymKGcUHmdu42zXjEZtvRgFnRnCmPR9X4yXTGmPkmSAvE7Icf5eS4TcM6
3nUhqVbll8kGfi+xaoScjr38PmYgMKWcMNpQiT+THusWQ/uAjz8cHPAm3z/66AUNp0hC7U74REkw
NGrrwJJjlmtRzvEzMZbLXUN1ebnFX6p4bpMMnAHRWcvnbSNcVIAOucH5/SqiIEdITDpT3fRAkRPR
RslicrJLWYqa3wAfvOxhe3Q/3FcvRZaZRM3a33UYMn3rjHiPmdcAXLnUqXy25VSNKmUnVO18kbD1
zQCzFTldSwoT6jxLnGU8tfgnKcIHidsyVUJvn3jmNUCYOc3s9ZaT10VyKRVYHSbC/CZO84A/r6eU
T/lpYHnmA4ckGaCOrrDFLkUq8j+ZfgjUkE77zqboPPmkl8bGRAN3KFXagC0yoIyvNEUg59EGHMGW
fEmV4OLPZFbzqZwcVAEqFuUvt1tt1YKb7+VMYiWhHiojM5JonWYFNv4dDrzBuKtZTFNVmMvKcx6Z
b7m/gFzMnIHYNpfP4Jc51M4d28ulSpVGrFdZWXsZVpZHx5vCSny2RwyqxCHRdIUTYxVNa3wbIsy/
+DMrT0KMaACqVsbaTYWu39M/II2GwB6iT4M1PGsZjreDZm1TffX6qK+sT42PiMHc10nXZ97asOYm
eU9P2yK0q+PpMLLZF6JgTam18jrRcZdnWBrXPd/Ei7jSA52pcfPjk7xcy6okdU6BKibhno/1fboh
226Z/7wpWGYTVv/L4AXjvvxG/r2G7MfW8j0lTIPfmAJMZzXYLKoT2Zad+1Jhj1IoxcUhYLXoXwFU
xPZOHINeRqUHQaI4/LhlWVMyE3k4dPnRS1V2mU4NnNq4yCTsP3w/7k0X6gCB2gAxlQs9waDFJ0ao
En8U0Bbm7Df0ifhisyxrz6rZ5P62TargV3QZliNPIjqNjz/eCLcsj7SKW8W4e9mx5VE862QFIbqz
3yUvE1byUmisXLFUbo0UWRbHWDu1TZc9wPfng51yOuOuw2HAZ26hTXArgY5elnGhPfIeAN+Ww+q+
DzijSHiOIHPolkFeWkubcZMP43JPIkGwQMAp5AEZRsE4ZTTuXk4IXZtl0ktcZ1li2Y0w4vPQkql2
f1P4OtnQU8thfuAOtpjcHKA9Jxv6sKWGTHfJuiO5BSw/SplgZDQMBdNsZdjLCEp7Ci8hWAakL/83
L4K9vL2zlO/J+FXY4E7rrHWHPXZoNKWql6kxpgbMUbAPYCT9eiN5UmhiNJnaNHkvSlb811m29T/5
QgYXyzXC5/yf94hJajyIjdK37Wvt0TlhRnbC5aJ2ZDJzk9i1zSX7MTn++lhelxAUuhCqQkLx4WmH
c5+fdEr8XlqUb+PgzqO34zxG2COZopvG1XI7Fyydf3ee//qGFqIuGu6uhy0LxPTrD08OlynSzCT/
bYRn+BgkPPHP9JQwzf0Y2b/+gGIp2/2rYrF8Qmq3pgK47FqCdsTJG45pjE20TZ3bHzPGEM5L0X5y
oEqp3YjQiRTO0p/r/0/dmS3JqaTZ+onYBs58eYCIyDlTOUgp3WDKQczgODjT0/eHJDstqar2tj4X
x6zrpqxKKUVGBDju61/rWx/0jGk3aTQYvS+OrVgajGEDT/0Pqpz1+5XOb8RRKgh5ePmh6yDR/SE0
rqFpzD6m43tqPvabamZfxz2+6CplXS+CqeAryB29cmeC3tmfiL2R779ISaWlhotCFiU9urQ7EFRf
WFrWmKW+58e5P1LrpiDJS/fl/GP4I38ss3//sf75NfLFOSa0NiYmFi6oP2d9PHf7USzGdJMP1b4y
UTLBNygHt9UfViPQzj+kbv7d67kmX+T+H8/z/vjM/IXdiAhMffPzsbdkeQ9RoGNlBWEP4eF/JK25
JpK/FaAssnBzq/7LckBtJ0o05IebH48lNsn7t+FX1Gke2qHfHxh//4HuwtkvlykXBOMnhzsQP4qD
ovnH8jev2wJ53K2gUhmKwmu/aXz7i6e4Yf7pFvzXl+KrgzHgBQ4nff/PpQ5kyt7N4WVnP7YiOLX2
CeAi+ob/+vt39dOK8csbQyvkpShAE9/Hw8Gf67ppMpfxi3w4qU2Y+XAQ7rLPxLXpgOf8Rjc4Y9W4
GzK0VTp9043TIoVl2Wg1lzytseBkcVdJlJ8r4aA9mPj2aHrvwBPOzARv0qUA4LTGsHhxSBIPbjgG
qVI4bX9oasAoY2x2pjc0Cel3pLYrG5Cx7d1BM9hXusrjMGLfpm1j9ct1leVTiGVGU/FloYmUWDXO
OGj4RZPU2Gj5Kn5uUHyDv5ZTHznvlwI79ICHhfd9Gftx1KgIEGNQgI7K0s3RcN8GzJMw2NB28NLq
m1ZofoAtlqf9G/Li+2bO+LG3kVgZuNtNCdsFLgqsf9Df7aBCwn2epBVGU8L9Q/LoeWxikfyxkfm+
g2KyNvP5bn2wP8T9fkJZ4mxReeIgA8odHpqKU8V0YTKtKGi6X5qB8xR6Pl63J5ttb2jfeOsYOvK8
9EwwhhfuMCl0VooZ93NYOK+DjV2z0g2yKwqMz5QhKvMx6NLYgLhKzjQiVcnz8y7sQ+nPh6z3HLd/
dDHbbt0j84Z9osUe0BTeTTcODBGo8kBtzhJMSIyTj7nqLauMG4tN5zei4f0QXLjeMosvlrusY3CD
bJZKkCfUdolD2Q44KSPJwgE0HSsXzhfqTFa+22SGBKvoTzFQJqaYrRnR0Xh11p1PHA7gMyPMIxia
WyMMFHNRUunDyTHrcX7xzKYCoJQ6bLghwPp0rjy3KC+guoIfI7efa1GPeyXzroKGdbs8trD9hWYX
/X2fhfC97xPXFl8kbvHvp1A8+uwGwYFR9HqCHUfIhc5d02ssVrKs8/k1RFUJsuo02zyyiHfBg2yh
+xybws1gX2bZ/EBFk1smazGnJ+BD9llh2tt5Q0TxDCWju/cVvWNL6OY3fjHWJprxpB5TLmqgCW5H
w4kj8pdSAbfLzKJLltBKOYvCOD1x2EVSooflMpDmF2pK6R+BkH7lzYVMfCensKo3DXUs/cU5UD+o
b7eyHs0Du/LxABKHmEQ1eM1rLvUDbB55qaCwXTbTMBLLQILGDpGdQcwMcfzOwQdQpD0uHFm8FUOf
JnW+Y9yctk3cNCQtsIkGfjqILhgHLlhb3PjwUUriCDP/5Dkoj/yFhB3E6zVP32hCqE+QyWA2rGHp
HvPS7B4kzcHgW5FoACcAtnmaaWn7Whuty1FeN49zIIqDKUbzwjHDvIiAqNtXDjIdwMehfR9KP/2A
eFjgmhnt8M1i1MN5xpLW/STKvDhKvPwHa6B1fJhg4O5LQTJAKLmwB7WCB6QILk59eAHBczGJcD3H
gaBfhz0tcei0HDnmFE2+RpPtBu/B6PpNYqSGuoAw2rmJY43lB4KnFeekprsk2WL1cRrk3VezHOTV
4kMJHjxrv0JTd5+hZtN8sbCdvTb9aoIQ0hkXBeAfIBesfm+waGzcyESGIFnjK/w8y35+7w2akUUB
SQqHbSdwFEjsg9s2cOXiYK8BwlFBmchtrpYLT2fkpUxLFjeARliIOVLFEwxa+8IJzFpeqKVXRyE1
YCB6Aeiccz+68/pq6jS9cSxun2nQI1bh3qQxYWnAPblrZx8cf2xvCPqoz0DO2ZOZjLepA9EVHogq
9ouMZlBD285XJtOgGUTd0hEOL1VgK4fX21YfBuhZVVxRqvpEvWy/Y5qBV/TL3nNHWyfuZX4/Jq4B
mhs33pJvsbME8x3onZzG7I0W3bKRG8hZs/nYdiTvpZysD0QDgnMpqLej2S+9cApaLobAW65K9P6J
sYMDqRQ2Gh2HRs+JVGdXXgCGIqqtKvwKasKkkpH9Gb1b5dBjCPeqIws9NO+w2PwzmDz5Ha46vB1z
rugqoCho0otFeffkfaUt5GnmnPy04e8OTj24zwgeFSwJPpBTPvpaH9gGgrhWoZtGyumZ2NIpBLRi
ms7pPpOnnn0oeRV/CJ/CdgxfbLICj1Qwdy/TNm3vmgsc4lgnrh2MBSeTJ0VCQeD4wP7SiNy5na4M
NVRfNrNrT7B9Yae2yMlgf0GJ4zRlRTLLIkAPcivvzGcwE0uAj6fK1eoJb4/N7z+JC8sEq1d69vAZ
Xa6/A2+ozqy1Dh+aBlRoNpT9YcFHvx+Dm4JWcnO8UNqZ79ohVY8qCJxX0CIsDqJf6YmiJO6Ad3K+
texRXy4KFHcB9ZOcvQ5aqhbxonM8xmGJ7BGeb4ZKr8ASqQ+bCPKnAOnkcw/255EHfgY3XfnXm2WM
OA7B2Ndh6l4x4aZxdWzCGrrc2tpc76oluGV0dxUS/F22dBIyvazNo5rL/jOtOgAgUyrorlTo6Ets
hRXqQNM9ZvYWwuLMQEbbfhWcWcz84kluDhjdzEaZV8YbhG8MWySZaJ6lOKNZ2OsmvkbSDq4q1wah
czA7VVGrW9MseDUbEj6ktuobw1lbuOvqK38nQ+gtrI9Dww6m1H4JG7jEBOhKq7gIOym+QMLVJIfy
2bzG6qOfCjFNPY31NcCfMLf8SwfiW3AMzaYNL5o8kAlzXAf8DfPuJAghjETlNoZT1Nhpe9MZzPsv
V6P3+aw9cx7VVU9dT320FmXN51B8m1t7cYwPfhsWkuYLlXeHPJTqvsyKqTkw8l0puCrgByeGovbv
tKY0y57gsQ/b/Rq0SuenfethfmdX1XDrJklUrbqoOJOrOrZ8di6x2+h0ukYtKYfY1lb2OPsbDRGd
WXtXeNtScIsWW8TLkYP4+NEtOP0BXjLIsrgeG6esxVZ0RuTSv6AGwWxLCNtrKiDAwUQN9YVgsSPu
T4nUeurrtVWA1wZXP4RGVgF9FXQCqEgZQLRp4XDC5aGwcc1EIofa160WTUAzB01AQn4vzKs5BJUV
C4WOf+3XLKcJdlYqMFG2LkoKCmLP8quLkeamobwFRu+Fm83H35pLk6DTQEzHpSWpNLgdRwifYwJn
36sFAvtAiKsLGG8CX1xBLDrgdvKrKmc6GzUtMm+8jUtP+KNZGfz4uqzOyG+43SFjUHhdFcikSbkU
hDEzxwoSLzBzyGxeqazzKlOScaSGhxyJmem3N4rxxqBu04+bMnWAUjuVjRSHZvfRkoZ6m0K2JraS
ZDLpd7HsQzblQouYLVxOQxKzeaxocwQs7X6lWwzoZ6/pAapjVlLqk/nygL8WryxCPUWYuawlQOHe
WsIDbAfLz8GDL53rXlO75uknhrlNelb2gfM1m6Yv25ZnT/S7fMlCSWcQx4TmAdJeeaBrTp1MHh4m
i4SnGH/522W9ivqGwKE+TrkKY9lLCpt9TNXglxq3eVA0WyRK7QD8oHBYXyeIgCM9Q0dgRIzxsiW9
ZsIYkOldhrlPNh42zh1hdPvBx0BEDG5C6+F64IKBoVfMb1Ynqw+ybweKiHw/uxq6tnvQ/UCps16y
KT1HNSZOYzRLeE7cEzwkALIjzZ3uQ1uZhGbGvLusUte4piTGuRSSoWWXDQyvQ45FiRDp9LXVvj5t
ixAUDPg8hBMwCv1wkJbX3eAfnMdzqeY0CofZpK6Zvs7Y8QbIhaEFmTruMETqc/AC2XJYEbkftlQV
bylz7/5UMl9LFDflvCcS1Q1PeR7+hVfVlIazv+BXSO956hRH7ZPt07StfSyLzPqC8rbQH2OFp84M
m6MvfVoXSlPFU+Plz2bbPEFJ4yTFwe3og3KiwUaMXeTaXffZNlN1oYWdLhFcsjKg9Vs7F6kUvOnM
ROGm9CPmsGvflhxLLqbZKl6r3Pa/VGlmPVcANa7oM8egIPvu3EYy/oj4Lqp9TSNiBbitvwZaZ7Nv
ZXHcL0Ln1an2w/AKDJKn9iIAnE0BMFRqThiEIiZ33nnrwtqKB1UstDfXG0UH4ANJwNo160jkGUXp
XtdyEC8AtwHMiZrfAXi9nwcxzaX9XmTHNZGv0j1vPC38ZMwxclK9xuP7opHd+ElyasvjStq2+YUH
76xg3gXwWo2x8pJRlsZZ0bviafcNHK1tqnRUrIa8dd2lfNFTIHk8cPI8djrFDdWlrn3F6E5dkkmm
akVlbGmulkHLl0qMSxEPyIxTVEz18jqOAOBO3JSc07RExXybmFpNERO56dCWBFURqTMsU8WysZnH
NvruYCFNj42fj5fOyvktMtiOjElNUMo9GH2DQ58Mp/txHOr6sy+nJSaTOCS1afTmjZ5964HpWgB0
FEtRFXmU0e/tFul4werXzoelh3DHVg6WfISLw6CMC4KzEet0d+IRQ6TkTMkJnzuOFC4i6qOavHSq
6ZhNHqMUmFjQ/cfvZWbsI+KUNgk6XlybbsVnkvRtdbuXRA0JpwrgIBEXb7fJWFk6q9eTYUJkdG49
badwDqy+sL/W2EbBZ05GsJTpkYFZtZjX1AJ7XRhz2l4cGWmqNgcd+zxw3TXJmV/RBKTJXjhr0k5r
2lSXK+hO24wHzQFM3lHsZJORXwhl0C2htOyL5yyrnC6DGWwqxiikcWwKGKal77zxmLFXa88JKhrN
N+K+y+QecvxPTXuAVWdVD6kpmL2cJEapkU6l1THM8q7UsuJ7oLd+KEAeaM0MYMITztt/b4zQh/sr
h7Jdk1DmC1WsTJnyhx9irSH3gcNYh7s0Kqx0kZe0M+2je/wC+xyE+3Dz3zInNRfvhK96437rrSEs
PhO3y+labQOELoOTbVrOHo8IluPxI6lEuw+uRjaUy41ZhsSNY50NsPZOG9Mtvi0eeWVXvtikv2H+
uvVITPHS1rw9eL0dLouBFPFgN+mDPbqy8A4eRtXCvjC17tcOHxIdbvybtpP1RymDkvXYGLsEkmh2
LTBzsXWXISvmGhZsogLnVIx+AxAWFXZCSaU0kt1IPTuHrF0cqprkjOMmRDtou+BqY+sXHFKj9ugx
HKeUusTIcnoQA3D/befE3K/5KANdPxm4a8ZIdITPIkdz7xxwmzRvZktQda+XBsMMlmAI82RS+FSo
UBU9w8fN0+v3TMxFWGTTnYs79gwduLjqYDXGlfD0dWmtK8UNdoNZi0ToyZZG/QDOZfbPe7ZwfmS3
EmzBQqlEe1KjiYtxCSRlP1ioqze5mdCPU+U0KVzqwNHJaG/r/VAY88IGwagP7EA5IaaldN2T8pyx
SShUXV6MLV1WGVnZ3Fv3AaR0GmXocn5VJgPsaChpCDFpIKC50YRXnQM2xyB1RgKymt4yA4ylEbOj
Jhy/VeQjyWlNKflybQWYcwSNSDE9A113cFZzINDd+Z/rqXasASaGyGhaBAwPsHilbvemCTxTJ8J0
9fiM9QHbRKSgzeQxng54vqAKqBt2ELduMk7eQLt79uHXCwO3hfoU+uv9CnIoqJcOK7smGC7x1skG
64agvDgJWheuhW+M+YmUEV+Mv2RGZOOtg7dNcUZMdNp52TAscG1QH7PTXnmfmzx6llzuVr7sxAnT
IDxAsp3fDcxLiIelzK6AOIvhC4fLOf9AEaDad122KM7YwXgXCgpX8cISaa8ne3LK+26202tsktlb
piw++WDeFuxqKYAAip8LiiYLc34KFlff0deT8xaIsTEd9qGvzlzThBUqN7y3kA/9JCy7+RwKEvFy
sLLFp9l2yBG6Fe2BrUPpUz8r96GneoYmltZ89tRggUjHh5jTfoZDf9jWiBQOpU5Ekgpi+8NEtKhu
MciHxRRO55kHtQSr+LZTH9OZaP28N2jNitMwSXd/FUcmRMxZTZtgYZJN9sTSa5B3oPlX+tgL7Wyg
Wzpr1+Ha1lJfZcKagsR0M0lDPAaPx3nxR1zHI6T+CDeA/8VRORCLhg34bW/sO94hcAIaPoyVBjqv
SkPsKFVf5ES9gxLnFXLJ3dagAESbJ6V3qCYMdoltNsVh6xf+TuZip8M20shksuW3ecjpEkuJ7c6j
u372WS2mywWUqEzqfgruB1dBih+Bt/ccCApUoEZ01xQcissgBx2ETSiFf6CsNKRLOhcvK60QF4sh
hzu8emWMB0x8JcMG56Id/JBiD5D8UGBmhwYuPa/lAF4lAJSoc1o9WH+VXV+WllhdKCyz+9FIqWK/
QbmqbMSArgEHC//3cxHieCAkbambDoeJefBnF5brFgpSDX1quhRMUYr1WLmLmmOem+zq2J8nua36
YP/cvNvZnpGhbdGlN0Hd2M89LgvYu7r+bMOIfVYj5Vs5jTz3Po5KjFLZxCVfq8+ZMZsZe6vFiA12
HtdKE8Yb0F2+tJk2zlXJTZ2oovJvR02efySHH3Mir2iHRB0Bthh8RDGGC5O1mfcixWYfFscc7ie1
ivNq6EYRl8Ca992a2WCdaZF4/GEIzgaq7EHBhgYbp6YIl1Priqm+Jy1bJApxK1Fc6pR/2K4+sH2x
LukPy/EGztZznq7Lc5iOViQHmlYyBjOHJqjTb9iKzcRxnfEpYLt/spzUeulwoD+b/BXYIgsfHJb/
ZzI3wfXCkP8kp5G7LtBfMSiPd1Kb9A0F9LNb3AcbtBCjYkdjOc2J54FqOWYMRPt9zCn87au5F+pT
idiRBAsHlZ5M8RYtBPU/0iroPJS5DRrAQdU/l7K1GIXhtKxs+3XVqP/qUEn0IPXCA6pqpoQZOCmm
Z060XSPvlTN0jns70hnEKg+6fPcmqZ78MyaBZS2bnlkDA8fu1lmx0qynmWISBgt2Zy5jfm7qvCm3
c4zcK8VZxTK7ry6kieqs7IJmdOKUqogRNP/kOrNi8apwszDTwh8BgqTwYNyPQLTYNgbmWsSq8pS5
nOt1QcUEGbO4R6o+5+CL17YjiwrNxzUA4tl3c9NN2OfhU0iMFRYrhhYHjxV2ZLbxuKpWstDcNNjY
HRcraC67d7MH2DEkDDQx6h0GOdN7z8SyyCrcQjJLdxM512DPGCQrs83sP0w2SOjiWNiLp9THLpjT
qUwYxAac+4gMgeu7ATE76C4ZZi/waNCRth76F11tE1xz/hXKV5nrOmzJ4G9Tik47HzG5EoSFse7v
xKHcMqxPOexiv/+kjWwTblSkQcWf4YX3veXSGAcOzJclzYiwlBczBGRw/Ifx3O8BEYZ/BKhDEpsM
ObHpYXz4fRrfmpw5ykWGr2ZJiuTn1FuAWGf8pOwmw+05B1PbxGbjKOFHvqoJIkXQh3kKj3a7+E/l
90HX3/9ev097+bV85vQkOEPmr7jA9wz+rw6JAmoVVJ7Cf6s6uWebmh/Gj6YKay5Eo9vxyn//ir/P
5PdXJMbNp7EnWBn57oiBX18R0TAYTfIS782PV5x+uGpst1WM5imGcDQmuMncGwjzomRY+eOr+P/F
afgN7HBdvKpu6L6N/wtoDphj/jPL4f+0WVczuf/BhdjhD/z4D4SDcP4ysR3sc0TMO7hp+JOfBAfr
L8/HFhcyRXP5mYA/+UlwMJy/CMJDFdrzFw6JKFf8X4oD/RF/MRbnRrAwp+x/ZP9PMA7e79dwgO1k
P/sIcnQ2RgnSIr9fURSocOZw/KOPsMeYr0YFrnkA60LXp8Cu9zn25D6sAzIByts2ni+cmI2Ybe/K
3hiJLqaupvkKRIQNkh6q5Vlt+XxLIILWvgJTXyJwdH5Spd878TCW840DVCC4rPWoeCaEE95EvPPG
6+QY+a4ccByIdNNSFNeDQMKcWa6UwNeVDqlmWbSi3jZADgrIEtBvvd+bp3QOspB6bqOFykZI5LFz
K1PRo5mn37LKzOgOQtdeD1atZ469Q118XNey7yA1FbyCX8jy0XfbGUc8G6IuQTKrcRqkWpccccyl
TBaXOCvHcAC/cYCFZYqL1ho/YujMlgvJaaU5DNQ2QyPIOjccI3+Z5+ya8uf65FP0QYf3vAYSpB3E
sbI4NJLWw2+/XHJ3P6wKv7ImfrdL8EW6LH289ZC1Er9L+MfSAGNgE6vnncNr8m+poZoprl9C+Q/p
oj8vlzAIwR9gC3Js17LNkIv21wUorNnyTcK6nSee3wnkzb45U50e8rOJEr3i7u/fE882/r3/tmXg
+nK5NrkqeUEizwRNf389goFVmhb6xcM+SQGkXdXPbeg3XylUGrqzDYx6ztQAGtWBllROaMLLOQEt
K8mhQ74U8hIr9T5JHPP5MwEL+PY5X1o/vHM4DwAJZdkatida6bM7eL8dW+JsDMxTgLIUXOLLHyHD
DYxJI+GlXHvZwkY2snubxkzKxZYLWy2tFaVNjeyDICqvw70u+c5mWgZvGy9CFEyjPSebgxNx21Ct
45qKmzDRUPIbui4LK3hMZ1v67Jcduzls/maroxlQK8zZm8H/wuhVntXKnle4h94kadxrbOuI1KDf
TAJazyvXFhqRCqgAbFdnys+GwvTONI4CCZrLNYKT61KiDRjfvZhdJI5krtgDRHRmcwAaD2gy27Im
opeLpI++E9RaxWVuubfKX40CJQvXSiSrrXmpqLBxKBwdweMNi2ewecad7Z+Yxrh3NCUO4UXhFTam
/o2PAL9FVb2MGbknMsFeQQmP8Csz8ak2pKCFfT/5ddMWXzGggwbUVQPgCRpF4QBcAINwrMEjiPtt
I5qFCTiH04dBQt+goQzulTeigsXmNNOcSE4pjLCoV+GlEnUgODI4+lNuo6hFq/Lhc3QBv+eFI+2t
RAcq+yv4ZnVzXhI4f1S0WWTMU/GDH0ll2Z+2SQwBUoM21liUgUdhJLXsnBKdJt/fFZQ09K9+HpmC
BHwUHmOGB/ZooojzjLoeUAaj6USr3QbLabGcwo3mqaTFG7vL3HDprNC+7Lbyr7qxblrOL/ZinKO/
ljm7eFnIU9njrYz9NieDXM692R4waphoi5yJP1bZ1L/PFPO95xTOM/oy9JhzN25eTwexas6VMFAH
qmCQHtV5dP6MWA+vAs67COLKrGOql29EKdr2gghKaeE/L6sLTpIOKt+6uZ/sYFueZiOQ0PDm8SCX
cX5ffKE/FXyKOMwcVdJLQhpkLy6wcYHUW6ObGPODMxxqMak7D7pjEM/11raHuV1LgR8/mPJkJCd6
O1qb8+rxGX+qDSPbPRxhWDBxgpzIgIZo1Im2ppyxbq8pJMQAxLdRC/I8CTYQBmPoTvMDckujj5Je
0jyiq6jQtEviyEhNPRPtYFID8ZM6hfPR2/pvNQsMunbXzlbSjy5pvMCA7UXJvXq08mp5d/FVYmax
PXINi2VkJ3zQFJGsPA/f+RYrP0lX8gekEIxc4iCZur2LxEs/dKAty7NyAzdJj/ZmDDEG82WDvFiM
KpkEVTaB0PU1R/vFoidCBt8W/Iq3HDflO6knqRCe2cElpqrrvcxXUStczzXNcgRrq6d80+ral9vy
DSsTwg8ZjfRZUnVCZ2zL6TrJLMkyRSm2eAidQd6vcuXHuIkAEgodciBfC+nfIsOKLKmzWfnHekQV
PgarzF7bzJGf6INZcVr4G8YEZYg6hMtpj3PsTinX34ZniGMqhwZ66brwPg04wkatj+rJZb1oft2V
4GzSpiasMB6PVWRUTvruba5HLbGwYbh0YW2usVNPKKjC7gL92i5tNcZG35dNlHK58jPz0ARXuaCg
2hwWWWAdx6NxFmLE1XZEoYXTnWwSuIIkJoBmuiA5iXfR7kKbLnq9HyypCuyNxBWhKyKWB9+PnCb0
L6t613OJvsoPYkVQhF2ICoZeJorbzXdnBr+dkV3TUpL5B4nz5QsTmyY44xTUvhceuUFqCfP1ScEr
pNo9MFr214EqzsZ22Fl1HqVkSZeVzMdP7WDLm3CdtJ94Qwu5N6IP0TrVVSabeEYRlxe5zV4gSen1
QDJPC7qBdB6YH2dcM+8q7YM3oI98quOa5be2K4znZSoFF3lqFN/KbLW3KPXqXl/MVRPiwRx63BZU
PTbcQoF2ddx0uf6G3kxdTgYxtjsGjWOqyFmXhe8qFfChoYkPOMSKAu0J9OQGLWLpFwqpaw+a7ZSS
TommMGT1L+jve8TvZLwqGgE/h9s43m5e7n8CzGe+tmlK1UyYDxS++vYGPQGqOAZAGmPmMbaQzjkI
Z2a/RruQiyaq0vJT6RuGE3th5haJM01zF9tmmRJ/6hq3PxSOY7/kVESLyBXrzBZuRbTvDXO8RSol
VpNRhTICuSsxFblN537MzLF4GLneiVisbvWB1gvWfVwP6e0yhvWcQJIH4sO41rCwBNbU0WaTu7dd
bTSvrDN2zsRpZHPhLtxdURDmmPx4CFZ3tJJqHjpr2LkxDZvjnbWxl0ygbdWvcKekinbIzbeeSMcz
9O30LajMmlR5mQXPwaT58sn6mQhUaYPZRfid90Z3LvNvqIko3UAgW3Goq8V73FTtfR1x5XxuiOzT
Ej+MSC5mNfTj0TX3oaPINoTPwjBMOyp2CG0ywYN5btrUex4Vq/YxzKvQZ9hQV/QgXVbzLAmEFEWG
KcGdzO4buDPf4iE2iJuFu+wLh0j71fXncYugKTMX8D3G0kkJTI0eeWTA6Yqm3FrxTMfzc8fgq3ye
OARQOFtU5Rl+z7VOnLnXeDenvK3ipZ/q4YgkWtUHkLTTFjOm8lsKwwg0YTakIj0SstisK9deNh9M
c22Ml+E2SPlpzezUiRejMKb7JW8hnmbzTMEYkVpxM0M37s+UsY1cka0jsNJEuttSnHpIN6PF8MVT
rvXSpn024bgWBKfaGGKNycbM69fW1aeqL8VKzkT4uEb5Ncxs+1ThFqUjz0VDT3miBwAoo3Y3G5D1
mjguoNaqrXhBwM+dszWrbTiIHST7q5optUCkbXYWLLvGKW3uDI8s8RobbCME81WXbneoMFVVzjFe
Ffg8sVcXwqD8Vm/VVQCcJ81QTIYtfxPKrZkpIGj7d5XKXe8N6iDvJ0jbonAO4G2a4NwMJhNIp5Uv
lanjDTI2nLAw6DD3pQJlt0MJTmETBStHmaqYVspqfN0XT0O45W6dYD4o9Ufqk7fuCTBdI471UJnp
oy4b17aiyt4K78hWRKizLMTppHEFUh/1ochtcCQRFCfl3Rcbh48sLgBxdIjk+Cutg4H8pRK62XBy
RKyQ3fC0oi/TZT3AtmV9JIDkHywzc4ZrI+/y9oog3TRfD37vMz2XRlAB7cwXDr7nKHK9eat7x61w
1rr2/AF3WyoexCAD77pRGaje1V4ncLcba5pVQXogI9mwvWHM0MRWWjr2J9i167eBMQ6aUKWmgENe
L+qzNrPpmbJoJz24Szhd9t5aBNFQpZQtWbbiadgGg/FosLdeIlzcmwdDs6HD1HOhxFyVpIxMFsp1
M+MurOZTYwnbjmUwi+d8E7JPFFW91lmPr2Y7BN3mSmyUADYuLGhH2FtzAOkHHx9HzvWVeqxRoz9w
aCWuVRBOwCF621Ptnh8Iu0zVYVVsyZMCFIO8KNG5ikMZyuxbt2M2qBdvKXTuMFzfo4sX1H0ObiMO
TDXZ2q8WBIuFNNEsustywgzKo9tPeSMGfEassg7b4D6FnZe4gVPfkwzVrwJT9dvGuTd7NkyGurVU
2Yesa5m6oV1WY4QtTi3xNi3zmzCxld6laLP9gdErbZ9c4nrlrXf6ALaEp3fLpf1OMkBS52gsxVmA
mk3VKs15HCZMPHWRH7hqOZ9yXF6LY+N74imIF2YD2kqKqvB8DOTD/CHouqGMnMUzxYkhbB3EBqfd
Yo+6ubfUbFfMWnCVPJrKaz7To6i8KOQJYSQLwnB97Bnpcgvl2fay+SVjF7kgdUbdwPwXAtVSOOcM
boPXPvWzD6lXLGlSyo0SW2INmMnoXDZ5KJUNvOLKtpbx/0FS+49S2G+C2a18bzFIvr+P11/l/wLR
zDI5zv9n2exEsv/9N9ns+1/4yT71/0I1c5B72Zh7rGIBmJMfyplhuX+RfHGQBbDBB+RREF5/SmeW
QFXj503TB+pmujuQh/DFdy7qX6BP+X/5T2i5/Mn/SDj7g63pIsLyD3noZ1BYsZ2Zu1LySzyuHJdM
201+bahZfV1qPB14+nuWMS+r2plzSuPcuWj2XZJ2Y6sPYhZ6OwdPXr67gW7W84pIwT9lZnbF+b/l
kh+/lAVIT1A9j7bo/SGUN01LvGqprzdcAQ9NbbifGSOwm/ectPoC2WF+Cuc6fHZx/Vv/oAzt//S/
vDSwIz4Mkkiu/8fnUc+CDYRfXrcYfo5Z2LpXc5NSDy0K845sa/7yy6Xyb+Suf/dywrR8cycnkgr8
QxiymwVNvi6vWbxKn92Lal7Lvmi/pDT3YhNu/Le/f73fha8fn+yvr4ci++vXbZeGh7eivAbQnx/Y
5Mlzrx8Qikr+59+/0u9C3s9XgmRA4s4RPHf/yJDxiIBDtVXXBlrbdWlUaBT5Ot3+/Yv8uwtFIJoh
54mA1OEfL2IMZai9objmINadVipMvsEAUlfMbetzQX/2i+69OWFL+k9tQ7tA+OdlIlDE/4u7M1mO
HEfS8BOxjRsI8srYJUVqzUwpL7Rcue87n34+qmx6MqgwhamO092HqmqrRAAEHA73f1EFo866X6fr
iMOmmmV+cEQCwubmzExja8S9/2DTtnrIhpYuNcCdFU1y5cGL8lK670/87Oo6MCw1Qf9T1xcnBMDH
iKYp48c54j0V6uOgQi7J0p3ZnOisEWPogMKcXJLJQFA1MOeDY4hJx09aqXhkqBP8iDgOjnpRNXfv
z2khDfm6ZTQ6nqpmMRyqz4tGlD7YMdVh/xgNVU5HtlCe81AP73LV8O5tXRlekDipd3BJyYyRCyJD
59jIlUpdZvv+TzlzTDiO8385lnQ9Fp+X9whh0/OPTZtoCCYm5tpreSC3DrSmD48004EhJFKGFsSc
043UVgpVd0/edHrjPxtDGB0qZ7LwCI+i/fsjnVteuiRUorlqqDQupa5TSnYeqms3yCBoTw1L+U0W
sf3D1EYlO6SplVyjTTPmrvQCqmIk1vF3gbhYsY5Q1Ht4/8ecObiwkpmzafMMhq94Ou1BhCKbHVM5
Q5LSR1KY38hVik2qTvgKa35Kfk9ZM03M+h+JdjKM84rfZza1qRJvUQ+nnKmaiwCfTkEkQf7d5D70
AB1ztm1MRXaNSS8GD/h1H96f6JIRPV+wOGvOuucOfQAu2tOZtjxwuXr1G2ivYDtS2KbpCrQuZl9x
KdvnvjOGG1A0lCQVWwOAkRl0mQC1vP8zzsSrk1+x2GZEeg+Gg45lDVBg5FWD8k+NYNOuFTWoseSG
HnGyG3On2DWGE1zYeWeCFTB2tKYNNp2FH9PpElhZHIRIq900QzpdxVRO91rn6+GFKZ45syZXmwZp
H1g6i346StNXnloU2g0YFowvRKfvGoztV7WWNRf8vbRzQ1Gw4rlIijZL0Z8OJf2pQztPu0FGO7JW
XTCCv5PgjrdmExr0+hLLP1LWhSWjj/o6M+v4RkRAb9229MovAHbHozBL49OQ9OjW6fQ8LplVnjvs
JlQ7QzMQ2ARwsNh2dkbnwRTDjVZU4w1Ww+ZGy5zkTg97a0c9bngIotTZ1uHkHYoZ/5qDgDl4OVJz
72+8MwkmHV4ABga5LneltvghDnpdXalY10in9DdzyXXth2a7aavCuQ8kxaMQE1P4qUNyD8gm2Muy
HnfSqjKP15XdX0gYzhxHDQkGPhnKigbZ5eKOMYa2z+lyX3dVnmy9MW6PSmsWPyRYuZWXdd2ukrLd
a2ADN1rRpxtU3rovF5Zk3omnyQMkfgMtSVJbtAHI4E+SMDBAE80+HEmMsD7mSB7f6GixfRJ1pawr
IbMHB0LGnrbK3IXK/HtEgWPIJ/Z44Vye2cevK+HATTeo1S9FWKN2MDoazdcodUe/PEsUa18MBy0G
yNV2c78aolOz81H7BAKrhn8cGHjPNI7RKwogwAZoB7hZZ1afABqblw7ZvAqLVdK5q+Znk04GuTxk
WqhjBGUZ10IPsV11wLGu23HkkdsO7bFMv3vqlGzIt7I1wB9vAzMJ1qWhttc8VILSzY1u5NX233fd
mWT93F6GWK9B4udnSUsuAhk29YMSj+p1UxiW7Q6DmdxNYV2ti4Y0xC+K5GF06mrVtvX3ANKMa9u5
c/C6fLwPKj8wLiQp5/YyP0fwSuQzkoouQA/AYqIwkHhDjbHPvkXP163o0rntUDXoiTTFk2mO+QOy
O3Rhi+wTfFzzQtB9e49rRECBqIkzB8OlkAJtLVPWvX6tdo3com3YwNZu1Xjd0ON+aUerOvRa/RIj
w3xp757dHoxp01RX57fr6SEKM5OytNSu4aOXe1NpUCmDzb2FgKPeJ0hyftNAPP9GPZbYHKuhdxic
5EDdxHSpukKITZ3mQmx5uxZoZrAOaNrgdWIuQ0uSKcMsGHkd5vn0HW1Qtuo0+qiFYr8FXa5BZc6V
ZHt7i47s+v2t+faKFRp5M9GEpUAjZLEVlKCHFeZE17ZWRA/QOcZdBufmx/uDaGdHASQ4ixuz7svc
CVZ2oZdTcD3JMf80QmI6VMh1rrqqC5mfNLcJ22EXJV649iBluCliSatRBsawRpV1eskb0wRgYCMa
8f4vO7P03DLgOMihuf9ftWT/qmKgQJVYAHauWR19PyBk+Sk1HQQ/B91f2TO2H15Ctgpb70Ion5f1
NEYhyEYSqzO4xZ2yWPa4MewgS5Ur24rtZD3kdtWsih7A5CZAzpD2Ue/5bLjeHy49AF9feMuh8fzk
4atxv7+ZcmM7tjkNwXWFjv6NQVvJxSoONeQIUmoOi6OxNDQ5puGeJrt13YMu3wplrLdYpkSUqqv4
rirptCXwhh6lWd46WjbdT5qojmnZwRHsfIgF7VPbR8YVzrrRJoPYs6rw+tpY/O2FNOFtVi5noR7u
QxIFcrd55/31AWUFySxs5ZVezucjqRARnQLP2FWidPKNoU/+/fs75u1WngcEZ0Tg5AFmLb4c2wVz
XNO6GqSDkCMA3m0cl5cEnM/MilOp6gKWyPzMWQyiAl2clEhcpYrm3XVyZnyUGfy/UdNA3vRToDy+
P6u3iSkAztmDggM6x+P5//9rGbO4h8Qgqysw4eHagaNEvViztoixXvK74bG02PuUq8h+KR3y3Zig
sQjAZZa0Q5RYG32KzWZb+kKHn+er2Vc1s5CNsMMOCQHLS6evOk0m5KTZdDpIeKPLDlbtWUe9BwPv
IvNs7NU+nvQ99PUqWE1DGZAfWmN0C0UMLZgIiahdIp3BO+Bekf+iYZb+VqjKl48jyofICrQFpnx1
mRhf4GHEN53ROD+haKEnIrWg+K4NqB24jQ7PbWOCHuo3WHYkP6uilalbeAH9MdPSok8AsKeWh29T
O1u9pfe6qoZUbBxzQqQuh0oHF1WfbhCvgbqW2UY186FqLPoglOkgzIskvpPqhIGuBUL5J4e/+lMm
03Adw7qF7Jf34G3apE3+1EUGjxFXCet3LqPogbeq+qfOBv3egAsPT7Go8MCEf0ErsNEwjVUgnECV
nZurEYJtHVgZ1ftm0gkd6J0kiYHAvRpdw22K79sEGWOXF53yRD1AD3ZekhSFG2HmMVxPkZn3KwxS
8VSs9QHvQFQ8W9AYXsTi5cnMBWnzQ9TCB9KjUvld8Q763ORmgATeYDns4GLUuo3Mkkbb4ZGGIDUS
mV/R18kAvYM0K5Hs9ctyU5peMLm6gV444vAR/qy6NWNCSNTEHyNQqyu1S6xnuHxNv4YnmttAHTL+
lbwG9bRSwxGIP7rxNKcV2+ivc2QeQ0gZiQMYWk1oyqJ2Xq4ljgB0Y0UWIN2ajQ66fRlX4bqmabSv
69TAABU6o7LOjdkuWZTCu02rDtw9WHIkiwGP6XcmstPBropQ82ii6tU1dCwxKtVD8jxw/fyeEsCl
v/EsBF1WoHw077pD/yTfABrMdoES2z/xew1NyGswf9wa2DoMziTrvnAMFOAuKmgthI4rlFmMyhwP
BuivFxIqvXCJPN6PVgTzJ8l8JDuw7Y0PrS6rLwTFASHxcTCe0kwLnoO6HGAa1IPxy8q4Z1ERLE0E
3bE3W3sN+jDrdBoHTMdqdZqLVpmI2Z2jeOxVU3mxsQ1oNm2MmheN5qS/TuwyEbsu5OnsVk1Xxnsf
m5zwKgwcFDWCOKJYoNTtBFIDqA3UIRmPPwsL8Ri3TJOMbqOfa7uwj0H8YK6c+sD//NBZ+9A5IWkr
AbIvNZunvTajMJ8R/5LU3AF/mu2QY0dBYqxEz8urSkmUEG6OAF8hUZWskjRtW5BJqIPzAYDd0M+O
ux9W1EkcdkwZfJOTMBoMHUD3bp2q82/MXp12nRpmKKjAqPrCRm6tmceS3BYkg8EqzFP0dXw0nW+M
xIE/3mcw3Q9aLoz9UI3WbEuphgAckY/CunvIqmvo41O5mpGhHbZCqvcDKkGE4WSM6cHar2o0Y/oS
nsVez4vmxbPtqLmVjd8/QGPWE1qTIXQ8YEmRv8UqyvuSFTFmaWWclyYikmhOrRMzJNB4PQRMCCEG
qVMy2YPthoWNz2UTdm1MlqXmSBPUlsR/pQqdnwUmEvQCJ8+WG0SfgBvFY6EY8O/zHsWSRCPZBxnU
gbUp7B9+CdXMBY8W/UT5UgcLV9pPBnxdx9XYkTD041hJdxq6lNWmQpe7XsWxryPw3Bb1o2WFslon
FbUBt9HsyKBglhGhQe5kJLTFnGCjTYvCRRvT7NZmjzgK3xEZSatlIxpyyvQZBzfCjt/p6d6P8snm
PdcrfySiCDA3TPS/aE0Pyn3kDS2syJEUexWNBF431uvu2I4KnOoSyfn7uXcbAkx2+q+q1vUvQq/0
IysFUAo8dvSZD9A9+J5UH/UwAapgp5B/V6mfqfkGTpCJ6S62z+A1jQEFNIjAGE/qkB8eHV6ztLBz
Ggqr2oj0G8sQ04vTknq5gG9melwHY9+NhTapLrIWqr/Ow77E+KuzgUGNJnfKqu8945ew+/AINBot
spEZFnsBQOdRB2L6lYKL/gMMy/BzkGkLdTZQ0s+Sp+udGVXOF8Uy+08ASGxwYinCs7DSVKt1EVWc
G+vJEIZrVfM8EIFhr96rgUAtCIYwXwaqoLBWVYEeqQvOcOaOcWLvkEeC0NM0Sb8P0dr9qmNu8Jt6
rHeX0FGjNwx3+AGyukcbfZokLTZy7Bs0zzSe1UBG5I60HouFrkcul4gJQHU9qWr5p1fJDvdEXQxo
el1rI/TOEqvFSbuOUyBXhczXBW53+VUtRP/s9LUlsN/qZHLAhzV6LiMn7tacq7Y5jFBlKtjZgfKE
fO1MYG+NYJf0M9YIJH+E/XWWJZ9jrcM5Nihhx0HSTMA9pYWPGNqgNsBtU2mDGLPTiE3fjtoNSQu1
+wgpMjQfR4WoDZClEpAFvSqmC9/nvwe6N5i259y4qxFUHezxSsCkLIY4u5oiEglYLPFt2NNf+S2s
jroQd03r4p6QtVdDY8Bph/gMmN7UcvsWAmCIBIThE9INdAS+mUoaw+saswnB0cwY43UcWd1LXFnh
odfrrEO5zciy1YCx0kOWoKXnjroe/7JpmY2rIRioy1ETkzbcQq3yVpmRtg+8tieQ/I2RKCtkQtKf
tQWQYWvKqquP/Yic8MFPHGuPjgUMUpqsJtqiYyJ+BpPnf2omq/jZh1Vcul3WxvezB+qP3IA+SCkl
M9N1rRRV5QJ6ofqjYfPYrKgVlwQcJ3o0rGb4lBLlaWyRr3MptE2F74aHEq87lYl6pfIama48T/bK
VxBtQ7xTvcBpD15fZKULr9sDoCc8PDk04g854ciD4s40tU5dGXjSz1AxtLv69cCO6lYw4xMDXh0U
akB1bE2sSaJcc4OWCjryNlP7xcrxe3C7MiwootGZQjRCVM91qUXe2kfxA39IaQVfQ0AVvywPvvQq
60h7KN6E+i+zlf29oGNouwjzwK80gQbdd56EbxWnPkabFWIHNnxuVhAdMPJoV0w91zkyRYXqdtLX
SIhsQzwHShjcoMliPwKPHx9h6IsnQ0NH9KAgWMctyoaXLlKsRbixG5hqK9QPi+tGjapwjaif8dUc
4/E3DnZNsW5QJ3sa6mB4wsgLGDZlTOLfpHuztrNaeLfAqbV+i2Z+g7SrqHwcoIVA0Ua3BIj03phq
qLS1XXSrTMIA3M6J9VEhVyhWQ5TNd09edfeyH4NvqQITsXEm82jrYlYtSaBdk8sTU/q+hr1vGqr+
SXH6btp6SL6hAsI/+abnVIzXYJ3sYRMRfo+i7bqnSahpeYhU8Lv7sh/T+0TkckeQCbNdNBbmtPE9
ixKAB2M4c80cdK0XqOlDgVDHpkBFcmYu2DG4g37injQIn/0KZnxqIUMH4MuNFFk4qHE3SrA1k17T
NroaxxMpbuv80eqywEjeq1NgfyB9ChfYc6MdndjU/W3hmL61gnmG9YvaThmI+mmWeYGM+BnxBQ8j
Ja58E5GJunnpgkgBaQqyK722PR/ybtWEoPopi4pf0ZhH35twSBGIlHyTNZZ39Q8SXUddofICSwBZ
DUo+XWHwTZLRzlugm6bELiSkHKBYU/qklqkgTevI1TfAk8d4g4em/7UIe+1ID3n6NgDW/mJCtb6y
E2zmVoXejw8OQDYEaJB021lguXtXK6aS9GdEMMmiYOrtja5+6vLI2RlKlWqAPUm2dgZA+k1G6mUc
BxbnHr2qMNoXobBvuG+RW3JDVZJcB3XTkgsBtAJgS4cjfyimqnvKTF8Fi2SpsHhttMt/pGbevYAp
Hh/wEAqSNQ7fUQYdt80z5KOyxtoTXqGW1qOmxisUC8trejGeArC8pvrgjUWlEbfN4VeVIK3kBmY9
HCcA4NOmqOvuBZcpCP+R5uu/htGP2dGDUWyLcvRYYGTGH5Vxdsb26zH+RFs6+SOnSAUeKyfzOddF
F2wU9Nf1la/lmbgKo2HooZuMQ7+vQFlpPKxKxPbyEm3wmQcVd64yW2ztkZRqEMoohspEXFNYKIkF
6nhjqmbLjuo8EW9RRwTnPCUeyhgIuIOpL1FU4u61kF9BtgHiftSaO4lNEWB9TMrRW/eoeRGPXuZ2
xKeggRt/4Csgs+K0mb8JdH344lQc7Tqp01vbTxBhrSYz6G8MG2EJ1K6kQ1vEHoI1si/WERMBBwoK
GvH9qitHc4UMj/8jqGrVX5lFrltrJwDV4SL9KOqVA11sZfcZMqaWnip3qMhPUHwR2qrXPG/6P1MM
d2RbIZ+FkRqkt4EahSNfMv7JcezL+qHuEu0u8VgaN9Pj1HRLy3Oe65YgsS3qRmoopOSzOQbyGjii
QDN/BrUERDUo6Xpve+j9f0DPKk9lZAMynVoZJqRLjsOfJBJ8aRDBhPmDCUw0gGhPJsyPInK1Tdr3
bbdVUpFdCfTYgm0lWjLmNA/HmjeSrOaczyTNrrNAdMcKBaoeMZJhclZNGzjfTL3K6g1VFxS1VEfJ
b/3Kd1CyKO2wdyO1Kj5NxHgsOtuQ12Q+KONLU8GKWiXodeRbfAdtBEGDqtpqge5/fi3VfIiC+v8T
Lyfpd/23rTI7kp84hm8q+CKneLn5X/gHLmca/9G4oyR9YmqByP7QWf0HLWdY/6FHRVuF/jEcb2Ou
rv8vWA4qKf0PyKSvtS9wu/8Fy4GjI8OhOQH6k9o8PeEPeIWflgxRa38trGM7S8XV5m8X1TwYaEka
KDQQGlvRt72voV8xKM3ur9U402Q6rRnyx9JI4X88cg0q7OqyWY7Cd643vTBdO07KZ14eAyLVeXcV
pC1xWjZ9un5/wNM63uuAOOhSmDexMZp5vKc1Q/DrZSqnWLgDYk4uOnPFgddFc0UXMLow1JsVdIAA
oE/92rYBVrMYaqQMRJckF/TB4+xbnY0FijRF8PT+hBZtutcZUUHGQ5TmN+V5ne31dxVUs2hwa0Mr
yMKd4i6THrUMvVeqR11BMjTA4OW3B6sGJgoyZ9tBk+020ersuTYsuTW1Kfn2/g86s8LsXcAu2Jez
e8zFxqEW1POs5PdEwJ46V5ez7Fvd1N/9Vo9W/2IsAa1V0PeHH7QYy89i0JNRz91rOfK2KPv2qZAo
BWEIrWgXmn+vggX/14P4Z6EpoIOPAr8E/m7ey3+Vm3lHjCNGKJYb1HQJtMrxnizh25sqV/Kj6Drk
OydRXkHORsAFEZbALVWtgXQMEaZTgE6kasfDOtej7jpqknFrYiJ0Ae9zZs+B9ZkxXACsZjDX6W8c
+dBYQ6cWBSsl23iGj86sTkL2/rKfG8ViFcCd0IQD73s6iprRvIBOabmytNAGJRF5wmQhuiSccNrn
el1wdhDRjC4J1X170YAOyf/6NPYtrvKp2VpT6x8iW9N/5mNUHVCbVHjIAP3aONhpXGgtnDtVQDnt
2fly3luvYIK/PrZuFn3U+IGJuhQOyW7UWHLv+Goqtx2I/FsR+RQdqPCIVWvZAbocDupTmcVbym1x
6f7diTr/+Kqz6yT636y9JPyfrrpvZ+XsN0SsxPXnPi7iYV3Udvr0/rc9E5FtYUvUn2hzAEiYv/1f
E8f5q8/whSPuYwi079NJ012M0kyecxa61cj+ez/fH/HMbmK/atitMjl6fIsRPZ7SEGSR+vWrKlqx
jmjY0oNZf3wUx0SCgyvVQeh9ESZ7JKjl5JOFOUijb4oJNUQEKO3tvxgF1yqdk0Hkn/Uh/l69KYVn
P6Qleit10d1pdBg2eGSWF3rvZ0KsTSSaQSwEaWQoTkfBIklDeYmbhcTC3GlBD912VPJ1j5nixycE
LwW8MXezZrwJejLTCktpUoFI/eihFBR7MEan/EJsnZdlEVpJjkld2HBgTZdhSx2qNG3UhlFqi7qW
ChUq1OKN4VlrrNkfgzHkZWnYd/g2XwiYZ5YSRAXaLMwNz99lKIPLgv0Rb0PXnMFphajTbTt11opk
WrlwWc2X0XKSugCLaePTMnvGnH41mcayGbjK3S7Kt0lr0UCiIBeofutCTb2C2nkJF3fmZNH1BYso
yXi4FRYBVDi5TTG0gbII+cqFjlbTKEJG9P09f24JTcIzsHfCtbrMc3QrLSe9l6YrMswCMPGFJ9Wk
1ae+bY0Lh/jcPhEU+8FpcwUDTjpdQh9vhs7qFdQGsVo8OL6tH6AZ9zuH4HID2QqNEyVOnqrJ77Zq
YaoXhj83U6DaAHhBhSDZMa/3X7ExB9GRoVBMDEktrj3FTI5IXDRHimmXNDvObRYhHBsPHNMimV8k
GxndHboVHZ+u6m8HL3sYQ69aw2v8Y3nRje238YWv+HavABOGnIN6FXqGgBJO54ZUJ1R9+PFu76WI
qceIysEzFpv398q5UWyhIUdi0LOHAnI6ygCNFan+DBykVqRrWTf6Nk8AhL8/ytvvJPnThQATAJ/o
DQpZ0KScfL8w3SovrUdouM5PpBGbX4k3TbsLQ82/+PRUA60AD6Dzbge7Jxd7QsdEh6nygiE3pFnn
hXbRIgpqTMY61DpxSykRj4AAbV1afqIzKIDxl8matrqK96rZhd8mjz/FtZw8ztwezURlhTJF8yek
Yzxth76U9SrSWuwGDCNNX+I+8NGqsJKm2+ZOFR5H4DLxWm86DAtCgLe/nIBCMmRPFdllQJnIUDbU
iZ48ynSxG1MIz10EutOEvkoofgCka/4YXIq3QmTRVxTJUPdR1K6lHtxbLWrNFaK/dJsFOT3tl6ze
+vzil0CZWlwPs1DcQJP1mSOqzleetIMYOTjMRt3eqeE1gwcTPgKpYqCdk6BddwE6eWZLaRApSNRU
MkXQJ6dbKhlotgc+9OquFvoxbYtv9qh5hwuf+e1X1jS6BxxJHqtieU3ERZDXIH4NF4bneB0ZerZH
/iJY0ReuL+2oM0MZvJ3gOYM14QF+Oh8IUWqVi9DEqjLFccSKLfp3o/ApydHYuHDxnslzIeUZYlYI
AlHGqTwdDdxcQEeIF1SGbPbPvhW05eOkcO5gpCB6QnJGf1Q6qbdCFgBsQ2Tr4y8jmPXskMW7LxFO
urDUC5zunPbPK4mhmuCOBPA5h8a/omxbGGaD0B+u5o2eXA1VEnKURNncUFGPf6pZYh9LwWZzDRFJ
1Epqf/hU2llmoRjKmwHLExxnXRSEeIdRaffuywEhwAvh8m185kfOtBIqd1JQqjn9kXQacxAsZCxe
meo/6MBg910o4g+Pfv13P2rWJz+I2t8f34Uk/7xGDDhKurP4WDIAVh7kAEUKmvg3KaXXdUpvZI8C
iHLBSPDc/GYXOdrAjmMjaXY6v1iLIt5XABpEwENWtSdK4nK4r8L89yiiT7LPpwsreiZoY/YGGdFG
2BWS0GLfGx6a+BFKXMhG9+W+LoT+JeEfriYwIR9jT/yzxSg3Oex57nHApKezy7I2JwmDDMI11B60
XrFWAj2nG6WcLnFRzk2LEXSHPvPcflyEJ5vbbupA8yBnpfV7marsjoSXW4P8x8d3x7wXAWtzfBxz
cbfCox+jseMdhaaxsc25VwGMAGHY5jxO4wuDnYu6iNBR4BJSnSPj6QoCxHZE5hGPemhVx3Ewpy0P
ZuvH+1M6MwqCJ7yn4DySny8fOjCjtE6riU5BqaW3MQ32PQ6oyIT8i2GYBxoxABwwCT2djKOiGKL0
bIeBssYhC3TjBka5uv/4KGQlJCUzZ0ddEv4KC+31GeHuiqbu7gHRjWu/dPQLB3cOPIt8ROc5bYLI
5glKTfB0LqJXc4FAB3qxiEK4nZn+8bT2TgtRrVIopbw/pTObmyiEVyOFai6PJUUgmtrRG/CsRn1F
Gs9aLmeLl6DfVYH+8coWpVQe7+BLbeiZ2iIgDaYClKW3BC1h376pp8He2kF9SbX0zOrBeDB5oJHL
zSdpsXo1EK9o4i1jI8K/t5WqPQzpYD6Wjc3FYuAS9/4CLlgNr5GICpoF91Kd56cu7pHBqeXIalFn
KjIvRDss1r8KzWyuFArS91OhTb/CeNIeNbypAd/4bbfv+X2793/GuWnDzKGUAMnW5rV/Ou3JsAYs
jIj2IAumPZIrxUZGiv6laQLwu17TXzgK58Yjcqg02dG0RWzndLyUM+IlE7P2KzU7IFdibZ0+CD43
iBq5BGzl/v35ndmndERUhF8hT+gwbk/Hq7qBYvhrnRh83xYRF20NKQ9AkrSe/8VIVM90SiWwwZdU
zxB5I08mA5myGuirXmg4NEZdhnRm13+4dIFjIcBWUJP6axw+nRTNPUXz6fJTZjbvaiOTXxS/nI44
Zl/q0syffxFTuLgcB+XSmXmzDPYi0J1I9xip0rv4jlvh0ZbKCJivokkTSCtddyBO9lABLgH/z1wA
lLiocRlU+SFLL0591Qx9THdKuF0w2J+5izxXT4LpwvY4sx3heXBlUS3hTWovTj0lDcdWYLm4tkQj
2VamZzkr/vla8Bun+48HaOoXBEsKCOhgLGsYpTHxMNOJmTO2krsAGIUIYjBZNPU3BdWUC9vk3BLS
aZk7ibS8aOedbpNkmjB2wSQTEZdyeEh8iflJG1w60edGkVxeAORhaUCAPR2FZCsp9Ix9n0zBZyTd
200fXXwanB0EFL5NMw050yXNM/W8vC49nqHI941H0GniUwVbbPPxI0zVn+rqq8Tv8qbJcqPUlNJG
4pvH7M4MLfNqKM1onWvRJb/msxMiCMIDkXR0Lf101QJkdcnNSOinAthEjFLpTdQq4kK5eD4ky+NL
Fk9th24cNdZFtIVeggJoyw4YQCXv/Ur4GxthzG1nTNMBcTsBrLy4qdSeTZhbFyskZ0YneyM94N6a
iXOnc/RDDdtCteMIp7H6Bdci/3vYOvptBi7zw08Im7RnptQQ6sGXLKKFGrU+YAlButjZ46pGKBXH
dzSRB6PzL9yYb0MiQzmcXqpwc/xd3CiI5wdTKCYq1hB+A0BoKJe1ZSm+h8ogGxcLnrWNN8TcMty+
vz3PjMy7ZRYB4SJkTRfnuQK5ail2jUgt+NRdzCP4Mc6F/Zk3qB24AcD/DdleuJ5GnS7O+2O/vUd5
EJKA0aahi06P6PRb4n+AYQCvC7dBqmI1P8z2yJ/6hzGX04Wh3h4NB+ECE6lrclj0BBavGc+zK5Gb
lLSk0iKvlmEs5jXdx+8XHhczt4+CLmd+GbYoshbRkDAhc/SdlRhRyea3XAIdnJkLREVapSQFnPXX
IsxfFQ07D0YCM+m4jnLe3sJtE7xyqn44biFqxX8s+u4825dNFGHlSAwXgKlhIakbo+kc1xkrf1Xj
0nN4fx/MF+JpRGEo3aSqPtO631SNxkDv0546OTakIvuetBlVyKBpv5teON72cZFgeadrH77IGJSm
JJfZTEEUizDm+dJJ/GqgyOl7/jf03FAr6xT/x/tTO/OtSDOApMB1RMJCLsIV8iBmKDECcWETq1t8
aMw1TaFx/W9GISTzfOLNtxylyK1YiRpGqbLI2/DZgDCkyXRhlDPHlQA1P83mzuobxjuYayVAgcKA
a9JNG6qW0wopqGkFX7+/EHrPVO2IhjwEJSkNGfaSwN7TNYPCxB4vJXwX6F+oHysybhHfJbE8DNwA
LyHkh02tQdDuez39xVMVkDP6xdUuUYJkY1Wif4jqTF9jIHOJYX/uu0IWtLj/KNJDGz4NXZWVj+ZA
vuwafZvucYZU+SWo6r3/Xd9mkqwC54GCD+1SFvN0FL9C+BwNTQgN0re+GlJmV3E9YVWUqEG64oIM
L3ziM9MyaWYDiZ4Xn6Lx6YCj3Th+UfKJC99Sj31iTNtAROOFhsq5UUiG5oICrzZEnk5H0ZUGLdYQ
WmMsU+MzP+O5RXDwwsk7U4ueA7FADB81fEmX6HSUgS0zimbuYuSFeUyR8D5YU1Y81lUDfhmX5uxr
GiNJWqVZfoxVP/mFdiVY1b6L6qOQQXohyp05PlQaZqQYtSdKvIstMyJ6GM86M67P4/IB8kC4y62y
eTSbSb9wqZ8ZisuH2t0cDhzS6NOpI+zkq5UOtiNKm+A2RdHrxhpRZe3xx7zQLzk3FGUooCigBHlS
LYYycpn904Irc7v8YVsZIlMR1MKug6ny8eMg5jydYiBJGWWO02nBeho9gDBUNzSv2pcT5jaBAu8m
7CxliyTPpQbtmX1Kz5RCKzFvfhYuvphj8gKxNUC7Hp6ms4N8uLfU8ZJS2HIFWTPBg1vlQgfhx/v0
dFZ9QzNC4sLkji19oLLBy0q1/fApSpSPYgiRB0P5cEbjmHwqfbkFrZG2Xx0nNLzp2q2UWI02Q90U
Fz7TQuqAzc0wlILRWKS3YIHBOZ1R1tRYfOJ/BwzTRz9W7GLsGw2Ay9NgrNpKbjDzWg0xNucw7reO
6X2e8N1C7n2NA9mFm+Tt6vJbuOKpygvO1bKCoidjN6mS5q3IEjSmfRMP4q6xdzlY+A8Gzxkjx/pS
RQGVYRE+T6fdW1kTpyGIDDstoivHCurrWocK9P6dsNyU8yj0Gmi0vnbYTf10FCNJkB7g6LtlbQ3f
NDHWX0sze/7wIGxJy0QhhByTnXk6yFi2QdHW2BegnI41AUTClSlQkf/gKPP+YHvgkkiVlMFOR7GK
vsmGngWLDbsEfB6M1yJz4kujmPPC/51fUhLUACEYvKwIvrR3T8eBBQk71sBmDlEz8TMH0fitS2Xy
bbJy6MaTLos/TeEMn+PCc77jHVd+N8I8oi/WRy1MXuBrnetpKXamZS7HOwKeKKHdJ/Iq6QZVPuFZ
UcQrKytktUMrWDn4SPr7e0xlmrtW6ySK3TX9oAM5MLLHWYRZgTV0eJ8lsTJtQn9U9hjEGNpamUYD
Nx2OSk1xTNXrzYDPYruu9L68gXtfFvAHgubFQEEd1Z5kaP09khmw9LhDbBxCauV7Df0shleZRihp
61YotpmK8Dyi7za+13vbQ4t8lZOU+rdwKOJPySjHLx0kvHbViFzcBhzcepvEWYQ2NMZ2mGaqeKkc
VDMp0cfO0/RrDkPgEXMFhK4dawpRZC6NJ9VutO9Fr88u20k59DAytDTdDaQu3sYWQ4NOpxV/6+2m
HLaIaJnatnIGzTmWEaa/+yDU8+gQxQHazlAGTX/n2ZFZbA17cBQXEhI8akUrMmi9g5XZ6yISQbfT
gVv5nwN84ZpVZRVI9fpOl1ynA338ddZAWid2t/ks2oGR+sqyyv57oRbaFwN2RrfCHQg6K/YUzhN6
X9g+BHU+/UTqGshd7QyvRuBadQ9NJ74zuwrCaO0N6TNpCz4/fVTl3goOtmm5TVxI3EzCqlfhSCfl
UVcM84uOMjPsdWHFX1T+mn3edNa+VmIdlyMcOdvt1EQdBhGOR/iPQDUn6wa7GxIDxG9QIc9hkUEv
Ksr/Ye9MluNGsi79KmW1hwyzA4sqsx8IBCKCZHAUJWoDI0URjnken74/KLO6UsxBnb3qRZulWVqm
KEYgAnD3e+8531E82NX2S5SW+uMYQZA+xNhf8O6JCsN6I6zmtYxbGV2hrFqBZhuK8UDYgzoHOsHn
n0SzjNFBaLW8E+Pg3NRRZhzTZXCPiTRhCSxj6xvI5rwJLfaXBXz3Iy38Ds+KLXCkKuRAgNVfjZQR
UNJMjW+kI0Y+ZGnFHHZ0Nl7VWWTJri4mHPeJ4yQKi2CrvLC3ZZ/h5xFClA6Q30lwccsZBoCc7lpr
XOtdU3Pi9DrRNMVJOBrRj7BXaI9R/WYEJcajeBy7Cvz2yt//Oo5zXoTYd+bL0nXazmt6Nz3kap0T
8aybKV83ya3uhsmZX/s5Fy9Tj7InwOcatXujTuWnmWYDCSGTXZFPYpmYyNWqxf2tzYDWt0xQU/GW
tB4AcPdyvWzJdpmvkVHYz7JNIKhPcG2bPbnWfR9UgGISElqBbFwS/JBO13DIDOMB9+wqfaBjMQ9D
k/exD9UdznZuuxNEBhtHzy0yie5JbiOqUNMAdqHHwcv2lBqdWlwleIlG3HRt9rk1HacmdaixVr9s
kuVT3uFUx9KfYbH50qzKutdgnlWXpY0v6lCjPMROxizrqZVEG3BzLDnrQ1+OYP+tWuJtmsf286DO
eL3Jy5g9l8/iWBqpkyDq65zkVFuDvu56LRY2OWC5OQEN4PiMXCefOXxh9ph2DqwCB29x20M2WMdo
vCTwsNAOaTKUl7jDCrKfAVc8jmtufgGQqd6z/ndf6r5gWuIYjYX/eaw3+VJdP9UjuY17Q7EbNzCk
vrlGpzZr/did+ut0SXG0zyp4ByAX1BWehbHjUSZZfDMuJKxAyNDXAT55HuX0vZ2l9wjStN5yt9rH
psiftcSMb7KoweeeQANYwmjO+UxiNS1db6E8yH1IJua8a1aniv3CnZso6OPEuO6LRte3zHTyKdxF
B9qwJos77XrEvvGhEF2+xMHc14N+pC+ag6dZ3XJ6WNpovI21AXOckK1jPjbmuDheavXalwiq9Zd2
YCk4EVcyG8+2XXKiOo4ROeFh7bjR1cLzO/lT2epPikbAA+t/AlEAxWdmBR3pFjf007g3G6Ptkn1m
wSX2Rs3ZCDlu3t0mQqYdIotscEK9o7rxmtx1swBkzHKGkDquO2vkOOpXmtrMAYnZ5llJovohWQW5
LQjhhHWy5TB+Q8IFwUElzOk+W2bUGp+GMm/kselb8yO5lnXd2qdBNYq3JW7rxYskDuYsw/DulW6E
XWMbNOkBjwbp4gP1PKkRGkASzyUrNfFHQ8tOhkSehsVbd45Wr6jarlQb9QvIy8bcpcrivCgS5T7X
N+ffajPSe3JuZ33edzS7V1YZE2VvUsGrU9xKfsQz2xOxZmD9DmIeKHrheZ60/rrWKTdwkRO5jfRY
3MGeG2/FoBnxDkl+dDIUvLCASggQ8MwYfkKALbF+SSYSwUIHLU65s82G2oOQo+SY9KQg742m6GjO
4gGlNeuuGumpilsQ0zxHWdhMWXLba8A7A7awFnOus1iH0W3ce0fFIM0Xac+KpzJ/snZazJIRkHeg
3tZzolWbLbHGTlsZCs8+3szRN1VNuchI54IWsjZDfrBS6d6u0TjDe8ma5jzkc3seQA5IIuXXKIA0
QMJ7U3X2DTf6Om90Fav6qhlSRr5JF388LzMqv6tuzqroeo20iciifojEm5lbirIf5tpRrzVksWnQ
YTExv8y53echt7Xor9XBJMUZ8hUMCd2WqY4K3pb2XWISZkGsKVHge5mQzPAZAiPJe+agDE2oY1rl
KSR7KoVurS/anetOlh4qWST1IyVPNRzlKvIa22AyWfso7eKJOI18em6JOBqul3QwcNYSObN4cyFN
51DlMACCSETcqlTEVvmEJdF4++uj6u/KCKjmgpYImj3+9TtblJFlHcv5go9hmSpspwXRWmacXQt7
im/++qW26ujdaXUbrmxFC8J/Jg8/nlYV8gWgvhGxJlCZsi/Z9s5uDe51s3fnfUsI3QlIhX7s6mUl
cpD45b9+/T+8VEQLNPg2HeR7DcGUqTIj6owyJlndfdNbxscG4sfOydvmJ2OP39UyGyueMpSrZKfl
QPvjpcqsJGjOQZZcRQyAFc1cwqbu57/ZouD479BtUjH/MF5B7PbjqyjEjwBVYOfSgbsFqeD0NQwm
gbq92vyk9P2D7w4559YvQMbEtOFdN2RVnXztV+S7eWaSZVQYiGOtJCH5SNrGmYUs2aek7F4NqajJ
4Yucr3/93f3RB/oL0R3BCQ2gd6/fYPEHp05x6DpREy5LVAeTxRj1r1/lj+4QbC90LbAOIUF6V9/X
Q7FSSU3oetuqDsxZwSgsOFiQouT+7TuE5jzDDCYQSKl+VyK2Pe7xtnSQdiRuGqxMBa7sznK+/fUF
/f5j214FXwM7G92l716930xUNKFxgqHj5OkJump9dAjrnNP+Jx/b7/si2mYJQQzPP1hgN+vub6Wo
SeKgPoh5GaXLp2vqbxGkVkHI0RrV0Gu72jnP3Txw0hjns11oSlAt0IXAvKXT0enGkUZzDPFCccuf
DEO2R+DHNYdJPvnKzI1RZdBI/vGdFUvTgTZDQWOutvocj5ayV9mA90PEEd3Bo0bwC2y3/4svV0Me
tEmF6NS+B6BG7jJUbKnbSqeVPtHsHOJnafxkPfujL5cRhMZIjlk/iSI/XtucDVPPygnatSycfVdM
n1R1/tnA4vctBrypNGbgB+I64nJ+fBE2tMSJbfYH9PukUPba8LmEI+ZpXSZuQWfNv1zU/3fA/1Pf
ZkF/boG/T8r4ua7ab7/NWv7+d35xwfNsfaBDJhzGBpupdNu+fk1bVo0PtI9ZnpmxY5naZjb/ccF/
AATEDzPPwYnjYNX8rwv+Axsskx4abjSRGM3/LRs887IfnzTQrwaWNLE1lJHpMfP88UYpMrTnSauU
4eAaX6vuZsog2zeczzxOdkElshyYT6pcDkmaBybJtJjY4o+6WlB/N/I1RhgF8/sNXi7xxI3lo4/U
fXO29+Dman+088tKmAccfQE4FJoRZOWVFMo7/AG+QTwnegbfgTS5q0TOQXkVR0XJ2SQ6czcnBHBK
xTrIorxB4H9Gsg2b1okv4oy44w2+b5TxCuhJ8DsM8zbNxV6nPbW9qp0WcC6UYLX6q9HkaXYsv7GK
wG1dNnb7pjW6em/n1X3prrkXxcMO6C4QpPpGzmIPMMSnmPoCbPtA4NIRXW0JXHG8speXvikCI61u
oAeEsXHXK/0ONujNrPNjduFX0jrM5l0Vd7jDZfSgZkYZNq0GyG4082M720f0wBQeSnmD0zhlehm7
oaVWJqzFyg274aVSXzIuRdHySxWwljTuVIT/NuAcXo+z+pUmFDDJJkfu6ibO1XOztqFNgNz201ji
QjrLkItC+iEnTVvu1xzIEeNl3426z1NlwaRM1nswcRAU+ytJQaak0IRQqPurSnOMYNQeDYZnKp9U
vgzekTVpj5Zm+4l6lw93ZXWn8oXi+nlstNtIjU/bC7uJFTLjvNCt+i7vq51YXxs5fskJ9PLIy8Pq
ZR0ydKY8EPve7YBFkj25tPfg4HxtzINZENDHXdHjLliAQnp2rwRFZh0KKen8pOMVkLovWWrmmMyL
U1rpR7YIfwF55I7u3lpsP2vifTXxHYj5sXEyeI7pi1jcB9mrj9/vm9zkt/Ezgpw4SuYTUcS3pWXv
B61Wud/yAcGHFVrEgG9Xm5bqY9+6D3k1h1lUBQwiQwq2sIGbu+jjVSmmC6f6pJON6zLIGudg5AkY
HXEsEhkqTXTRNfDl2rIBmMTUAcwNgWPBBPkMeP79CEDFovCa2vpK2vDPh+TVLAkNrkxlK45fkcvt
s+HOWIbdWsmLMu3oRbbOMTUbcPeJeUEcGdHgiz35y+Suu4E4Qa9IxRfqkOUOZlp2tN3ishgacb+W
jbgs+TO3RemYIWm5KGxZAoBLrF1ekf7WjSVUFil09nvYPyOMu11HyMGeFi/hlPwYPCl8EtsftuaG
ISCMUpJoHqpuK/eNqCk+V3WWfBUwY4t6+Izi6xv8KwABwrwpeXC8Tps7ul/xcgebswu2N7QASzrC
QeUuKOzSR2b5ZpcF6wyn9AuCC0lGBfy3ExoZqXRe8JSadn6B9bMMCVJNjoBGKzDclSQnUFfCpFQO
GWUnbUJS0xwa2QcjTaybmFnnfYLLPEAah9XX3ddU9JmzhiRN+Hmb7NWs+mK73QWnZH8tCbSFESoq
muqzG4gCRFE7XmBO/tkp7A9XYA7HGk5IJPr6uxV4y3s3Y3Oqwgh7s+LcjS5BevaLqArfIXi+ULO7
fCk9VVkfFfen2If3h8DvGwBnHVyfGnMc5oc/bgBGYcPxY/wWaq4ZFm59qiNafbB59pJuXVRFuSfD
pDOCbXWdO7GXq5Yc2rXviLyDZLnMzQlahvDnnv40Td63jPHaDu/NwzgEltI8CJu+U7GKcwJMafst
KaQMtXhQovxkxdOtPSefa6hwua0Q/BrlG+IuINPBU0sdBl9d3gu12pfxctqW5T4nPjkZvTwm59O0
jxb7kjLaz1jVLsWoeyYP7/bgrL04llp8UY/xRTQugerKXZLQ7qbP7gzy6yQ+gt+Kofw5eXXMYiCV
8x33mDfaoDDb4SU2MJ+vpVcNxY0N32IjIpJQ4AmsiommgRm2wqGbHwk0vXed7M1KzTNKunM822cj
FpduNJ5csIseHS51R8PWVwqYDpPKuNE49H3ipfr8kWXrODaOm3kEwkdvte0cZ5ZrJSmC2GItJq9z
yl+Wor7fLoihwF6YpxagmNcVxWXflU+iKg+WG5DseNa79lQbt785z9z8cur+R8lFVAmT0H/9891R
8vsNwvyQKhKHPEeEd9VVlxeWO1hLFaZDO0MaLHxXOq0Pwm+vVtrLX7/Ye5XE91ejVkUiAcwAmcS7
ilHtgKTGtD1DZmFn0uZZ9TLNl5O8BYnFM1gPYdNAwTbVoJxjn5pgjn52xd8v6Tflx69vgnw/KjAO
0e8np24Xm6VDlglS4gKCVnIwltZTm4hTRcgfsAxV37/QbTtr5kfAb1CujIBuEQhPe3qpJ3tfW2wW
ir6j1GcjTT0QV17L/8P1H040msm/85BjhYlNyrqiniNnvZEdVDMOCDQ5SNKeqmfdINw28imUyKB3
dvpYTl5iPET6SSEIXJuv8BIeUvlqmi9uot6o1hSKXKdPGV/99ffyvVJ//5FAGmE4SvDLdiv8uEyU
mq5LWKdVOICeoVF7NGLVn+2BnW31x7wNViPex/lFJz91Wrs35wIAGX3hhcqV3TK5mO2Iw1jpzal5
gFJ02WmS3NK8DKuYhW567ZXpzrihaXlhzuq5Xse7pR93f30V70D7HMI3FTwqXeASVEb4T3+8ignG
SWaSGhMOM8nrTXU5L2aom8WTIpFu5eOhNMYXbXIucusBldZZtZWD2nKG7fXnEhgvZ4I5DyupH+pO
3Ottf55HzpzaeNQbcbWdPctp2HUy/kk9/F2p+buPH1AMIDUXC4/2riA2aiUp6ZxUYTUYL4siLyxF
+KkDk1ubYtCDU46eOw/6xTxIV91pzCmapg7KRV29qYSSl6/fF7e6I2GbQ8ZPNrHvRevv398mKzdt
gSf9Xb1p5I1ht3FXhYiwOTz2O81kMXfT+oucSzDQ2aWhlazB4lya5jFVNJJoOh88kzckrOercXYn
46Pdqft6uEnhSWrd3ZAVgakPHMOaW2WNvKiVj6hfQuKsAzYzgiuBkdttKKE2lsawqyrj1tQ6b8OF
Tl32FS74wZKvf30L/eEChd0LcREwC2wH7/bL3F4ZVhZ5FVqpcbudxnR1POjR5Qi6ulCB4aX2YUym
q21HWRb9gIzk/idv4Y9WZLoxW9APKmjNeXcXW3Xdt6TpVmE92z7BSkdWU/D2L9spW0vkhdblAaXI
a6dYO2OIPeJrPluptR+wy22nbDvOfyn/v/5ZENsflJGQCFTEGSjwkeqp7z4VCBnlGK3cn5Z6CYSM
nETzRrT2HobhjaiS12bgq876s8hFkJk/cQD8wXfCq/Nt0CrjTaCfffdYNzr9WgTV4czBUyhPhD1b
JSdIoQRqat5SpzoESK+8F0z8F8pk/8T08l1/8uPt/+MbeLc6NuBqi0Zjw8hWZjsF6hTHCmtqF74V
E17ndpopbd1zKk70aXfMxi5gmlbYlF/rchiseVfa1yvPM49M2LZft1U/Bne/3dcO4ISm7kKkWP7S
iTOA9aDivERy9m4EjsMh2PW/32J/q53zUBX88z7Tl1viK0kAbRLL/t9/yjzcXuh//1j37++/hEi/
DSD4w38EaB765Xb41i5337oh7/+D9Nt+8v/0D39FEj4s9bd//fNrNRDszW+Lk6r8bU+GFsqfd3H+
J4+/tcnzu5//tYOjfcBdQht2OwhY+C5Ye3/p4CjOB1rrm9yWDg/y+u+zkV9bOIb4QI+f1Zr1GmoM
g5P/tnCcD5s3iu7/9vByrjL/DsmQmQ93929uPvZkG9U+UiGUv5u5/N3dzzfFHZElp2pSmjh7aNXO
NK9GdbayUfPmRZ9AUzh1pLVw8I2obNIwdteMJILtchXXq91J6Y2z7i7qU7FMsdEP0LDQW+3E2Blx
8bmK+9kFTm8mCxMKNeX/tc+pHDT1FiqzypyxGJYE96g1u81YPsk2d2XG8FGfIZCS8y7Nj3BCJ7HL
NTIQ7o2utIrdVAzWuJvXydp41djvvZrqDLisHkH01PJR7pdKXe+XrMsMaKkyPttZXyegrDOO4BUJ
NJw8qpEmFOPVJqxSUChHM5W4fTQ7QVU0mpCNvbVLLWWnzauSHIRT4kRqXG3sr5aSTpPimyb6ifTJ
7GcyuAE5t6t9EPpgp49mpTdqF+SjmLT7DTnrhB285Jg+RDE95G7tdnRh+sy9aZLJVQOJeqxgAokt
fz/1g10eCofkBFLv+2yPe4z3QoKLRcBFWcOdbZj+FruhYkv1TLnUh7lGi0I1UlB00HFstFBbTCfe
1SClx9A0OpsSYu4Vu9g7Dkevcd+3WQd9t2P82hNxjjcqXk8NxqBoY7rVpnrKrWQ+OrZi5Qi4tPYl
y+Bp+UAiuyJokkIOKkR8HXlHszdIOlzYvxSNjPpTjHoFTQKVaTnfw8cW8U3R8mf7KFZArgg3m1Ef
WKtWcnONZVOcVTepUETUiMP2heIueAwG9MyFZ2iDqhwKophrtI7F6PiFrtjUNQpKkkOhMbYGdq02
2T6zZ7EGbgWGBIla4467dema6RSvdnduLKdTQnWYzSwk1LWYD5uWxrnVCnddgjyH0LuL4rFp/G7E
lOZPUJk1Hx96+dG2F/uWsI/0qc7c3oHl4ugfbXoVup9mor5ZFcIzPGIrehIn2xa3BxsvkuzIEJ7b
mYR9DFa9lX86Mz1PQ4z22DujNI+qrOM3Ie20DBdNkPQAP91UL6NUzzo/h1Vc7VTZ5fRIGdbmOxkV
Lmkmla1c20qFqGtKp0TzlTZ1weLWufxMPPykBwjFWjUgiBQM/kai11CLTl20V4u5+wqGMdZIvFeq
jNsVCrBWW30JBzmmmZiXqtvtZw5YOo202v6iARZHloQRD9yyPbErxgr0et9hIDeid7X4zkScDMQg
FNKWfpUCtPEmKZTWI0LWfu54TYqQQnnLyGOwPQhbzHzYhXMyWqD6UpP1yLG8tnOUeN/EZXrnVlve
R+YkFdGs8yyfmNRCFnabtZ98+OFJHBj14D7jJROEtpTSaPZKy4rJ3LVqOUKUNNsQhuWPVpUJZEJl
VyY+T+t6Udpd85w6bLgojjbyGRgfPt94ClS5muMpS2BoB1lparAhl9W0m72tz+kQrgOZQ57q1r3z
LJ2xcE9KB8+OXiJFLP8yedbIEmrzzn4YgG6r1xGZfPktIgmrH3EGREj9XHfsYRmjrBmi52mcvu/S
Ua8MGVVZLOXr3LBK8GCtzepLgoHg2ri24q7WtYM+aMZsk7eqgVgu1rNPXS6d8uAqesMELuu79h5q
cWsFMkJSdyHWocq+kDbiADer57pv7jNpiHzXjmSCsOSaY1PER55PVm/WC2ddnADsQlXs5k5blulU
8CI5fVhEOYOknc36HQCnUsSpdu2ofozS0TZDZJLSPSckq+Jz1nsrW7xEEvf9uZjQx9w6EdnXRPe4
2QTILXLM+jjrWi8+iUTv9cO29BZRMDhKQjeTQBcnfi2Aoqto99aFsncpRsVG/6XPxl62ZV0SvWJm
1C512mY7YypQK6q4NAHVlqXz3KeJ/jQS3K7cj6O1boKOwbw1cdxON8tcaM9yJZ5nt05krwTDuCkt
jEzT5Wet0AiRZuJLE2rSp3z1KKoHuZMDmTRnBDPLFA62MZgPrjO0TmBWto0yxpzie1sftIdc3eKX
EGt1UOeHWYLAzhKR+gLlHqGDuoESUPYiugSePSVenipFvDPBfLGd1Po00qyy6oYHstpGp2aT3dam
LouQYKnp41gRV7Fn5tckxyzNpeutE2I6b3CaJAr0Qc7djvSrUZBS1QpR7DTQ/8YxyitiU3zZqvXo
9VGtPUVtXjow3RVLCeOGp8fPk7xpw26JaZjPfUa3Dr8amAHLNlGoTnURVUxNla2nCFqIT0VW+R2k
ndTaWWbS7lVzmuNwytk6ED21cXwopdk0R5FV2gM9S82E5aUY9pXWmYPpaSMWvHADe78VztDYnhW1
2hfu46TznC7R411ZxDK+HkYN4VIiigjl+dTUVxMpaR8hs1cZEVO9yM7LCNkPmYzjyh4Ep9S6QKJ5
o8+iJrl7WqHj7+OmqcpQT9J22fTyksQDRFSOeQ9HwkLLn0q1vYZZZ6pMR0zJ16KO431qp33P8m9q
b4OTMlVKlHwydjAtuyUoh5rRa9rG4iZPRyIR6sIFBd/M8fhAjHZs7Mwy2Xrzrf0FLEuLhs2y5ez3
6TJnnlxLviMx11oUxBs9djvd2DLIOAPe1WWbEXKiF/T0DYeTPyEPpbPXFRpU2lwPxmmoS6cKNE5V
djDqneguOFfN7bWLyJboUX0dNfPUuM2cPOdu03VZ0Dta5ERemtrF9HFOpzYNM62Kvq7VloKiJl38
0Gvuol3EMP/Lcz/WzfC1msX0ZkYaXylGxS2ACWG3JLbRtkZvMBscFrRBDJc+FrrHpO2tOuyKFlx+
nRpl68u40PLbiBALWunIRcQedB4nv7W07QoBllGMexQDs/Dsrmz2yOSabhclBcpEYkEyH8Yq08Ah
WRKwqlWOTDkryETyK8eOn7WCNtKuzNq2xaxdKeLYu2b2VOvr0l8D/hT1nV4sfXuvSKVrQ82o2jdU
hGsTmKUeRR4KuEU9ZZOT5Pu60EtBbAskt4B6wF58Mlvz9JQ4COaek3J2CQwzFq26WVMj04ME1bX1
uTSyjvRkB0P1PaRbGSWJNxEjli1KoKAvdRoZ0uGsq5lkhorL6Hh2FWNINJ5CVTJMICZzjY3uko5E
+hYrlgohN1WFDBGQpTl7c8uYQGmq/ly36oppkGb1NmQTAB40Z6aZ2LsVPzLlbIknSaSDwQk9TfJD
29nmFTusXCn1GlTECiK2T2ueZbecrpA9iNgYNOaVkUMLjjsLPka3wN4ebd18Qs9BZ3a2Kj3yM9UG
lT+7nJ79jnb+M5JSo6cC7c3KhwODmWddsHd7bHDTlRjH9nooiRnwokgbnzm1LPM+kTK3fEyizRdB
TfggGvIK/Gho4tssn/R5V9nwnzxbK0iTaMmCemJFbJAgumhvUTa10T7Cw8rRyuBz3Rsk3H4mE08d
WJi29FACNiBFDIaavhmzOdZhPRZd4VWp2T7Os5H1Pu0k4itkXmT63onb5E26nBT2Q0N6AkxBUAoH
GpY1QUZCV19w/0y15wzR0vhtXC73JA9QPBOBZLzSF2UmpMaTWvvCrluQq1XcoEsVCft73ObMWxg0
roe4GOMW94Q5wqdTFY0oDTQ/n5eK4CIf3bzdoTMiw4hwwcbcokPUb2kU5aOHiWFoGZNAWwpNZRwG
L6/skYkZhYb8peH2twr0P62+f1t8//u6/lbeQ+n/1l891++r+f8H6/SNcPjnhbr/jer+Of/H/7y1
ydfn8h933+rhJU++/rZy337DL6W7Lj7gykPjZOIPxgu1wZd/Kd018wNbFwU6LmhEEaA9/iu+0D7Q
yqKqNqnpBa4m6v2uGnr5r3/qH3SwC/C6LFzayDIYDPynYfHrIIVex582zehLbaX5b0t33gDCK7gR
DL1BzL43wDGfFmiX8zDBxkI3k6yAzlAOfU3UhUJ+2MFs1S92Z9TMKN3hiwkdbNdMdn+NLLv6pIlx
vm7jOiXIDJ3dPo409zEzkxejqdpot9Zjt7NH5tVb125XfA9MSlrV+iaMdDlZhWbvvv/GuUnmnTIw
Zcp0bbd0pGR4rWCwLeeiT46LWWIVYtt8jK26v2wsI7sz0bNf2lCbUhaUmr+dKkjNmza9rlDdfoyk
XB7nMRVkd3Sv5qLxG8FXymNnpeJQMxK+mmwJxFPj76rLXAZulJdXeQnBN8r7a0mM3nViDa9p2gt6
hsW8s4lFPKa1qh6MvHst4kj5lJRFf428msOkJqpPRNaIs7RipCxSGY8Fuw/y47p7S5TkZSQT8rj9
TWXiN6LJsB6UYXpt2mi5GGs3vyRJcHmkmumv5xnQIUW0OCRJBiVrRUMQ8wGuwsiuW2ddDUQrXIYs
hX2oJZ/T93fpLFN2rTIGOE9L/Tol/K2MVTGu8VElHc2UarZI8lKxG8RKb72ZqVp9cgeC2Xx4A/31
oBXqAbZrdm2RmnXUNTnvesFvmIX1xrc6N57WchGqQqYRJb+mhfliZh9ZPPkACqnubRip+4QslXO8
vfFe5/0uUcvpvFmya8zpFOwVd9x5tXWuROHts3SqFwPOusxf7JzciFbm6mGU+RyU9FtpwzeCQE+0
0K/FwO+cMiPabGsE4W5wQRwKKDXg0Ios3D7cVDr2AbAn6YU11ti3VOQvZMvyisb0WrTpC4Yw3dcb
qzpuH2tp9GDnTS65XPiA6QO8rEiB8Jnwoizq9pvjLO2bZcbJ0WB1PeSLFAccKa/GHNln5OkLmqDW
JMAK7z9V3TnrremGoQdhOh0jEX70UY3UGy2PKuwrDZIRgRco9oapye9bfK5BKidxrSRNdqH1URKK
cSJ11Bk051HNNJDEUQs5tqe0qjvDuSzQUgUxLNvRc42p2kPdUHYKj+25gdQcqPUcXYB2MK6y0gUA
rA/tE2Xf5NvmnByx/EkfPTCKHlDZGapLEb9yzrUOpSjRKpDBgylqcIxXAzWQRNpd1TqT6J70nKil
lV+t3RUZqrXvQL7+lk4WY8fRjVPcOC7Jua2Se4zAuuuJG94hi5bIrFmrGb0bVijMzL5t1Mn4VA8O
HAJTUMfGOgmeubFIJJY8CKBX2gsnt7RDrC7T3RKL9MxdP3xqpaIxbjU3i9rQjLuqUeNzZ2v1SayT
utcKMnjsrurwkmt2E1T6RMrY0kR0AoTk1urdm0FNsl2TZpZPp0e/yhZ3PceEMwFk5vBjZiOGuURV
fSwAqaQKGiv6Cu54kCrVoReVsRNCHU7JHE7tc28PxjVdgulerSKkJ86g+qsl4hPc+Jx8NrpjV9OQ
GS8FL7tf5tw6DkX1dRB2d6exVCJjH2frxGSbRODSPduJoezKmEQqrekeNNg9tAKysg0MNTLgtNcN
77DEsIU2wGNIZ5G2pJtHBX2Xj4pzOo2K+ViRbn1DU1Q7p3aVfMRl1p70UjFfuq7mWJXpKj4gW5Wa
VzR9dio63a4DIN/GUau1j51qJ5/cXFifhto+GZtmm26JfBBJWQUw6h1uOKXZrVqxHJJ1oiU1lbI/
mWUXPVq6gsMh65cDsbFYPPHKHNrCIZEV6iinzO0gNaV1dtHDeLqyWxGhIiNYiQC7kYMSzgnKRWym
Xpfi3qphISR+zfn6ta6jb21P31Iq88GQmtgt+Cvvhy5xDwMdURU9UyV6tp+U5tTcdyjeWvsTUX/6
Ues3fVc7Z8xApAi6QW3PfP4DBUiXu2TCpteA78u90zjNx3giD86eNeskKzW+ieNZ8WXUOzvcjPPT
bIjkAgsJ2qpucIMui1XPmhsEh5mODE1vJm/g+O6pld7iuBTx8zqgHbZaSe2now9TV+VzBnzP8GYq
Dh4VytAT05aCeDYCmYkd1Y9DOds78o4K9Fplh52ShMqgKdD+WIM8xGbN4w2i5+toDldtiv6i6rle
YgQv8pnGDnXHiP5vcQ91lOP+dP4Xd2e247iSrecXMg84D7ciNUupnIe6ISorq0gGZwYjODy9Px0b
tmHABnzrq0b33p2lUpIRa/1j67Vnim+d7aCW4Vr2Lb8Oq8hYjDp8RuccD855ASFAkzvYPFCW1z/n
ZpcfGEomSgLm+zKTTsfB1P7HoJmnjSmc/hhLFjIDdK/ItYojevf6TXbR+k5fTXhe5sy8vxLOQ5Bn
99QMd7FPo9WANPqZj+LEZ95+Kgq5HLzV8I6zVTSXdGnXA/0BemsTW5ggWW4SZaQBZeBW9QDsleEW
kP2+5oNsjSjkbDVbXgjSAY+DDk6sZs7J12l0s4lL3s49dW/d/abivhNHO3fFk5Fl6AbV8pB5U3Qu
xrX8UZPVAvfRm1e1zWtaV5zPlj3FnWPXfzNraa4+vreNXDqeYnqud4Na20dEPi91ttAzxuYR7Ooy
nf46Q1ZHG7YqQZC4I+UB96p9DhvfeDJr6u03PKnBCQDJokZR97eoK80f7IPBWVIg/m7785exSPeM
65SC5dRVzS7yCuoOpd/SAsmh5rc9HcnpOvE4Fu2zg2+aVjeygTZ2V6S3se2fZuxQexsnBa6PHsdb
C2WXksa4GQDJPH7+zjPqR2XMDekQjX4Bzq1pEDWmfZrXty733sslmB8pAtfJMIJHpj3NnDk1ky4X
rrs69ZV3dYmJQHQ2MnRPE7AeGruuvgVD/ygdLgAW8Ndc4Aur128m2CVJ5yInRN37FaUWj+kYOlv2
UYOXlkYI8JgIYr56cYoA6/MQZdvWm80TxTNkuIrAiM1olO8pUPCZk6bZWpNj7VpcVhuKj/X3SlEc
asyJPqY0LIbb6lnz0ahT9yYbunoDd46eiy5C0NqCHOKwXf9R0XfCkaxfLE+mt94ujAevCfXWBc7d
6QytSN1zz/kTEJPoQUq8oh9oYzaGrTYoD80nZ9mJxXd23aTcPw5qvm2VB0u/XRxMJdUo33wuN7JV
ZpzpKS14R/QDC6xDa9gTbw2sQFj7fYI+0XwL59r/g8222jUMvrEXyHwrI79LllTJvVrGfleQmLhz
2nkEAAmD2FSAq7qcT3lECO0G6qY9OeiL83VyYuBqfyvJlzwJ0dT7tq2vlYusqx/8cR9pSYuzwTkR
FtJ/Ix7rQ8CTbKmf6bdY5IyjX4/d3sNJCPq61Fv6d91YVM4Q19qjRdmYnua+FTsnAqzgcphZ4YMy
MXqOOFKl10PbGMtupUQ+1gThx2Ez8KLlujjrnnr03p3UIbTImaDkvdgbbm/+LHnp74WMlo0pnYUG
Vo+W1UKtZ8+u1seZoaDBxvcn8+saoGn4JSPaS4mNIreVeWXvAGdeSB1iGtbhQ+flN2NldrNmuttJ
OTJfqLW+jX6ObdzO7rXbC/SZYLvbLIGttzoy5J9oXt0vZH/jnzRfomPTaZ4uOD/r2DRTaO1M2iU5
x0vDuQJtGsXG8qA/E0er6RyF7XAM3Mp55I3tjtbqetewG5xp01tj8WkGsrx45Ik/gKaP+OIXb37V
IFW/yYA1ks5u80O0cqQoaVmxRWD2ta6m9RyGNVKToSsAw3BRtBuQzP7Zc4fmqY4M4wu74mDGpuen
+8mRut1yqwAJunazPOqsN54Vryhdk62TfsNepAdmQvnupSZwpU/e1tEopPsGd+3disgfMRR6/Z44
G+qlKFQbgaC7MHycos48BIYJxzKgm32iGYbwUcdPqSqQjVbHtQ66b8evA5zuy3r0Cq1B3/wsf/S1
ve7Hlicvt0K1r/opeMc8NG29PJ/QVOrWumZRVR+bNBKPhdPA0NlamnefvCOueeldibDKEz+QK0V1
fZ6z7pASFAg7T6Aoq2fDQt4zMlj5yqWjqqt/lwIEppZSn8O5KbZBPoJC4S2nQqpIMc17n7MsKAc3
rLcaQ0zcBPpn4H/aZoh8eX4XDmnu6YtKS3cLbVze6hWJXB9ACHRi3fYDfc3kCegL7aXVRWfj71LV
Fr9pZexmOGBILYb1lIf2R48uvFitn4O12xMNyQ6D+ntZgiG2p/KUKX/aalVHcZj3xr12l0QE7V1n
IQvSCtbpu/QHUijyxf1nRZ31NGVZcYlsUSSqITl5XWCvZsesD4w/T0Gz/ALyG0iT0dl15n1NVqGm
LTyEfwosLzs1PSp24GE7KVR/mWtiuE2W0mTIXPQ7Rr4CEarysATaek89OAE/QMguDIg6zx4vgJI/
nJ2oQ5s8xODt7tohp182qneVEb1D/L9iZn2pR6/ejT5QnyiW1waFtjng9mk0oDFl2tTuCverm/L1
3KIPf6TGtHkzcJVv7MB5X5X+IlSveVSkTLEHWmkMubdeu444nl79FJ3Xbsva+p4Bc4nqgZZVIZFV
5kCb0VSLaiecdXgzjba+wDrLI/lWMIGreAFiOAagZxu3nMpPSIdYi3m9gSA4qO2HbyKSvpv7LFWQ
DzHM3JJRSrE2k+1JULcNkln+Mkj+iEfLe0kpmZ8bnsG1vbXm/NVOrd758/RYey3+7kAulzT1jZM/
hulu9Uk3cKwuWdOcv36DO1dZxgct8xwwxnqZYAY2pS4DjptebCNZ2ldHdHrbr257KjOmydHsvBNk
E4CF21X7MBNIexE/0oiMdlDMOJpzc9l2ftYdV7vCqjKqCxbv9s9MKgtVJMSCYrG31iTikkuwfM2v
RhaE53DV0S9i42SiQ8JKdZWdehMwdcSBY3JznaaKJAPPpC+cIDCvpmWlRwAgmIVjYCBKGAJ1nBan
R2gnMLm35HWlKaaCWTVn4Ue/Wle/rIOLRy6yr0URnelq/zd56o+T+bumL0/YDuH0mCmK0YsubZOe
C4pRriA5eELTfQUMZDjiLPqZk82sa1KZ6FBFyfPeVAaafPEmi266ut1iPBPtGsaW3f7zS7FTg/3j
Gesxi8I8oWUhJ8OlfFCqmwBRiYVZZK63o2V99Gb0QXJBGo92f9CNd0YslbJ3R4gZQ3mqUkVeC1Ef
BeUFL5pLsuSBoOnW+CrDGc43KjHfzNPnhHOoNqyQ1ik6KXx4aENkrNYKOb0b3GBJkL+FOfWRolaU
+qK4CBHExNTGjqz06z8ecKB6+qy5A8x9WqPnzrz6yYlctcfXeKKmqQMAqN5MK9vXRGBt6wJKzO7f
jTG6dJjcT7ap/oLP0YHdLV9V41KgnkvnFd7ng+CE9akTJoo0dBr9JD/J3n1qPetv7dYffRR9T0v2
T7jhRd+zYhwgYyf6l1XWMeyYu+2KGI6sHqt4dvPnVY2/87afztO68rR1jsLAJI/Z6A+f5MnADVhW
eRvJK2NWNNNLULcCAb6D7CbLSwZN4lzKChWaMfTRgRuPhlCyH/dulSdERyNwVjrGab/XXX2apbMf
WvdUN2SGINc49Nn6g2t/jvk4ckPk7plYtS++zJexyQ8A7Q9NmM/bvNI75VRcq+pY4A6LqVkFESiH
6kB2cr+rmta/NcqIiWqGwENZg7QqA2ei0qroKEY3zW7XImjLIILQg3xlBEOAebI2VcHjWKUkZdWn
UPtH4h82PlsFeSEEGEX+cJrz4r1au42x5HQKq+y3jyi7J9eZqW/aAzalb8GIYIEenF1KRONGI0mB
P2iQlxq02Nd7fsqzv4qbXWBOWVfvwU3FcZwHDDZh9SEy+aw7Lsq0PXsmg3TUozoV6xtyHgrI8sJI
MpjiRLr5E5Fb8J/l8m7P+cms0psLB59mjrmvylzHURkd86xM47BQB4IdsleH4u3Y9NWXn8oz+zCm
maZ2Y7+18kPHUbaf7SzdIDvm6c1zIOG2M9PNulbB72EghaIsBVXJAb4tgtTs7pmGvjdAQmsvKQs9
5djE4hGj4R4xRV+hAxDyfTUakmZU3gJgQFKw/IQCOVjAqZgb43qlBiY8qtYcd5pKTACHPkjsCVpt
g7+BQ9P2rBOSrOhvhUX5mAb3Fp9czt9jS47JPezo5EZSX5lUm5+ldKuPNcqGo7TW4jQGIMNgBLOP
MGmusXgMef4nlbX1BcTmHqpG2Y+kfsu3QQoFX7saG3sUKMaB6U5VUC6nrHUTRcHA/SO170wmQRy0
rD9Wz7qHBG5Jlnb8u1KFfea19XY6aPiCl2zZpaE/P4YqIJdGtfJZks4JaDT6rHI52vWQ/JitFQzr
rSS4+rrYrru1UbQ95j2bsttZ0Wep1N0M5xNCq/P+PdB58ypJZfqdLWW/p3B63OUVt5IzjfbJHCbj
SRcGnz43VLG3LUVKD+E/8kuQkZT44xyWyLPCllHargigYw0z1TjtqyHQF7Z1AAc5kLXFC9fAC2/C
Tqt8g52jSLzCS18Cu4sSaHYrDuq5P0ivv0fUBh5dB7WLhGX9u2QivfJXSo8Uw+hd2tZMGmbGwmtl
ZnFsCkqCuVGwW0B/7ttA2URSDo71SSuFvrJ0NFuE3CjyXCCCybCBSZysfM6jZSGEus2OaBGqH4Xv
6jn35KdDaAvyQWVca5bBpCkY41MG41PX2E/+kOZxo5Y28eGS474H0Rj4QL9pF1teOu8uAh/regPU
Ne8ZY9TXCm5w9ltSrxu7Hg5uPxixorOC8cWS5yEzqrceujyuLU7srvHzCyoH86K4/y7SN9zEReB5
ysrlKCIBcqM8eQwbunFgoUPqyFzjlpvi1+RC95Pg87KSSbKpu/42VmZ26cwOIiNsXgt3tLFnUUaP
4AEHoRrROmzQ6wF+md6YpDZafM8VzbFCk5t05VpeSGYtOebG6hCgEE4o/7DqTZ03+siPbf+spVbn
tG0Rl7TK2Krs/oslNXc4ZYPS8Cp8DzyZ24wes+skuzWO3Oklq51xq4TZc5ujahJL7R2boBYJoQTt
NpNIzRT96KQuWPhFatUk7qyzExZe6/eMUoZbdxDb7H6q2KPfXeeZP5WlciI7Nwu2DV/GLm3UuC8i
eziFDtdNNnvejfDCV9UtmPegcjdtZs7Hdmk003KLUqZKn8bFC7H/oQGolxIposQHKpCDbUUxsYW2
CyP5HVwVoG1xl9d5vIq8eObJHX+aii5WEtEy+Fo4EwibICnswdphT3vBmKtfRnKFtyvkTVzlU/NR
RkJtUfEEJyX4bQBZt0kZDF0yUCWVaMfu92At0CbIHx8sqr7iIRVYCUrDv6azh7GxXa6tLGHJS9+5
isapL3ZY/nIHsnRwUlRHlep+j/YRAIWdq8ZQyekYuSfeX/sRhYu66RIBgo04a0McXnlAS1XtvEx9
Kb+T8VT64QXFVXMoSlXui2X+1oOZ4tisBjKE7TU7j/imUW2U+icTEka8ppH2tOip2eeuOZxac+iv
UFFix4C6A+Paat2PO9tVFvN2syZ21VD2UY/hzsgMb9tMXRv7aWruZ1CIM6ClubVyl5QPr/yri9o5
jyKfj87cTVvipqxvc26oePaIU8kz6caNZw3x4IPPdmZOBc3azyfdNYQJTmuYYL3rd3OHPHUwes71
XIVXMJjgTTt0RWZpR7RxLuW2gwuKM7B2EurIMKoH+VpSn7SNxt6IG7/nDRThcFoWJ0KxWKvqKLzq
N2Rjtactd7pq/u3YMStjS36IfZCl6ZEF1YX3wK901/reJa9dRvvVU2uclT3xghma1BQNUOIGhuQv
ibJtEw0zuqBy9J9I1SeS6h7OzwQ9LsWLLim2a2tv2lRBVOxzwi3khpDE5ikgEze5x+W+WRrWzJLR
ejDWaPxjjqpDg7pOfw0Fk2kZOog2cwUplsIYXhdCkPZyrljDwFQeEeOAVgSBAfJb8A5YjXP025UW
ofUOr8qqfg89XYO7uhXZdosk9g38mY8ZPS7IJA6E+lenGjtWskZav+le/xRFnT3UklkGXN+f3jtt
zA9dIdbYXCW1iP/J4vJDUB4bia0Cs0Cfod3PlVf80VyClOPOGj7dqogeHcOt7Tg1PYWvhlOG0dwp
zY9+yuxk7n39VU8kEsZdO+HPV6jkeCBEG23QqgWHLA//zQxF4K2IYxLcuXMirW486aaZ38UwykQw
EP6ac2F8dHocD02YjSflh/rLRJPzhH4QgxvJIzglu/Df1CBV3xhw8V91aMlrEGn3FnSWebJKOg9A
k/kyiRrnfMPhmQywkNchG9sPTQjkO+Tcv2iA8aWNIGXdhOB0Z76BjLg8KDADVmedZuvHxboENTNT
hOtl4hvP5fTUO810bJYF+AtH4b630SC1jkk8AV7dx3KY0mNW5Gjb6mJQ/7BESJHUi/aTfo4YrwK7
QW/XGE1SrSAaOY+OHcK6e4Gq0rizWKwH8oRkvGi+ojlfRGLWkv+3aLJDmY/9Y06zxE0TOXtEPtz+
UpzJR8cc3M/eHsotbx7f7Op0M6sPf9+IfMWP1VLDZ5NCim5Udf9sbSWNZA5nGOIJQPi62jVr8uKt
dbXRQ/Wtx0kkcELphlQczLGV/vFaHpaorvj4pUZ7Cc3e3f0DZixcMjwzcrBvHKrRY+PxWcwgJRXG
Hob2e/E6Z/xRft13xhN/zIjdf+AszwozfLccnr4W0lptHGcNxv39W2n4uz6mkrMr6Wr+OVlYILsU
xK+P7hTCyTnfqIoQCLTkYaj9UpoS7TYReQewPrLdnb7LE/qwrG1758pNp/omkM9y1qR35uknBdqN
aW5oFrAc0r++oNkH75mQymy+opYMOsZ19x8yVEX42DLm/aXEezslaZXzh6bWMg0P0dyJvysK2Hnn
CdlVt8objGQK28A6i6VY3e1db5c/21Vg37rUdGRIh6hlJQgVWr2VTeVJbpO1Yl/mXKAtbqXX7z0F
RUlfhklolRhh9iyK0A64N3vTb5N6MriR7GX4oTy8uyfDw6ezwtcrqWkiL62NLeXwaaLi7e/Id/W+
svVwm8rV+KizdQo+Gp8Ux12JLmFi1tXluWptpg3Mwj4PYjT6qBsDEX1OHgmfV2iaN2XzT9bJSLvf
dSab9cHVlhfu5zZUJ+TaI/fbmJrWO/mNhhUvJdl3R3q9MlyclRgIRSjct7Xl2N1YavW2QafEp+lJ
77f29PhgIGp1DnWR2R10bIms2U6zKtgQYpSDQ/SoiTNco3BNFhaPJeMgPQQ8UecMmU5isZ9m1IpA
eyZ3TG8XVSNubeO8EhCAVM5ch12u2IugIAWNrVlb7JeqDh8BtzkjCB6u2WWmEb6ZOSM8uW43Vx/I
5udy704liSWRzIXYTtAfldoDfTQQou3YX+y+HwArhV/1RVzOuKhh7iwXvb4WtHMSV2JMm7bO64LR
TOlrzscYmX/dBjmwbYUjFUe+/zfVlQS+n1oWOXL/KD0yCd34rrzGXeLWtvufnAYN52aXbdbEvp13
/7w1s25Gb+IFDvjDnqPFvzsxgnWFCWtE/2wyKJlnsjqX8gx72vkgPV1xQz2XuVs1GZE+kYAIHzam
fRk35sjgKlJM5y7pg0+utoOEGp5i2hCMnmG8yJx7oIfNwWxu5IAnQAdrgLwnI/7zWPdRTb5fU670
LzedEUU7OUN1/JvbSMQNgbbbwJuKhPePKJGUhDRSiI8Owk30kaZ/AxGRe6MdmwvpvWI3IsaJAQf2
a96Nr0zJyA+dUfxlPWnkZpap2kbBsmW083Nmi+qdGe26ghsMTglsXPjL0bXmITG8MIrb1ddxSzbk
E99mAZO3fBrtEiZBujwFrTbjogJCZwQZY0M5f+AjGX/b8aPnJr64EOL5kpOw4hu/FE55uHXraQTA
+BkUh0XH0YkKtd5bk0S4INhMQK/PMyAIDjs/vXS+81IPJAsUbnh0s9ROSo8NCZMhuERrYw9Y4nwF
9cjbZG6DcMNonOT9GC9AaUPJkp3JfMOoslsxPnwtQUPkhGVG8eqyXfP7c15Xj0u29sPXNXN7tCog
6m0WgoxyjMFPbYNZj1sza8KP0HFQIqJNxuQzmxZJthkfYrG3ciiXlQeVE7EpQIGGdm0eimIoPjoo
EOCkjuD9rm/6V4Io62u+ZG91z3AYLN07+v5ywmnuTRiL3ZLvd9OJxasfQiTaVQ4e6aMa7lNL3Pnq
blPKKItXqnm2bmvNj4AG+rRiWnpk/Cn244iNIUvnjWdV50BNT949nVN4j+6K40dUR8M0yVNxyYSW
pvEIODbEU8t8UdfDU5oSghmWgYmZapzbuFDLREBH9Ew/Twr5Oe1GWsbIMAkuZkhEkJFbN2WC50aN
3+1KdyXedrWB29zyexUkVjTz3LyYuuw3XYflZ0oXew/dZ8YgwWc1m+W+EYjosHiuiEpHRsdeZj4E
wcpEzgpkJhmdMPwOM/HYR0Ce+TDuM7MTT3Xln7PewjdmL8eMTBwDdPDYFuLDdXG4jX12AAYE0Uq7
qjpFeDkUJ2dLls48/baLFhANwxQIZfFhdHl5Rpr8i9jw/Hmu7K+5RYs9Ss/YRlMLbTaZkoAdtOWR
3nX9ah+X0PM3dsvtZKbPgzXNW0xU00G6et2j5FZ/oyD9sXCNJLKh46WvIQYrp3svIZCPk/RC/O3g
o2LNq0vVlMadcOwSR2bHynDmHXmMdmJ7MIw0dKw/nEwFQDDqCr9vrUvtDeauAn4ZAHk2GfkWW3Ty
nykXFfaJ9uIaFUhH9ps96jOVo4iVhQzFc6c3z7N6wPKKiP2F9FBJOtXNLSCcR3f5Hc4szQ7tkGQ6
u38du7Yzzq7mFlorxHWYtzt+rf42JST0oOeZHOZQ/KZ3FotW68B52QqFjkfkLvFaE+4N9wXa6Kcy
iEuYZlo1zUKMSbCs19xuwmO3BG+GG8xc+MgI0eBARZDb/tWWdrDH6rfryUgF/TDidnZ/CS2JQhmw
phBy0tiXoYn+hAqpin9PA5ec0njImuFVKEglMpQPEZF51pDtlDmCehunpfYf7YjfurTD6ri0jv2w
0OBc2/pbiJfWF7fSYDjqIzcBZjubpnhwHVIQFmE82lmHiW5cENA49Xcw4NTrsquULUE1uv0ox5qU
BQI6+gm6vTeDRNLW8kcLtSt0tbwOng0fuTwPYQisFQYnaxgecnttcURUMVU2v1iEEaHn/8xR4NUK
gG1oMsERBfwWlsauSKfTUjkUPjZOtHdcjwkdN4CYPbFDnbKcLPxzwJmkq0sRfs5u90n09RgXTkmi
HjZsxNfufJkHk89IXpN/z0iXxL4j0be9q8dSUqt5uhERf/O96i3MwmMuaJQxuvq4Akixhmh2Lf2N
RRq8t87JPDHEg4feGhxoeGvH/IQhMknL7rfD8Ff2htwQkPJHetZeZxXWjGxGpW02+S0d7biyxXsW
9Hsn61ARjk+R2Z6l1dyCYjqsIS0eojo4xfgg2s4/SxPrJznckslHN4qFrkqypji52E42bQP9j1gW
qxUQRtO2b3k47p3GTZ+GasKsvRi7VbqnUZV/hbYfyrY/s+JYmzJsBGEd/t09xFNf5eD/oYkuRszf
1lwyNQBnb1On9X45JcohnedFnKJp2KBAqmIh2oD12vbvfJ29GwxS7gFbp+dIZc5RTxbYuDUid7T6
GtGQDggN7m334qvReiBg0UauZa8Yzb1UTUtsjZ6XF8k0LGO9wxNYrhA6vdW2Z7vmRYtyFy2MuUTu
Niyao5WntwGRzW2qSjYeBCJRyQerJnitjitm1d5z5ZXvIeM+Fo2mPqDL3xiNy1XOOudzerprfxl6
YoXZOe63Cm5cK8c/ETQpGGqujvCX+uYOjhsTEWk8KlVt8A5PMHv05ATK6y9EKIaXSvSShOLpqXDT
/QoVzi5RDolZkjcEhBOelGzK/STn8+gMWN28d662M4atYGPfA3qKynQRsVr+oWxHHoLJrZ9GZ3Ie
e02uLl8/iUFlehGZte1VcWA5gZoEGSrTbp/3w7SZu2/AabgGMVqx2Yaxu4YGre7DcQymizEOoEDZ
FSfIsR2rd24i9Gpz4tTtW0fqejKTSALQz5xNiEca/rhhf+/b80dbbZHKeH8n1ymueETFBXYyumbQ
oae86B1BWJHsklR77o/vMMcVff2vjLguUZ7USd3Q5ZAEEo8s0zFha2WaoMuNEi6d8IFeIf9Sh9ge
/gvRz5lnO+IxdFttdbEpypH/WP/bf0hl9Py3//eEgf8/DQz3euH/s4Fh8xf72P/qVrj/6//NreD8
xx395VCFbIt8zAn/w61g/kdAOiOtY6Rm3b0HpDX+T7uC/R/k3mJKCGhhMVkg8Bj8d7uC/x+2QypB
RJFFaFJtRcH4/2ZP+L/ZFUgo/d/cCvwR2CFsjxIi06S68B5E8L/E0to8PzrE0zmhV5uLvfaIkkde
4fRWs6OP0WdbQFjNUbj2PsTCRLLlVqdT+3cy1orTjjfwDwqlCbB7kkuQON1Ay4dHOjklAGFVpDFE
TQO/0PRRHvdrb3tb7itW4YbEUjCtJrReR2SFD1imDFx3U7YSlQ8qaZ+HefDzzaRU2VzLySWumj8Y
3N6c+JGHNUflGOMEJSAv8KqpPbd3CGTjqiFTxwDjYv4oeqNkjxxFWcfazzA6BUYedtxRZv5hQ9ap
WEYM6Cc5TXMEKCW55aeRvtGN0ekdSmvu5JkEMeTKs7ucZ9SGeJlsX5SxJYriXx8U4lkJEr+2/AhX
xqq3CTTLLCCpXe+4/avbIDlhbh1SLBRQ7ARGzUS+9RX6I+CAQb7YkdsZ8ZKNC5blThrpxgOj+41O
brDhh6zB2c6miXiEHs3KSQg/t/7R0D2orQ65FBJvFUQl5Ebttltc4tAXrlJzeKsbzSyO7TTsUGR7
TA2SBpFvjnRyGZpS2suG5YKz2ehU9z72nF37WVl4qSoX8HXrrRoC2LXRAmSRl3uJ4WqEttkUNjbM
wJIuW3uQ0t7b4VIWO+BHK8AQmwa/RK+mayFs9Vff897O3iD68VYgdpP0xQx0dASkFyxHkiWC8aB0
rcads05DkTQpA9IGO+hibwS45JJYiOd9ErpU+m9Jjdnez3yjn4udjqhedV7/avG6Ff0m0qIJN53Z
B/PbNNNAxfAWOKwtnOJsNUVAYENZyFTEtYYJ3oyurh+9GQ/4lohO8cXDTron7QesCiong2UTyNH5
BewQ/Bawot5+Xp3+EVeSJnWblAKWcpoJwW1Vx7xDNCVCwrrQ/iXUXlclpkTShHO0rECkQneljqUv
udulkTElO2Bk6S2r00VzD6JWnFGD+3Yf/jFR5755YlIvSjtttFsouELRUiOO2qBKDn+YWN0PNJrT
CnwXpEg1uyX/NpFNPaAvBRllUsCJ4GjNXhRpq/nUK5lj5EiCI9BlE5pXo5tJq7OK9N+UVYRzIVf5
afrFfh6R4v3GypOilW6a9Hs0GudfUXXDl610f5LF4L4hyGm+TAcrIyGMOrN4a3II2NbryfAfiLs4
mb5E0hx7vlf3bGAZKz09qCycLu/jhN+3LUi485mg7HRGMlwM4CYJibFU6bRaq5lujRqxW2AKv4tT
ibsaUTZm+E3m3/UMjOEUQfT3WJ0gq+jEcYibTpDlVI/FQNpXMjlOnRNt6effLRaSTwdlyBu7cPaS
q6iokz4fbN7ocFF//f/8VY94BB6yerIf+e0CoEprPNZ5N3wP9GnUiT27wzd5qvylhgJ9A4+GA00M
B2ygOZOB9zdbnJESq6HlBc+7me2p1IX1a3Ta8Tzasi8puHLZTvMwSwM+cBZEu9LyyiKeAqVeC3Os
U+LgpJNemnnIww0pozpKLEzCA8twOPPlUWm43MJxdup1N3MsVFtluSLHECyDogDWdZ29Idrydvcd
KBqSKHHZQd4M35TWUrNieJ10E6MV5bBbs6y+Rspw/YvM+OGD2w1uTL2YJZ4LTA8WjJ+FeZPCrP/K
3nlsx61s2fZfqo87Ah7oIn2STHojdTAkSoR3gYD9+jfBU/VKSqnIcatdndM5kpAAAmH2XmsurTuY
zczsWFS1DjJyaoyGk19eZePGQrjYrBXcv63sjTTbhJhFHgu9rqgk9KnuNI/0mwqB8tCLkUkm8XjV
tFhJdzUJPvGO8S/151oz9Ol18j3ji9lIUdOZZ3bDRWRVNz4NHLz6XtG6q0pp4UygUt5dx7WzlAva
ntoWIjJnCkrNaMzAhubwjYKkUQKmoxPA/ww5bbJ+x5h8yHl9TADBf43Itnoycie8YajzsYSGXrwN
7hSfWHIT3L4g4PRLI+7tf6hS/+fx/A8XGNL/vEXaqDip6t9pTMvf+GeXZLn/4uWaJH6TQGoKigP/
5ek0DUBNng4i7x/QtvGLp9P6F31lzyGoHWunhfXz/2+STLZP7GvYW/E/bGIwzX9nk0SA5u+bJJiC
bMdcwgEM3bJMfuPvm6Q0n0ahHD6TCKO+e+wLad8Ytd1osNiNCAF8qiJO1IsOCt+mMGOO6n02a19a
KVlqZGoZ8oVJx5Kr0ndwaOHx6gx5kbh5+sUc/D4+xqPJOQ1wACJlkZOcQo93AYeqJs2To+wqan1x
kerQVmc3/OLadXjTVjP7GgP+T01BdYL9Qoms+IHVNPuaFZnOYgOCIILPqs/3CZ/ttMYrSoUyK7O6
xxVSu1S1QV/cmo2pbqjrxwQBcGwYd8KWnPz5R1jmZqwp2XK+kBc0ICLE8BPpKZy8hbR3DYgMHelg
OtSHJtWIocCDkJPNmZVRhJdF+eG6t2BQbMdCRETxiMYX19R7NbkrbBe4cxaWMUSpyEDl5LjUX6hG
arLojWAYIXhdp5XCKhEMngC32obNhB3cSdGwsFFTSLqYCUD2rEuXNuHGrmTtDIGL0xEj45jaddBN
XRbN924Kvvuhz4Ruz4cEeEfr0XRKkElclKOmRHfb4xagxdcQQZz6p25gGRvuDK1Y8omKFi1HcRix
mLXUhaDeFs18NztAgToyhkSzABHaUuJ46U3IUdjzK5ZGgWTf3bIzaFE16IBvgHA1Zn1R26SmXiRd
nn1FPFhRjiGPpfFuhikGKj7TVezg2khMJTQPsSdaKUEt+KMMvbzDuGJmV2ar2gwwaD8MK5M+jrYm
sW6OUUp1CMc86YcOdQP6OmuTXCfjMCsETM4qzAY20NXQ+Ml+so3u0JYdoJJOhf4cpGWVYFVJbVwM
ViRhpjtTRC7hHPXCPBpTLKqrahqoCsL7KR/8smiBkVECvIl65KhrHWyLG8yZa61bLXfbnYL6eoN6
YNTXHMAhazj8U5e8oRQncFbWe78DVUM0YzK+uG46kAyFZnUZt07Yo0UXYzoeesphBmE/HWVqnJAN
Nr60p9o72gqlrUU3h0yk3KMOMthyNL4ammK5pZxBQ6/CVkBdZjR6usYeVRVqEmFUy1vdl+6dT48u
2Y+9QMDd/BP3g5ZD6o/Am0SxM97TgQisIikoe08NivIlQSj08z5Hv9YuAUP25LYDFeX3FCL0pFUZ
rcz3qKJUYUV6QQbiquvpPdRIvQccKfywdRLYqDKpwClfc5MV1tElHmlcopI4gRGbFAMCClfVP3FK
79FKTRQ7NwIWm78yl+ylrs+IYTKcQp50TB0nDvQD231Cum45ZnVoM0fUBIFVtdoFpiPinYb3qCd0
K8Q+wSMhAspe0qCM92AoocWTzSYsGzU2Xkt4lEsG3n23JEr57+FS3XvQ1JTb8W0EyGHHVQmiQkwB
uah7D6iy3sOqsBDAeRNLhpX7HmeVZYv/jC0tMVccievv9OoJv6L6SBjULHwOU5jN/aP3HpVVMkZu
nSU/CywHCFdm08Qhm6uNQZdVGXFbkUvK8QaJuCoCt/Kix7Qim6sVpsg2HqZ77JFJq49UlZcoL5kl
OWRBH3VctmR9je+xX0jEseG/h4E14FgOFl37cYUdKjsitYEH3OhLiFg/AUzCtYukmI1o7Bmb6j10
LH8PICOTShyBgbIb5Qsp3lytzC+kYpPcv2eYibkIY+q4fjPcO+85Z5Pu9z8dqH/2MTFbPYMxsoSi
4Uw4oY0gKc15T00zqfPNHDzT6eSMnJbhCS2bYwIpWm8Xv2evcdKQt7MsSGTzYuTCgTSXpDZWMlLb
Mua8m/I9y82cSz6oyOjJeLNyX/+CNWdknrC66VbadQTId4pCKwXDbHTe9aTxJWMgzpH2BYYQtKsA
tfmqQqYOfnBcu5nJK5BIHuqNyAuLlc5zBv+5TqORvZhi8gpcA1NcgDUJ2ng6SUq0q2ZAmgATT0IG
mjTHuU1SP1HmFu57xkZO2LMX5G0qnnE8a+roYGlCCmwow1sNvkch34f/9cMQxFpssDS0aALJ30Qh
ZpisfnkpEcBait4sIDhT/1G2tJZ3hvTRuGaAtjp6LTQgOWaO+SJg1tDHo+XjXD/APOLcmaE/aYwy
BpWFtRcBgNY4uPTI0TC7xwHl+H2IG9lBwZ43N3wC3Ct6EnoS7zKVIgm5bd/UkXIYjA3c2zEQNr3F
YU80XeR3F043ZwYGkKSxs7cyTlzUtTFkhaCAvkqPfsz75Ueis7MXZx3dQIzo+ZObtVMboCDsogct
trX6JBJlNd/TVhAtQacIUQ6OdhsHw0bNMvNoHXpNlayLfE4RXcYqoono1bCb27TWxLpNmaZXSNLI
qgPfmBIPV4eSnMlY6RNZEfl0k/HwMrb7WkIZJFR4R2y27Nkm07L8G39uQhyr/Ds6GDNjJB+nBwyA
MBJaCt0ot5vmxdYHUDj06JBozgMq2GCWg/+mtekcrWHJlydfDMm9P1mK5kmIDIyMhPnZV6H1lZ/a
f0k1OV+RvogNyJVJfZs7sXww+4WxGJnE7WwLi+URHpEv1TLEkEiURkIRtuAw7wSjlxDKHvutnwSt
iTRjlZkVImvbj6qWYzQV/s1QjPNl2C4tCx1D7J4VFZQdLels6yRNVKAgs9QR9RyaKDfL5J1mj0NH
70NUl9RQJBFtnl090buUp572cRt0c53eeWnd/hja1r7LMiJX19RT9GgzeTSmAyds2PupWMOPYWGs
XcH+LnczxD0w8KYNRjIfOLUGyWgX5RZZTPVoo6AHDB5JUFLtUP9QwKlwr8ajfGGHRgel9GPzlQmW
av5o2biKMHgo/H9eKK9jty7jFaz6ZlwxTsBm6X6o1VBuumGvSvBOqHLw1E1mbbDhhGz56jQxaVDA
jiXnW9un0QDlkJJM0TjlAxHaZnkxFlHqBikgTHh9ZaXohDvSaXcg5CdsErJ3vgg9I5V2MiunvIz5
QGuwBRLx/Kx1EhWu0q16EX3q5ZrKKVLh1iWTNiAUuP+Cyzt9QSzKYa4r4olJb3ZITRRsYGhJ+h2W
j17TI7Xq3Fmj1e8lIqARldC5t/hgAplMoaJMji6Qvu/kPS7XHzbtGEJIw4rRKLHK6UaQKVqHVGVZ
MZrODIaIDEjmOAqf+yoaRjQ4UE+uAdHHmPAg3XGuT8dMoukttKvOraS+09gNJjvHn9mbo95wIIPE
ndiPsNpAg7SFt6lyGXrbooCDPoRWG+0mm80iwbWxxROjSTab+apMO/tnxS2JewpX3bom2rh8qixI
2j7eZSvxd31BsgaATmMWd7pBXfhBthZyZITIEKuqvNewcKj6VgMcVnB7g3z2G5RgJmpfL4KhN2uS
GRkPs2b7OMbrhHP4YNQQrIYyZAOIRGsGdMaaPdvbzGv8Wzn73nWESg+BRNyNdyFdCcozZq1TPCRa
UGDNR+O71oyqMJnZxSK0DlXBbqGxin5tFa3fbaO+np68KE/qC5rRerwpUPkSA1PAbQvowpHDZHqI
T0fpTddAefvv8GUzB4CkTuBEXSAJ/D/KEiatww9CHji2fnACj6Za/dqkWP74fzYpHE7SQJNAGrPW
mMbCNf4HqWRY/yLJyqKlboLWJ97+v4/fpv6vBQxu0+sTusGf4i/9F1JJ59Bu6abnskT9g1D+N3oU
5x0KvlpqrnROXBLWDPs8N87TpkqXlhOtBo+8SAqXTGTHuqH8iiHcyhHpJQ+/PJi/pGMsPY+KFN2q
XB4jrPHliizWC0yK075zBj6vi9gDGexGqwxnH9M9Zapk9fEl9LMUx/+8BrnQ6Bod3z3PN0RdoMAr
eGhw1+lh7uhcr5238Jjsk+B6DH5yp8yqrzI41iv/8Mm1l7yNs/uDcO3yziikC17Q7+WMKddrxOph
tArla9xe5+xzYodDKWqgKNLWljgVRoXa/+3fvS6bT0YZXCwu7lreWepI0nX40wXXLZXJnqXaaVI/
IYi6cMwNJVGaF/Wtkds7z/n68ZXP6jdAvkGG6SaEf8fldZ4/bOVpVQS3P1tVFvl/Y8/Ogc4qFOj+
oTJNuEQ6HJKPL/nHqOWSoOporPFReYT2/f6Mk972igjHzYoI1e/tOPZHN/VUEHfaTS/cRwlj/K4t
0uyf2e1/5I/95bJYtGxqZjbBb7pxdllBCxs0Px7Nao6QfAy68T0DfbBBMHmgAL42/aM1uNrrxzf7
xwezQNew1KAQWRhr5y+20T2tybAj0etDT4AqSOXPU+4hvf34OmchCct7ZAAZjsEWHv/8ecoqGQeO
bBu8w2Gb4zzRtyOCPcQfFzguP3mQTGy/fyOeLXTTdqhF2g5z4tlYJYfCdJeOBr52FSTzaUQfZ32W
E/Xnc1su4gvL9EyxTAO/D5Ka3OhK18CsoeejFOCGK7aj/ebjh/bXO7EdwzBpNi+dkN8vUozsHWgl
paslg3rLnqUOxhk5TSri9b9/JcvCQKhbLiV//exKEUYsg2+cYRBDEdKmlSIdjY/vkxv621OzEJTZ
OOwZB8vC82vLGkOgZxk17iQKqQ+uLe+bvP7kEkvt+I/XT/2Yb5emOO7as1vROH/XYuTN9CTfrLLQ
NEgebKo9oQ/3syjQCQ1+tp5wA6xNzYeH5E+wCMpO3Bmyh9M9KhtsDg3qT37YX14mPHIGjOEiCXXO
MzmwRZtRG3mA+WzsE7R6KbQFlpSfjP4/lyfPZuXzWHd9dAv++RKoOLSoNkF3jR7/OzXMcRup9EH4
uY0EB/WiISqUiJXzhbA7fFKVk9DMbrr2mNgiu2yiJtlbyMgOjcVpw+3MN9WZcMFyE92/6MSPjwfe
8jZ+W9D4tQYaSp9BLnw+199HhEPgbe5bkJ3n6T4ff7jhKV8Zt5P5+PFl3hfGP66DnsOhk+05fE+/
X0fnJAUjn+Oz3ZNJX4PmA0g/nrwqTDFByXYhb7U4hIKJXSxY9VHuOwRUGwksaTdpWeVQMmk+mRT/
nPLZs2EaWnZjeA3Op/yibg0xdWAiKi0CAzRFN/hYvmX01e2DwpGwLyllfbK6/WUYUnr3GYNktCz0
zN8fhENRnOlexwhmuZtq8MiTS8pjWKlPYrX/8hmypjCbLBEY5GucfYZjgp1fIIBdUarBWk6TlByC
ygvvPn6x55dx2ATx7xvLyolC+3xDlOo0ILuC8VNjYLjmQB2uu8FoP7mZ89Xr/CrLr/hFaoOwOjSx
13AzVWOQABq54Gpn58IgTXGTF7L7ZGCcv6Tz6y3//5frxYQ3UJfnrmx5ZekXc/Okf/bg/noJk2+O
TGtayOc5ck4lOql8LgFt04EaXHigOFCFfvx69GXX8ut3x51YZKvz2fmWAaX1bFdDh6vLCO7kuyNb
8BKcqrPLw3r80mOwOAkh229ti8MYRH8wFuNNqzM5zlU3t5/8kPN55v13LHFEy+dm/nG7Yz7pdBVI
WkD5T16FLQMPcHIQAz1Xhug32GI/GTPvI/yPW2cjwmTsi+Vk//tL9OzBJDuB7AzL7cadVRdIizuO
8qHDoRtdZHoftrALkXFZmKdo6pmasR2z+CbTo0X0d6LGuTfdW51e/INqwk9Skv4yAChseCwTHM9s
X5yNMXu2OBvhxFlZ4dC+UjHPgJO1LIVhODqfPP3PrrV8X7+M5wb4oW3A/CYeNllNwvzhTP4WmPQn
t7TMXX888V9u6eyJE7I1xMPMzp0MX+8yKmsCKEKkEdb15Cd34P1I0q26b66s8vXH4/wv09DStObk
zF6NvfvZlWdwj6A9MFrbjkZHUDrZhTS8z+bUP78mVi+clbBe3eU23bPnyBosVIQLm/YujdekKPYT
x77ArsTKxowk0+ixGiKQe+WRuvMOSsInE5N+fgBl624QPikQOPou+NKzmTDSCjnOHt3wMYp+uMo6
5WZ+LyqB+7GIr3WpHkRnrNvERMsbHj5+yH+MorNrn41YVfW+QDeCJdp8HYDyGSDIaLF8MlbP48uM
81s8e8iUHKG6UEag8TFtXLeD/JV8U5RYaGrUR4f2WtZPhyZHXOMiI8BlS0+m7Xcf3+wyYn4by8vN
kkLu2ZydTPv8gJG5TUueAK9aZdhc4v6YaPDw9fTezMMNwIh/e4Lkess84LELg5dmnT1cD+dWBraP
uAHEokwZO1w6+K620rEXptf/5iG7Bjm7DGf0I/5ZsChI6L5tI94l3aV9XCfH2O5vqfkfS4CNeupf
1Q6GKn12L2E6GkE9eUZAr+CTOfp8A7a8aoS6gv+6hIueb8CIFBm6QeF/mePS6h5UC6R5NUMCvtbw
S8on8t6G+j63zAqnfd7X9t3HL/l8RLtoZrBX8naJLWO3dLY6qrin0D7wFMriWpsufDz/Tmx/8qyX
8frrSFouwiv1oad75Ni/64h/mXx7CxmEnSyHnORAMNnaFhu/hyA3pp9sLf92IYQ2Pm8U6c4fguQ6
N3CxL0uINTabiE5JSq7EiZZRc5cA7vn40f3lYos8iLen6xwazzf06ahZuHYg21m92FIDW7nmtq0A
NJrmJ8/vj1mXB2jzRaBjWgD0bJ1/X72Em0J51YVc9S/+dRluHfkYFpsae0iJNXWkc2sfkIh88jT/
WFIokpCQymJCqY8P7uxkVLajNivFuSSbh0u+wAh3Qfz144f4l0mGRBdqwy7FLkrFZ+OvSjFMGyN3
Rg/zC00sOsnxjUeD0BHViwqn/80t/XI54/cHOeB9m+MI5zJqow61SXMc++7+41s6HxdLbenXWzp7
bKNnxRSiZsYFjhT6JRL9uovunZma9eKTGzq/GCODTAuGIRtpas7ngzAB0xoJ9JyrvCW8HSyveB7B
zqzKJekprFLtk0F/PiaW6/lLKd2xLQqT77mvv3zKsTkgwabRDLAKzrhHAAHyDX3z8RP8+0XwNyCN
ZsiLZZf1y0VsQRzdQBdx5erQZFHkIESKremTr+ovj84XLhsJTqLOsi///Sod76hFs8HUh9y9vyuH
HzDVZP708b38YZLgiXEZNIj0OnBenC9reNWLrAZAiyfL3HZp9tQmw7cc8dzg5EczTW/YMm6BmxAG
iB/Kld4+w4djuN3KH7xHo+Qxay2GcR/6gks7+ZOfxzGA+/x1dibbjuXdYC9HjZvD0tm6C2TSi3Oo
bIF0GiKc28WibANHlG/d7GAr0HMN8xLYpCyE2BJW9xVlLTtQTkczuZ5RkNN9JVMRgyz962tEyl38
HEeenZ8SOCeki009zjSEMPZ8b8zueMoHXXsBuetemDOtw69t24QARgmiuR4qCiJBUocAfKY0xcKt
t163z2QjbzwXksFP8raN61D0Mnv0dezybEk6+I3Qhd009Tatq7mPrieK28GIB+8yofPt7Z1FY4YG
MnfjfTu01a0UlYkWHK0YurJ+fBIDMq/TPC+dRACHh5HEaNyzRviWsGt/QXZfXxmV7p5S1JNLOlu9
tzIy3lH0WYc2G8EF1L2OCIKknqjB8010HloeREVTHkXObiInJlmVFAuaXVgSIziBLPyWZ57cJrhp
jyVNHzikAGrprABFfAEgiP6oDeFxozzzsDXUszz2KjFvMpVuc0PFF4MdhsdGz/ptjkCcGhqsdaFl
s9wjwBaXQi+tW38sTPyi872Dl+3UwAg7DHPcYlgnNqft4m0IfATaSAsuLQSCuxkWjvxeI3lv+N5i
tCjI7KiGbd9ZdMZhQ1/LXhk3ClflkjBZMKZ5pWuSy+fuPgpL49FWY0vE+ZzUNhQS2y8OvVfOF3pW
CzCBRsGDKzaqgny2gAdhx7UivhkwjA5WqlZziVvVE+DF68x9cWCZvEmhzM3USyLHIswj9byGs9nc
FCOkWoYmCNJ8fPMcaAxVjOo0EHGJD6YpdrU9AWMctGDOLedHXUxxSo4P6P10ztdaQkjUAjtoV+C7
TQIbjOxGh7F7y/si9SNJhH5FROF3WyDaxFlhRkESITMIrNKpgozjuumXb2YPmF2k3k21FK0rTa2i
FIf0UFnIKwA5PGft/B0vifMFMzUgBHQYwPaWH5hk9aGvHEx6lTvrKyfSDkZtvNWmhTc5G2JSksi0
A1sSdJCFtDx7TEdSDp2asIxewzPVWXdh/NMnoa4kx2jSXgh6up4q3jErGy6hCYiAKavVME8EM9Qg
W/hDeIbdaTjK5TRBiLaHkok0ybDuDPjD9NVn2GOrGW4B+Q5C36Z6f+2wjUZVOen7oaA+mQ9sOZrN
nIsHFBF9C/uUViSyvHehWNCYY/K1bDkZtXbRrcaweTUFdLEGK8iVr+vzkXNZdp3zhf0Yxk7MKySP
1jGUX+c8vaDqrw8rXyHpeXHHCe9RcZ2r+bGwX+pwM3T68FgxPEoQTvFYbbwBOnuZw0yMWx+FFHDY
7H7Q6AYHQm+M+068WYiq1sLrIN74a8gFX2bD+BZpDLORHVUAHkqsefXqIaOQeNGmbf7YhtiM9SbF
l4U9Jjsq5ramh3CG8XHbaY7x2iaas02a1j9gctbdTTTiZs70K1lbYNRQqcWkjWB8+ulC3G5z+1jG
0ZYcmM2sWj4gFIgko4wFrFdbRejQEFii/yL3XlVPUZ/Xa8fQye5GIqYPqdwkpGBRJvP4+8O8s+J4
b3ntppxhRhaExQr/q90ZW+xYa8UOI5+TbW8Rm5J2zyNQcJEmXC4lbDcH1QPnpaICsm91Z6OQ0jhj
t687UlTGQLeRdIghaPtwzUoQ9FU1qH0P7OK5GXQiqcv2hXkMGBK5ekfQiXBZa1QtYn5zPLWyErQ6
UDmfVD32kJWYFiIHrhM4n7He6jQKvutiGNhFGtca4+JoSWu+At9GKGeSsrNgP0FVpo+69rVNm1cv
sm/RlOV7L3UWV3hYNIBOVLjptVSXGzTL92bEm25tK75Ou1lD7wMKFehs2NwhZJp53yY6I1AY4sbQ
c0CfBOR8n9HAH/op/OG1qIKJWXKeRBnleyB/VwvBBYnVE36YF4Shq5rguCACwO2Y5bhxW6I6p7m5
AU/V3DUaFGzfH5leS22AiNeMDeMp6nz9YEPjKI5yGq3bwqfJoY9Ew6Epa/CMu6wPcx4+q7KCuOV1
ab4pymYYjyFVk53fR7tw5PMO0Tu9WUUNsQ3k0BQ/lAqkODLVcadphXYZOXno7Oa2cC9UmcXaevJm
j5TcwoIzv0Am0+jS8yrCJyVCgZZmGhqkYFgoibOuv7bd+Cz60amPdCtBx/RD+Ap9ZVzMimLezbZ9
kxPSRjmwyNZ4X06JWU07zsxrbRzXFCMgckxHjmFBLusNOX8c7sCT9lO86up23CeuQb6JL0ObFkaH
5dth8/GcYnOwjgLJpXVHtqL5U+pLFkU9dBsOyBsI0lemiK+ov+7aEOIqyReo9sLmlPSnpKUtQVIp
VIq4OuTYfLAwU9TF7Oc0d3KS3TGPJd47YSaI1QYvffGieMqPbTxOemDZkATjAmC6JAYn54PmEyVW
05AHaR/SyJRP/pjZR9sVqMewHjZA88vcx7dpz6uG8mfAYBawp0lHCsqJMjG9HocAzXkfYzx98PqO
6Ke8btQjgsWegrbkaqsW/fLGJ45xH0Yd6N1Bf42ECYWgmgGBVXr9wkz1jUZaTYtCWaDGRn+6jQwN
6gBYrVOukZu1bkNycnEwTOZJM3PkvHq0xAZGYFpIgJ0yIxhTr0Iqp4eYVketuhrdSawr20wftUxW
Q1CA2t7naFpXGE0GGIfYNJK90bhdu5KRH53SufG+NrIedjB+Zp8lxR7JQkGj2KIFQFO17hO/sReU
0TNOPWgDzksL82Ft5uQzwYwfL5WhHey6uYfOVX1NXBviF57+be1oaPsdexhIMh6GU+EU000MoBK4
hv9spqq5ql0N7Vs1gPOO7WLn1iQw8Keia52Y7GTlMlNrJlZjvYdMjnJ1rrcCryPBW7RSm6EW6wlP
35UqUP6mURS9REbFBmUhiKJMa8gYK+MUaM38xZqmUwm/Ot07kblfDL2aGSU56qC+ulGDpy5xdaWv
xWQCTS/Zg1OPHgm/DMmCqi50WzV3VUzi8UQlcK1iK9sXXRxflt5wULEwSfPxIlDBxRdAGQf0ajLe
EP5ahN4DYbfttR+6z8Uijo1KczvjqqPtMAIVkHQ+NGKPipdo5qlc5G2f7WrWhxVzWniCNuHurbkn
GjS+9zIbXtjUsT/EIgBxqHSKO1NnjxtkfEtBxR5YC/zcuksbIydkSBNHa6rIcjLi9gVD0h1E6Vsz
HJ+1ydwNbq6ifZ4z5eRqg2SdM1ddRs63bJjNfhNKDJGIrPX0xkxYbFR4kCQr3ySqakGN2lroY7Er
5fchLptnFXryDjuguG5a8LpDO9cPSFsvkIYXcl0N9R388X5tKHgYmXLXVVVnb3Ms4DLI8aWuXYTe
bkInqMmtp9hOR4pFxje3S35CwhwviQ2OCEmCcXuUbrfYhIedPnITVWlQhMmSJ9OsKghLHbSdcSEY
Y08l3Su/IO3bvo7yFNKPnXWB1bMdb6fkFAlxqaSx8WedhY1z530DlnqdYu4BG15jDa2Sb46MV05f
u2/SdahEqjq6Ljrv6CQg+TxnS3Vj5SCUsbpK20FLcTd5Y1aXg26W+76CzuMQmLN3dOJJYgI519g2
CEcemAaAmczL97iq8GdM+CT7zGiu3JyM1hlyMG5mKJg7P6NAMtQ5C7eBrqS/MKHKx6tRhjtndCCX
6CC50opukpgkOOBqxIGSmQrLKTEC+msXkTM62IOxspp4+Apu14cTHH13DPgnXRjBWI/bO9+vvmLk
jTc9qfHFJQ5yvFATMnU+gDg7yE7vrpqaTVas1HiNghook12P1Tb1weQ4HRiLdZKJiCY/zYiA0Lp+
U+sOTgpa2VbCfIpDTULKmMPyzTBj7SDH2t/0aZNaLJuERGxSk1m18CVVbyiZGyMjDWmcVbrRk/Z7
OXFWJ5MNS0QISH9gRzUlDZM4/Ox6m8vO2htulK3pknLWq7LxqVzyVqxKg9OfvVVGJ29TR5Xkjg5+
fp0kLJN7xTRKVhaGrRneCTXetUP4dLTmwym/zYPvN0eOzWF0gQ+6Li/JuJ/mio29Cb+EKFz/jigd
9F+cMaNx3elen4MXVEW29weQHtizoWuRGc+aqa6yQhFCsgpHX60JHeK34ejInDsSnikd0s7tSQac
hH/gs5/ii9EtZYFn3ClDXLxlO+wppHrYJ1KlkRjn6Jsun8zpGV+1YcFsGfgBOGHaBcaNplh5uBcU
sXMYn4UZPiO17ZOdsOKh2enxe0ZF59bfcCoABk6zjABTyxb549Rit94M4zShHy8zc9fUk/+T6PBe
rXvLrS/71Ixv3DZX99gRIdsaNjb4aJ7i8bJO++HIn9S1r0PkIYNPY+k9xcXcE15V5aP5PSEC6IZj
R8WsDJLKvGZD4g5PcYfpNsRoYwRhgtHmqdeiMsSp22PEIhbOTS7TrnWiU2VOwl4zPUEcE0WN2NxX
l3UV6/tRopMuq/mgEW/FvcifUmWg0e1StUFdcNAiD9uW5rHIwEk8V6SmdBf0uvIShgEEoyyz/V3C
fkztxzlRYHg4R2HUjLINi3foMBr9E56D4QqBz7dBTy/KJfgkLBvU+7pWKgkarM9eB/T2j4k+xJe1
nHKOXHrJNIjHiSaZssbHpDftod/V4YPm3yeJPCZOxUE8ZVaZV7UTUo4atix8dR+fqhilqvUziZp7
SdZPeKSWY1xyNI+OrKb9OrI4xYqdLm5tFOfrMRIENRbSdIt9PK8htUbJwIFNa/U15jMI33aHicNI
oBBPM+zeUulwIHD5rHnQJ4AbF2Zib2oxXZjy2XK/TjNEOqkn29CcKlIkpZnfApZwwn2K+r9bzRAd
7BNcv+q2Lu21O99wweplMPR6C05miYMi82VejH5Xc/gsvbVGndwaL6a2C9dxalPiTWWzhev0nYKH
thr6acmTkuVl3SaXcSPUleJU5wBn0HhKzqDgpYVk9WqjGoIsEbt+nMXPlpZkFyT2jD+eAqZ8wHFH
TBAf3kS3u5cXFOjMO9PQm6fBaB7ri4X/e4ktMme1xCnLN7VKOW9ryro0TFXDxq/IHiWNZkME6slp
0qhkOnd8bVsTgKVvc5GF14mDddxICJXnxA5vjM1erH3H1xU45UjYhoJOyiRbzvj94PtBzwyUrm+G
vnSY3XNApH2yEgO7Q56Qa+bQENA/HGx/xo+USKcgNrhOfCa4CJ4HoOT4dhIkSGwtiZHmqrC1Y2wY
X/15Gl9hGWTrytCIeI4G04tXDEgON27pkNqkUXQpK4oykmZfeelliZJbbczjDTzOZN37BuJ8zDtg
DLImpKBjhqgJY8EPZuMGKqBxrQd8bBfQd8ELACv8MmbiQJzzwBbO6sZhg2F1iEEl6rAVuvihQcFa
bwbX+tkCFqCc+6xARIh9UajYpWQVO2sXLcRJL0sT+86SJ8N38sCeNLpTfr21ibuKNmEc2gfs/QXA
XmFeexMA1G1OfrQXkA3ajw+WU1kBpa+G5FgvHLCCtCAR1cPolLXzHRwJkCYCW6iAJPbKZGVeGTNc
IysoWua7chvj5dAOnQ2VOWsJM4vlkRCZU0+8PJU3/0hSXH3qcEeVlSAJt/PaDLLV3MNi7DRbJ1ik
Gky6MIVmZ5cUgme1VhFsUJDY9lXdyI5eZl9/g26ajquJnfbRLQuDekKGnJdiwpJq2OfjdV9mzIpe
MnMOc6u3PCeA4BZLrrj3Q5rOK72d2yQAgP1cZWl8OWquKK+BsWKZgYgYHnBtSYOUKqNrMGCGROMd
e7D5lyb6TW8ThlVbsluIGWV5NK+JuRnTbUb1ogr8OSsf4swfDnNMsHgVm2l52cZGBVzv/5F2XbuR
I1n2Vxb7zgG9AXZe6Mlk+lTKvBCSSqL3nl+/h+rZaYmVTO7WAo0G2lQGGYy4cePeY6K4oGFuSkcd
bGNbLzRGehCg6wZzCqRPMEeXiG6sZbbv2U8yGhIQZSLcD1uCDtUGBVNLSmk4ebF8d6lw6P+KyTKC
mYhIJEe4VMAwjWhdSo3yCH6NdAULM4SaBIh8CPuhXBIbEjd471FXkxuJCj3THcGGBQm5zmByDiMU
xkJnhAI7ikL/SoeuY1+kOorXecKd8lrw3R5J0yjhvIPAf47b6HMXMCxuXgTbT3QUqgKBDbPaeEAy
UroP4o3QAxQSEURjjLwLyIyf5ygMcGngH5BDsQ8oih+YakzNCE2+zQDu775PcDGiGviF4gztQtuD
cOklhNlCiroElcGDgGxFFvezJOQ0sOhRhjf7mMw7yKREsIUviNeuAwKQgOYrOFZt302q8ogAg3m/
0n+j3fGFyoTdLAvspzDrd1M0O/pw9iiVqi7VAOWvATGcly5uf7o/0LyljXUOBSGRR+uGFKfGx8++
Ct0XkE5t0f9CW6FWYBOWw4chfIx8/hGX1k5Fpxu6jy1c5++Pe6NrhL4UyChoS4Guy82apD7YJjB+
QGuqTZLYIEsv2iVDlq807OcNy+ntOKAJ0fgVOPxtNo1eTUBSN8Y0+iyvMCkFazEaKq6CqKcJ31p1
S6Z/0qcSAUxFj1QA1nDWIvXrpAIvvylwR6TgMpairNYOeWpBrZdSGACNVhbK1F373g+aukA0EKEC
+okAMXOzN6Q6gcnoHDcOsQoNyRuUWBR3ISh9TDOYHbR9B798q6P46f7n+319soBLi8hgWAqNc27W
9AuwQ4tIKNE/zxNISIhqX8MdueJPsH1d6S/eHIrlwHJA41QC9+DnCu1heUW3020iQekGplLkpE5W
IhVeWSu/7wTgKgANxWKUuElv7ec4KUrSUpUDjsAUoYpWigrLAPSARohoQo8d4gU4xVYWy28wYwGb
m2G/QDscsDuTMNz33qnY8ZBCE7D7oO/DyENPGfCwiaY0Be0s8gG08WcYM5seao8FXD2grPwB85BT
GKLfcP+D/vb2LJxpATYHAp4Grno+yyBaVgNEKqESHuBtmWPWkZDahU9MiVQqNtM11sxv63Yaj0Mj
FzwSAaFutm451KLJMqNR2dPiQ70Z5UIF3O+xNu6/1m8BAMNMDfAJ4C5BKma2HVMeST6Psx1eqUQK
8bgCNkPucMo54oKDIlBEulX/fyPSPz8p9FWhPoFCu8LHv8oYtIIYvGsGhUKi1ieN2fujzQF2wA+y
E+4DmFwEcbTgZysIWKWi9mCmCbOHxqZ4d8fAmjZHHjkpm0K/eJR0SM/qfs7+NfL/Sd/okiX467+m
P/Oe5UMZwEPhi//39z8ZH9nuNfmo5v/Tjz8DIcN/jau+1q8//kGDDVI9HJuPcjh9VE381+97H9n0
f/5v/+N/fHz9ymXIP/75n+9Zg+sdfs2DT+d3miQ9cT+WaZWXV7T6f/8DfxErKZr+BxYzFByxi4Hr
nKAxfxErkc/8AyZo+Jf4VgJDshgkzcra/+d/0vw/QAeSGKB9eXqikOHj/Q+xkvwHGliA1gEwAjLk
FPX+D8TKGSQJmHYWkQaYo9nyh2abSJDoDDq5Q+17RzwkJn1AesNv6gdC/zYbh7/OnP9Im+SQoe1c
gT2Jhf33SfT3GLOdDPkYsvcjj3L4Y7Pzr3KnE8/3f3m2yP/np0lpdsoIUgQUI1ADDuMIJ9dpHzMn
08k375NdQQJTE/H1xtMD8/Fzu3YdJ9QjjewbQtPRoRYGVxMAOdLCpiy1GkVx1G6lsrdj0CsGuqqs
Zghcs6vIHl39BgjhsGAN4LQFKNnhxhKhoyAXHIS1C5T2UY9nRDh1gCo9oN0Po4HJRKrNY9jMQF2z
Y2GzNdJhrjUdzjdPCklDIn2wFEGr1PjcBTMULDgVFWvfoEoe4vFUzOl0LXrvFFlnn2Am8WixcyyY
H6ihEkEPLTYAIlQ4EaBeFabgzorQ9DN4IdmmfkrCd/gEUWWzltocxeOv9gz80VMxEiFjRxTWBAyc
+qPxgYzJ9xqyB4wc+k14pqFmocPhUTx7JcMaABg0wPp09S8ym0iH4OUbSQj5RRLX06cCUukbKGLl
Bg0/AQ0XqGgHIh+hZnA1NKqIfo36DsXXWsR9tq6obetDc2AoB1YjUJPYxFKZO7A2AeYApnuoylQS
hoC9bp0k4rsQNZkK5x0S+o5Fp3Q+4VkRCVPjgOGKDe27HWqgkCmVUAlUEuj+gsuOrlfsUowVMsVz
QgXtNqQJUUuppDBW1uoU33/fBhB6/bmQQqJpURQvKAdycgS7DYRNiXwFhhfoXqiEsIEQShdYomR5
gFLcH/Pn2f339phlRmhAcn4Ga20nYboOWJaWVuohAv0POpUAHxe0gWsR9E18qlrJyZZGnGLAN6xX
w8JbrhmwIfGCJuTL4ExhAJxCrrwQPcWMW5M4u40IU7t1mDY8LuNDIvNbeIT1hwSvQzQ2OhHhyYcv
lgwlTGikQntFpdDQBggYoJH2dH9S6aWIMP37b+8o8dBvlghpdEQo5ktQEuuERBsrSfWLcAuNBi1N
pF2aMZBFCGF3KwjPAOqGGnjkmY1eizImRsDBb5F69CkAW9DPhS4urNKE7Lkj8g0iysps/Uyl/v78
9M8HFeqaj9m0Gp24qNSkPXYox7OqADvNoNpwvxraXJmR6bS49VVmpwgvegB90N7ohK1RlpcWSqhA
06NQ9oROYsXrDOiyESQw/I0A91sFevsoURUP0PyuG7NMznl0uP8kS8tvdtRACA2eDwMxOKyRiWrT
qSnjQGRKojKYLFj3x/gCs9542znFGfQZ4F7iaHAYuVajzb7VCWdQcCXYRdvW4vRKDpTEgnWo0mlQ
mpQhj6/3yq5QJUM6Fvo5kVNr0M64ke3sWIPxxGbtpKWmWHLr0aZ5+bY0RfjJNGGFR6NEA1pxkoSm
9hYGgShZq9knA+0dXkk7G7ZscgBI0dv9GVnIIlAm+DlsP6D8DgW00fECpYEALvSee8j3I5nlql32
kMrDuOHFcL8y3LR+b73lLAhAsDypqybHBjQ801dQj5YjRUKcgQmkvjaXS6FGnMXrFlJovihhFN5w
jeaKG7qDBr+Sm+5ZekAn0BZ1KNJq/tbVCGsN+k79vNT+e8/O+TDQ1gDpDLVmeJ+Q8si9BuEeyvMA
93XICfwdikuKwF2gT8MEJXANkQpQstjKLL2yur+Oo1uTO4tuvICk2G2z0UnhFl438VUkYePGsACl
AyEMwEQoWK20KbOXypPUrIDwT8TqMScYBVyS1NBDsRvfhessMqxf45KBrx8naEm0idJnCQ7qojTo
JPSW8uEFNVIFqS/MrAQdYkE6Aw+cAt6djUWETpWdxPRCCy2ax5tihJZAZhP5tSIhso0txBwD7jGE
OKI3XjvgCUjxSOMJM6rT0EjQIPV6ooY9A0E+ggc9O3gX0L6pXMsdnxoRLr30hoqzA5Qg7aEON9Bh
0juh1pjCqGGFKEJIEG0xj60toB9RXxN0KrC8Cu0L1Pvgrt13J6Q7Xb/tYJIOyzALeuP4UAD2cvwZ
AkyPtdS8AIwO2Fw3akzN7ZjOf/e/eq7jyoWSXgi7c8izJAZx3YwIu6IRbDhaJrfxhjKjTQNo6oEy
a218hYi00z/wj/W2O8MsdSXgL8WZOW8Mlj0t6FkY2YNzyaigeZOi0VNabqzx14z2lAqgCbhMY6aG
YksyLz19vL/5v+6tN9anMNuWlFBLYp2Uo9PHzXZk0NFCQV8C4nlyBzNKsT2MIWfBUgeggGsKZ3KJ
GOGUSiucaICS41XFUyWdxn4DkvbLpPEWok7fCxcOaLkmhNUrVehhBPMaEl2DxihI8HHRfy2xIIGj
61n0+kBCbkpSrrtWAyRJz7pwi5hrh3CqLCGpRcWBJkS70XMoFz6v0PyOnsvegYMWLLFy5jyBCZPM
HNgCljqN09BIWMFIglHp/Sn64rrfmCJuFh/5FkAAH8ZyDleowPB1TwOa84k+GM0nqrcMmoRyr/UQ
ujyLsKp+fsUjivvygYYzq5LQcnsN5XEHpB2KPVCn7B0WKpwQfo8u959vur3eit+TktD3UyoBHhWV
UYJy+saA5/DQKIBOVjpwUZywCfVJkpKQ+fMoPkQGJNi5/hEhPle6D69RaLOzMsYpqiOMxolG4Xfp
WuhbWtXiLF8iRaIXYWc5Og2gGQXVGhArRbUNhA+4qSVbKnmuIe+AaCvxtgg2mcABnAORViJx7s/M
0vE9y6PQf4McfYzYWPGckgCh2TkMRawsC3rpaJklRxHylrySCtoJSgheQjFxNCFS7ml1mwL5UwLY
IrQup2cUGShl2NO2AL00O6YiyHGW0NCD9VYE2gM2uzhC5J9yecGEy1sLwTMJK8XrAPXOCYgLtlmk
jxLfaKDCVSeoNfTYem1cv0ct+LQrr7PwNsLs6j8maCMD7jE6SPSG1hSRbPjjpPD4fv9bLJ3Ec5ZW
L8ZNCjmN0QGUfSfpUEjV0NdRSsRVSvskfgW6b6fKymDTjezGlhVmN7UhyCkWoomD43tGQ7kvkBTS
QHrAndUFSqY7pRInT4gNSWbLTRbuy7U64dI0zo77wO+gADUgYyxSI80BLmjkjNiX/dodhJk2z603
m20qqWuzGLZ2g5NoxQupic/vldWpFiXzVz2xp/0ey8ByaKKZygdSBqtQfYeDtSGozVv0hmzn1/0p
/hKkuPUgs82Fzm0tka4wOBG1Zbv3IdOpzCwAT3tJrhUM3HXeEDYsjOWAHzAIO2n14BJuCdIoUb8h
Ae2Sqc/kufVMuED6drNZeaylLz/blS2MvImWDQcnhD+QBJCFeAUhBBgbY/yE1CSo570iAXS/KzqD
y+2xUQPfoAfA+8AicK0KkLrKHn1tELYB2pLcWpI9jX9juuZUtAJwtrAJ8d1GmKopxGujtxrsDx55
ZLt/9ur87LaCNgOAlWg9O75TabXTnaptYSBhSzehmprSln8qDqGZatCNkWkjuYI3Jns6dVgZ/nZd
kpxE8L4fQyi8wt9hQAQZ4kfYEEDZETCzEtqRCqxjeNoYUxhWxeCq8bIgqn7+HpuwChjh9AudHUuE
V2FxZINnCGKoJdRg38RCwbs0KzkWs7Aw+NkpzsHVIAHhZnAgQqwB01DvISS0G4cNgNJt+xBPktYa
UwrAHOh1a3swD9Q48Ehygwx2TCn3vi5GOuQj08zkGBu+xHDwgJ0xacXttuLsLomUoD5U6Q5q9MDV
RSuxbGnH87PjPRVSiWCmBy/1XhU1iI7IrQoPFRWC4CpimFrJvELIrgrQmAIzQpm3eNWIrEABYgoi
d64MKXrjDz/yLLC2VMVB5C5Fuhj4m5LvDUF8ToAqE44BacJzUWmYXZlJctqFGqAGIHIhtwjksEY2
BO4XQGa6F76MkAX1hxTYAcjbuDmU8XETa9WROYKdopAtsaq6tLQoZ/E4IoQMkp3TtkPuoeCqRKG8
4KnjW7EDDCNDp0hFKTbdQTgOVMICviD9Spvzi/R5a8fPInUCsVEStAvKgXtNY9LAlylg9yRqlsIc
ThWtDAVUWVLca/UY7VgzNHAagbIMUCe5h23lYMKMJHyiNh7krs6Dxp+TY/Lp7njikIePULjWxJUV
tpSozSWpEgbK5q6IJxUNRh1VzxR0YKUVxsYz7wEZtX2NU1cW0DTxt2ZlFp9ZVLTDtMFYwa62WJtT
40vuiHaCVABKqxcoqRrAu9reIbK8C9DnG0kVVsaeUpkbQ8976DA0iccUjVeHtzkHFRS110Jz3Aor
2eZS2WbeGgxA02zbAr8PEyqgrM6C2T4SHzyKRtsIgKG1FspCVjvvmwfoYwkBg2FQHYIpRiLAg/Ba
ycS2N5tRoy1BUNHfNUuk+rx2/6tRC8GTm217qst6uH5hTL81SEll+yON3XvmoJTTcKhH7gOnLzYC
qVUBtD3fVkZdutjMNm/SuCTBsC7lwEsTaO+M1quRV0FfACGGATspY94bQO251Mr4TdyIYNcdGgu8
xy7Rs5WE4kuX7taqmW1jn4lSogdFw8l6ky+MtLAzV6EkHa2jXM1rGc5ggjYQn/SB1LnJ0FwNgH+T
Rc4A87vchnDmbj9J+tBFKs9qgXQU4eiZ2HmuM/A7g5AkxLd804OzBKhHzyszt5BtcLPkDG4+sLic
dhmzdx9ytXmlzOEZDpbpLlxZEkubabaP6Y5s0GPFCLBLVC/whtu7crwakpaqhXP5K6Ekeq+c9mpo
saCwOtkmNnq9tWDOuwXPAsU78MUUxAlrOFBa3CvJyqJjFrYXO8ui3FLoaAmCykhjZG8HyoRenHK1
slNjMHO1tEY9eY0P1IaX6yux5Q+ZETz0SnuVbFf2d1j9aqd7W5TvrOy8GqEX9t/U0/6eWwGoPkhj
jIeSzsDuCiit7HgFRVoE6CfwmCyEy/1aprTUBf4NogazaTKb4hikQIlS5RXplF+ZRKW0cBusxOKl
osWcVw+hS4JPegzSqpGW2JIO/wcj1nM9VUVjVHkV3LHTYNUbiG85teJva4PccIfBeIm1/OHPtgk7
C2swGOLbssNDMHpkktqHYLSaZICltfKWM62xf5ef2VkE62iyiaupNAPbcnl6L3hSq+IlUOAOrlIK
/BxUQv/lr+zJmarC38PNYpUXw51bmr6c777loj5WW5QiwOQBo0hBzgqJyNiuiTOUp7CFAtnfEqMh
rb3rwtV3Llbig13c5VO+412z1+40Wt1n7wgmfybfswthVPp4bc7xx/1Pt1R9YWfxx3OrQSxZjEYr
osHbl9OoQOtcPrH426hS+j5S+D1UG2VaTdRKu3qqq6wh5RaSSmaKid/aQiEUv0epxNjgz2iAicq1
tna6MwuzOJcQqQfYQfPTkqz1EjVXY9RBsVNJudBKK9GSU6xWiqdXGsANJqNTMpAT2DIHXi5faTXT
XSSP3LbfoEWG65dKrnzcr1e7cQrOVVvhqAui0V/bldRSvXeaayu3NgzFHVD0zUQONbgHA4yvVVdK
RkH0M3PcPcwknF6rDRM3aYtWBQM0bJwSnelbni5YK0thWt23nm12sxvjqIzYaZOVume2TqMBoGzm
WmSQ6Be6qrSFi/GBfYIKzNY3eAM0YP3+yF8V4FsjT2fIt4WQxwGY4yUqwyRcrWBTDPlkOEeHCsAQ
8PpJoU+QbIGlrhudxukPVtiWyA4dD/EBGSZ53dmTYHgOdpecXptcp489paASkRcgeOlwQFSrSA8S
nQ2fi0z2KlDVZYY7jOhQSWZfmX0nF7zsTX3xjwZGTkIEXMuVY9SkOXg1QCF7D5ZWmsgo5Zq88kzF
9t8R5ut2/e2NmQQYiJbDXMOJVo/3IEvpaBBpzYOnPaLaZEBIUSd1yq42azt96f47l6Cd0BRCRGJI
Do3eTPaNK4XvDItWlVZ8HIK+DriA/EGhGwwvbQ1kGKPQavWh13KDUirLl8/3P/dSeP16wm8vnxdB
mA1T5k3toami8Qar5PtCodRepi0QYpTOEo7FId+G25URl6LBLI+LiJ5I3GnEHNZLpLAPCXuU4axo
+BUgOKpXvVJYeXDgVeDPxAKls7LflxL+OVyUZHIXFhwYGJoHWrKL7EyxuKNGq7F2Xtu4SyWZudat
D0sMnsoxCG0QaCBtoSrKvcfNpva1EV+YwkY6ELvWAitdGlWo6oxme2oVFr4ZMIq9UlYUPzOZin4k
eXDRU9Dh5Nt5O7E7gPwLDt3KR1i4hnylMN8+u9DCZIMCadsZ34mn8YLGFqoZ5S90Vl5bwBH2eaL6
ozxYzLmz2Lfi8Q+HneV8lETmdTl9+1JNTsPnqOYIav4U6ikFGDUca/AKBSSnXFtsU9S6Ec2+jtpv
7wnfPFSuAHx3RpzaHy5zboojHKQQ1Y9co2JvoWwugx7B+qp0WXnJpTFnEZRuoY0UM5jb4Sjt0V9L
Kt3/1daQ12hA2q9l5qVERIyE08Bvg2ClGLs0KPszbHdQAoUzCwdUVf8Ce3sJHscxlCxWXmnam7em
cZbz1UQIoP5kcsqB7c7L9NY7weVuy57JJ/B7qev9YZYW5SzV6/uuzPiYxwYdYgEXcrC5C598ymuy
UmB+YWS5i5OkD1eGW8q3vprm3xaHK3CoTIUYr7gKIBPump17LbbhPkJeqzaX0qyc0Q4s0Dw/K5M2
c5vW0XpR6wcfefv9V15qIX1dFr89AxOEI2Q/sFi6T051t7gYMk/hIYSgj9GXcv7J2Pmp3PlH/vRn
A36dgt8GlHow7WDzg5R2J71L7qXpoB0r8/A0kmTug36kz0EDoqbC//LcXKVWbu9LiLiv8+fbsNB+
gEgNpAedfXvOTvU0x9VDvO/UxBo/Jds7p0aLhbUBL3CUedxMofzykJn3X3phc8ylcmuXYhs3ZoGr
JH0wTk9+cW3g4nj/x5fu9V+f9turQU20qCH/hRqcAaafFWiZAnTTVBpF8dp/fX0lzVEbtSlHzFfO
sq8rwY0N+VX2/DZmnPLe0PZ4I8yl44cOC5yoKye423sb+pC8QHYGxUal25OP7qNg16KS5tfA4k4d
SOXwM4FPH5qyAR4y2PafzDUGY9oW3yDg1T3yNb6Df0xWlvjS5M8iUwYTt34Q8KgAoGjRJVg5SxaK
NV+0mG8zQDSNJDUVfpbnnlyoAQgvfX3ynkkXMjUKNRgrH3dpmFlM8kDfJLqvyPcenOgdZTE6zcmh
FQI/qqUXhpb5C7cV96zsPfAqvMCn+pm/A7AUl4RtphPoE4Yr5felq/dXlfbbO48S4bNFhZU2aIDO
Yn35CuzJdM6AUo36wSjV3tcCvVjZNUvgoa9iyrfhiCGoxD7HcIIcaAEuHqPu6zzA+bx6yGVGgYS5
LKm83aqYiq23sraXUqi5GCRYySwhDPiyjT1dNGgYS5qg2UQ7v5WDjXRqN41Bbehn+kJsgwMciI7l
e7XxX/IjLmSoAEzyHDr5VNvJttz3mrth1+xepjTlxq4jp4Pr24SwVQs1iaDGMVg/xSLuyID90IDb
hSSJDo+/ElC+uou3hpllSY1UQlsN4p9OzAMi50etMorEFgJrWiS8u/woC6G4JXtoTnVKTRRaCCSz
WKM2kj2X7RmSPDAATWRxyiIbkwywWAEgrqM3AfIJYB8Dzg8Tw3oHyYM6fMjRxQnE6kgAzMTAEHL0
31hSTzj4LuH65/ZpoxYDp1NcZ4aiLrHPbaR1KewoodISo5kYtyABmKF3lSD4AxAvoIf98FKGl5Ky
XZ68ph1l+BEvj00LE0zajiiI9MaPUbGPoHwIvyzd5UuVYFuUmbk1sdQZOe7fdzpyunx8+1I5rFap
pqtwrXlnWTmH4/UbBMXKc23TjZG8ky4I5lq2EoqW9uVc1z5pYopkiRFpLfHWl2pM9BrgGnAuLaGT
qfXpge/NahvzINeDxGE1UDAEoCoGXiCk9fuBanqxW2tmFmXJuhS4zMUjNCX8ZCKcCbpAC2YNhvT9
AZauyeQsB+y7LInhLjqVJFp10CITjPItxOLeCI213sPTdCuNDXpDXAD/WRlz4ewgZ9GXhVIqVGca
ZLXGoFW7fkNtwrNnQ/zc5vXaAFdk2KRroX4hySVnF1NQ8LsxF8C+6Ojhwg2uxXj9ZYC0XgerYymc
ChDhrvBZg4KE1DgwcOyBIhjzCzJsMlMzJjTNYDwdqXX5wgIcGvAol4O+cn8qJgv7mx94VhxMIFIO
E14GBTokF1vmWTCZc7sPgYNTmeSFzxwoDleK6ztQ/nI5rTkDkkvpCaGMDy7g5kCkQRFsZcFPi+q3
xSbAdPPn7iqgNBE1Lj6LOLyW4qWR1vbtzdMWPzwLsIGYZWHv5sjIB8Wl7BLoPSq9tpxVSQ8c9IGS
Urs/ndMP3noD4ecbJCEKbHWPN6iAkfZ9Uu4YQgshrDfERuxvq/7z/ji3AxHeaNqv3wLRWBN86GZY
VOhy7LPXwu4evCPkol7Fp/HavkQrX4SedsStF5qWzbdxgMCuioTDzLFGtSud2PKVWBXVUZFwTPPA
U+BK0cq8TG7yh9hEdeFx7by+3WrHK85CT4tWYkL5GBpSCdADBMgY1VTvRTilZm/T78wrpC9cdh3/
vvTtZoGIKoM+5KZX7RRijyuiBh0c09djlKwGPTcC9RkO1kqvrfV1lsabBSGpCYbOHTAehEssSb7U
cuGssZVuN6YwebOgw4pEw0EcArVxoBSGnQfaRWj2Go3E6v4KnFb0rYUxixt+1sKczMMCjOMXpvvF
HQurI1W/Xak73E4SBfh//Vx4AZvVnTeF6FbP7N4s94ld2KEa6qhybdoNrKLVbi+aIDfZELzrNlDd
uf9iX3W7G28mzoIF11ZdDUEpysFXeYp1yOJxtDy6BiyxKc4cc5OglKmvahKwK0GhJ4a4q+w9exAo
ajQIHmmgRRY1WqAD5GLB6VaDPXO4/2y3r/WYlVl8ETrYjbodZr0A2FuHULbl/oLpMHEC7WsjHWm1
3bZGopb1yle+nYJgwFmcgYpjKRYg7zrZFYbuL4xaw75YF7aj4Z6B05Ys9Mb4XW0Ez8laQjCtoFvz
Pws5AxL1iJqGLDT3GJnT1w4AsAHh4Q+D2pzpAtGGPnJpjBBbqNh1x9pKbOYRmBA1csCsNXNzUKE2
YMevKS7XpCFc1uq4S/tSnAUZATYdXTHlUxyjSdklMzyoVHFyvulD29/4Kze6hYP0Nzh5NLiEVKAq
EvW0MuSMEnfm/RV4u0KABTELLOFI0HUY4BYF46Hw2RuVCIKRSrl3medkMEooVGVqA7HHUeFqVEDP
HnuSqCNSfOGh7S606W7SeNfsQU9sGCU8UrUxQun4s/rwAyRDauDqwNvbIWodJteDB3C+/9yLEz+L
V6znwnx1iraFhhKR7BmhTlsAfBri6c9GmMPCk5DJ80JKp2rQu5uoLJPLCSSD0gwqKzJYY0BhXNc5
vQvxd44Rj6FXGIlZh+8AAqjWPgl73IFOtZXqkTUe/at7rndAE+av2cq+XDiu5pQfeIZHA0+GU5Gg
sKlU5jQOaJOP1QLizTQZ1iSzSMMS7UgNOFXA1ceSeoSevJxvSRVBTf618oWW5mwWWUKYhKUsgcgO
fcQcWz3UqjaRY95IceHMUWKTHPosFrh72ziddfYAPVz0F81yZVsujT9t12/JFHQtWbKgPDRxOLn7
jM+t7cZKu9aTmCbqRtycu6xQHjn4eUGQzrjv9+5ra3WZEh/4h+7k2V0nUwZ0SEF+DUeFf7s/oQtp
tTDLYFze60kxwogtPCZQUkEqaGdWHSjZYQ2kPn2aWy81DzdQFfCJHFOG++5bvPH/JRWyaFW8NFmz
cCAOXJlAr5Jy3G6U67aSW2IH4RpoAN+fmqWTeg5iz0kpl/JehHgDhEh36UU8QuTNdaRjq7gOZRNG
qsEo6bJmhXe7CymACf5zbVWNRwdDJJEOVJXVqj8WTKHCl6Dmd4EPzQF1RB8ccoPcLrv43CVtjvff
c2FJf9Wavi1pCoLzATfNI2BBD9gw22L14nwbJIpXmkUEAo5bSe9iCr3dcA0P2ZVBX4+BqcBrtF+7
/y4lOHPIeFxCEg7YauCALFYDMXwjPPVWZNO5zBeou7Kh7G+KPc5PEa5F+UqOuRBL+VkggIrH2JAk
Zq220LDIHigjNps3Ye3nlz7KLMmAxl7Ykx3yG0FCbYqEKDTIO2+NsPL0S5dPfrbvK6Kteh46i+hE
DqVMNUoLdXUIYmwkeRxPrl7EekOpTb1S6V9c27MgkHFjUUASD+9DbKk3bguB/yaUPcs/QgWq0lE+
dIDpWxltIeLws8gw1KnQkhXOoen6ByzWSuK08E3miGqR7KuSIlxEZ76Cg82VyKHJfIWyqiStgKqZ
hRN0DqqGLG8pdZGA48XOAfTgQHIK7PqSHoQNwCc2d4Q66x7+DzAdgSkn6A5wnlB9ILMA7b6Km0pr
ZMFaA37d7oIKsGz7GZDQnhE7KZzK7QBgpTpp00aEip57yTeNg16GMmi+Xtv+jjc7szEJFfmfygJy
xD3fD00LIX7ORQ1cTqypDjfIcjjwYFsEkyisRmBP3P/9hU0855LmXVgFBZGhBCMzDrGDgIpMHNa8
bWcWjv+qNGP6ZiGiydoaBwh+fYxfIGBbb3roxr+0xdWFay/K48C4NHA2Mu6/y1KxZW5nPkDavYS4
NK5EIHqMmngMwxwqrxDzVNC8C5BeRqJKgkSjxFBTX5nBpUDCzQIJUfPQvp/ajUX39sqUekfrLXS+
rTBXaSgLmE356L6sOvnexqdjTmdxhKdrLs5TDBeKFixPOPqTTpUg1dhIyziFzGA/hbtYB3+6qICI
C2vTo0lGVg65MkjexjYB6GACvyMnAJqYixjU3W04DSjMKLuhoES0WoDE2BRY2YQDflZYP7PMa4IS
MyD5Rf50/1vR0xK4kRPNdRVrQnCZTMC3Cp0R2EeIvWcnQYcMkVpuOr2X8wuaoijQ8Yf+03vuX4N9
BeGda3W4P/7tij10OWelmd7roToPWSin18lrc212ns3s0KpUOS1zQhuF43cegLL0RKrxHya3c6g5
X6EECkcUNF4AaOM2mS3o0THfBGhR1grxTG7qY2242v03vI0qwBvOYhctFJKYtzgDKP3a6riSbOtL
YYSnYMu99Y5rZY5vZhbghuj9GJ4S7v4XDKPpnLnxdeeQcglWciMbICEB08ikWqwna0wtAT7LmeIP
WgJhoWL4swvJHFlOwWVLomIkjT6j9IHWnt34uZeu9OP9eZym69arzGJYXjSuUFVYKFBURptskKDq
cQJ3bFhrnC4dMnPQONSXoJBWcvhQKvswWvQDHFUSwz0wj1OSjUIYEOoD0OPgjGFf2OH0sYyXFDeg
ZiWGLWxGdh7COL5owzqD3DcbtjKdetusaldO9KViyxwnnrhcOKmPoiECF7swt9ILSeu42rEWI6k1
HI7EB7c48BAjT1WIHRO5VpzEAa4Cj1lxFUdolSRPYmj1gt24cIbtOCiFyyk0nVG2waWQc1oOsttW
b3SS7BHwcLEaIdnkpe6DeFe0K6ts4aD8ertvd4SMTwNc45Aujvvae4BG6ABtkkBnoI8SrnyFpbvC
HGfO5wQcGIOAcsirf2FMGPyAsla1crxFeqPcX85Ld4U54Dyr+Eaomhp3hUY4Ngz7TvkPNNr1nJlI
Sj98wiVi8lvT0Jd5roLk1HAQnyIOFRwreDiq5dJadvCVRN3YWXOMeZOKnA+zd7xutOFgBU+Qeptd
iuZUDHseJsOE3yvCI7unwfAKQoiQGeUw6tmOzw0GAAYfMlhjpabxJFRTY2cCQkqa4T5hP/Iw1iHV
F4b4TQCme10StSQjZR+gNeKxkWAjYAQUoI6wnsBrwZeA1fj/5uzLetzk3bc/ERKLwXDKGrJnJrOe
oOksgAGDwayf/n+leg/65Nc00iv1qGqTYOzb93It+rcKLqaWM5eUO0bR/htz1yBrnu9gzOf3qQ+2
Q6CDrAlXHJW8//t93Gg//OYF/LGvym5xzKbB5Fj12kdr/T2s4RUesTsp0Y2DbVw1i2YyQ2wraRGH
zU9IfifpnUN9Iy39DU/541dDSTAVVYpXt1QHzBPqbOXUsAa7K1F14/64xoAvFtNNTlA1jyw2E796
GtbGWgtQeEzIT/+98rcSt2t4dz+VTKEDep1DCO0Ot3CbWFtVMQuTEE1H51jeOXI3irHfpc4fiwVV
/l5rSYHFgpu1Vb5RmJ8Nffzvp7g13LxGbjt12qnYRdhAqGIPGlQjoVKHNKpatTFQSRtMAQLs+HbF
n4FbXsvnNirOd1FXN8LiNaRbtyHESmA4Atx4WXnI4sgz38BnFHz0y3zF8fJoCbIAsGLnjd6piW61
pa4B2hfVf8QO7OoyHsIk6qJhy875pgps34zsEJIy9ue8pf+f+0S/SqRmeKy0KccRHdfTwV4XO0CK
yFF5gBurp744x/nh36/yxmH9nR/8sU+yth5YZWPTE7g0GYBMMfP870++FfR/Ayf++OhJdtKwUwR9
re93hdGhIZwB/5IcqAE1MXMKjA5OaMnTpFqBWDAJTwzfVMAsqTpU2nLbECMgw8+dX3Np4fwl8P+u
Cf74NQk0V82FoSyUPlwSHvpdtfuGtyN4T/Zq2GV30u1bW/OqgVRkoqk7Ha+t1Yqtqg9eB4vMQSyb
aip8GIzFsPS+cwhvFbq/D+cfTzRCQ/6CMrgw6skaJJU1cD/uVolqULTMO1/yd5QLda4h2Xqtaw69
IOx4rAdddPmSNCh2+hvxgTiMwBZqN6CDR+ljGbEnelTizHFnlBTOnV9wa/50DcgGAgh4jctjAnoC
XhqMRoCbABvVuxeTnb/vjN/V2h/rONtsUFsNTbKiDaEGn8KYs/C7UAPNR6777M6teKsXdw24bhco
5tIJK6msOjf5/crAqVmDzgYNjdkvDvdwU7ee5yp0LMpSOoaO4Cy7APCTBsJgeZwf29M9tNHlg/5y
lH6HyD8WDJbHVVpQfIG17lxkx6dpdw8Yfuujr3IHORS9yWp8tEGfDPI8JJDHB6P80GR32u43Dujv
t/PHbxcG7aky4QtmLeofEmiDOOhSCDDYPBg/3Yk1t97AVRSYFs4U1FdY/CqAsF5ff2QlTAQhzWFw
t5j3GgqMDrI5FwtC6CeIH93xoYacO5A3Cv/9G271On5HjT8eFOr5xjJq+A0FBsrEk9WBllvAHin0
7gp4zD7bfq081/nosynq5as9rywoClQ7O4QnkoHap9kpW4goff37B90KV9dY6TnJ06oZ8YOWx8FX
NvVeD/JTpMEM0AWf4k4D4laL5XcU+eOx28xScnVEySTnF7OO23mj1pCYhp7gYr0Le3ZJv8qzGvWd
zzCGzfR1ba9mZUOns/rBR1hC38NK/p2GQJ1r2LTCKU11Bz0C2P7BvAY24285h4s87GcGM8yNcceM
XW6cZuZaSCrYM1TqKi1WJUqJXaWCgblJeHZnT944WNdI6R4GbU4i8GOUmXu9BN1Jh8w5Ba8TUpzZ
HezRjQxdvYo8qFarASaCYBLS1bJgamc+iAy9njtXwY2c9hpD3C8F5L4bPAOHiyvRBPxIQdU072me
XE7nX8LaNWiYi0GRzuWiAfE5araLC5fH/eCB5RwArYP2x78Pwo3goF4ysT92qOKgm1rB+BgVQP8B
ZWn3Qk9Qt/fmcrdy82tYMPqpA9EuxZ0OYalj+gj3mEOxhtvXa/UxvOivFMqRkClKd5pXOh6owYWf
QmHl3ozr1h64auvkWlPyfrg8HtAtxRRDlt3J4F7B7kyZbgTw/wEFM0MZs/zyeGDkiz3SAc/GBP3O
MbmVtKqX4vCPt9MtqWJJBWm+XSA4uOMzD+1HiKLD59zt/WUNO6XzjBameSpX/94Pf2f8UjhN/Pcr
+yWD4/ulXtZH2HmG+Upb1Ypbgn3K3AmjJn3VMt9K0TAtjsolWN7zpboBFfwfpxqdSzWvdXwz3Ot6
uEj7GjBpGHoHaUQOZah47BmqGHhSZ1ecYWqMP0NwL035u7gfnvsqWjh56swFlCswdUvfa7zNJSRe
ggD5CKcxf34ronnX74CR9UHe4Q/KaWldqGDv2MYK61V/sQvMvu+8g79PAGH1/N93kGYOyWA7eIGw
cp+Hw2Y5daHhNVG3vif6cvM9X+U2rUYKOzMBQaz2zisfsJresMVRfE584UEueZuEZkBCkIxNgLju
HJe/x0z7Ggus86VT2bQYWzvXfxQJ7KE9Q2q44Z//Xrm/H3fbuQTTP87LjI5/VltYOOeQgYzZbe8h
Nm8kMDAV++8nFyP0TBlBwca3+gea4DgZL/LTCNEvgwPqUezyJ2zRII/qY73V21WZe+XafNO3852l
u5Gx2NdQYCqgEvwb19xC4+ADasGwrQD7oFNcuMp407ftZum9hvyN/oLtXAWeuVtE1pqYnAzAArsM
xvcgD3ypsHl1l/WCPtcnlLK7l3E9rq27fdm/V//2NVZ4ooqazJctKV+rZwEaB9LRT9iJ+0ksA3VT
hHdptZfH+N/LFbaA/32bQ2Noi5gA3OgfFIikuDSacLPynUCYu1N733qYq3jS2/OgwTYWI2W76le2
Pi5eV4j2zrV9ow61rwG9trCgKqdhP6Yf0IhSgsGDHHPqPWn3wCe3wrF9FSDg9jJnfS/ULX1MHzBF
ZufxhzwDkQSbghx+3BcuoXac13w3+mXpzj7f3fXMuZyqv72fq6ykIOz/wboWFAHrFnZ6hypyAg4h
giKkLGh9cedY3YgY10DeTptYuZAeeCs0wxe1c2drb/eaC7tU998x6e8ZFiyY/rvXKKNtOusXBEAS
QrS7Vfw5g05rBUSSwr0W8obsTjV5c1NcDcZnmAktkiL80fFxyv2k/egp8SgE8Pv0TXlVptf8nkbn
3xMftOT++1QkccySpMDh8tw3wDRtYll99XDLpOHUlf6/l+7Gy7mG4pIKtnZqIoxtAoPqD4s1lVdO
DFpA7QiT1aZyhjvv6Fa8u4bhDhmMb7WmX7aZx0bAigsGh5PXMvF7QCIrHxLWvgFBylq4NY/J4g/D
G4dnn3HvtN26jq9hufBf60rKhmU7JLCc3fSz6nLouvBABVEQ4rVJC4pkJNb5FFdJPH8i7Pfpd1Vu
m0q9s31+jyP/cuquobuJpJUDXX7IrrZn8ARdrWH+uLypNMiMLZsCmF57hb3s+2ZfyPdZJEgaiKfV
rxUMoUUNHzrxNE7cIyqYm4J7zUwfWLkyoDDsTGnQ9iKoDOFVyQqdDoiQlijJInjOu1q10ZsmqNjH
iEkU1yERqAZ6fu7o19yH/95LN1/xVTzLVSMXU4EVVjbJWv/hZ6Ar1tSbw3LfrrRTfeaF+8ie7nzb
jVN/LcedOyPX+ADvj95LVypEPccAc98wvYhnQb0u+0CvF1LVUGd27xyWv6sGUfsaOFxria3BgApy
v2B/6+euQyeJ84OeQqawfOpgtK2lR1i6u2I5c2ZGmQV2Oi+CMudbiy4HIc6QJYFRAY4AhHUtK0gN
oBUyONVOHrTy+9lvSO0OGocjwuTSLCD9fpbWnTP4G0L3t+13FShtWsiFGiM8gBIJuQmMUxYSLuaq
YBSdiLMNBk/X4VyiRdPrc6RnX4Wyb+r2CyLXblp+LsVHX2vRnH7b5QvX0NCKR6K4LVlJ9qKwA9yW
L9rHzmNSRAW6+jmULEw2biqccgsa1R0AYEnpC+3FwiBHNfmB1FHTKK6inozsGyonXpNBWC5T3Iq/
Tm25G5SodIIORhkzPg6KOI7BdyBbeLQNLFB4x/rOiPTGoA5CGP8Nt0pORSFNiPqq6AVovvKgrbiP
hu2ziDPg7pQ7Q80bUf3azJZZs9ULk8xbG4B6AkFlmIdDh6sGNXs+O8Pbvw/HDQAXTCX/+zQ5NlQ5
mtB3HvxxB98UJyx+2ggYVHOlR7h7OxfzwUWzvT5iW/o6aAEcrUzq6l49Nq6+LdC8DB+Ui/VRtxoy
r+/QzISOxrCXUAyx72zIWxHjGovdww8XHgc4UAjIBf8FSfENOSywTYUUUfFKPSlBhAdXxtOYf6/Q
uEFbs6+R2GZiSTWdmIqWcAO8f3ciC4YLoCxah/ylsf20OSzaeWw++y5UTyLxZtud7FeiTW4n6xcd
FEsw2D77ZPENTK3UPBzG3Tx7WelXaPqZO5ZZ93oFl5P5lxN7jexmOvjQioEUUevWIl1Ch2FNoE4I
mQUt6NI3B6x9AL7bN1Xca4nc2KHXOO+lkQ2s5vGV0ON7KMM0tlbd8V55eqvKuwZ0s5nDB/5CUxhA
sIhQfet7s8EKx8MvckabHGLuUJDczBvz7Jz4z/DQlt5y1CChHdWbe1OuG11jOD3/93jM8M6ty+5y
2E/Wmr3BayhiOy2GNfp62JSHaofOhwLtt+qL4Kf8+0ya+m9k2t/e5lX87WwCWIfUIaZfsTNRnZM6
vzZK8YsP/QkW65ICFZJprlYAVbRAo0DrXw3tITfTdZt3ftvxXS1SX0cU5Kc5Odp5WLenoX5kJqwC
eeEJjB1gnegacH1Kp+mYNNDJr+avLOnXMp33rVmt7BrTedbA/YdBeFmHkHTRIQFqUWw6iVcJ2FDm
7WZJJLowY5CWaTBC4bPMAgP26UKVD4rmzG4L+2FvqEMMEH0xETiMQ+9Cj3m1LXuxG51HAbKnocbA
tAWS2xmoewctCeRke4r+gSvPl8kY9nb90eexag6ehsc17TfGCCA58E5Q3aT/VdVwMynLt9mBiTP9
STtnZU+dVyy68HHdFDJsphe1ChWJnnptt8wrU8giFEPu6vMxI3B3N7Rmn1YZxDTnETinfGzCRRaB
7Kc1kiW7jWGXtSam9Z6k5Qa+nS8DK32n4E9mNkUNIW+ZU3pTV/3KpvEgpyzWnKhvoHsqubqS0nFB
eNA7tm3yFkJKBKdw1hmHghK5GL53tYnAZVgBX+BLAIkr/a0ookpfs/Sr7nqfQAFItYmbMRvRF97G
A6i6ZAAjpW9UeRKj9d7Zxt5pHRa1tLeqgFYW+xxggP6rr0UFWRYBpwPuTFhBqGnB1EmZuJ/CQDJW
UjhTVKKjLlZxdoeW4l8OuhXMZHBNA8ELRP+AO5C4VtrXzGrTV7PmL6x6l6UctmZhRtpk+vVQ2KuS
zO/wli5XtWF2r1kGTWqH8J+lFtEydtCXDJh8TLLD2D+11iHLOk+BJUQTzhJyksMKmvjI6CnPjlnr
FYkTGGlUaB5L1jOvYHVQwWLRdnpMaOI2g2HrqRAzqGZfCYGL9tEAnTjbsDSu2Eo266k9dEiFsyLx
jL7xE8g9TS4087LRVaUPbVps3Qxx2PIrJZqgUy3zLem36uz15ARh8ZKsUIhCAM5WHoZpm3WAtFiR
CRN7Q6MBnHwNLyme1WUHr4hqBEqyVf1WcxNl3pSq2CUQDakwR4EU2tFesgcHho0zCCl1sx+Lxwb7
lr7OKizGBPwtH02739btdyW+J5w50sIcQ/9oJmwSY3joZBbZBXnBuA4MMYqSRJn8nDDA/dQMMp+9
hyrdy3DGtebMyXFJzvWo1zHl6gFiI4ey1Xat3gYCLl/xLNOXXrPD1EI/cXkotH0FYts0vi9FvcFj
zCNmkwqEe7rnRCze4MjNrKbAXzvr0UicWHL90ZjJAzxtjbOdjN2qghWukvmKMZUbk6EpgcPbVBzG
QxxCVtgaBAOsFlpPzG1q1SPliyEyf5rZGSKl44x3nllo2tKwFvthWYRnUzWmRlANVTAVMAxpw2pa
XgYBgjqs3gZHQS7qTum+fytnC4taHYYRHroK9KSyAa3yHPByWJwoKQZZMlCwVcwyD1GegTQKQ5jx
PGksbOni16bh1bTDS1JFrAmf64F64XpB9aXecoWn0C/dKdQf0FVRIRkdwP3Iv3wOgSvktOUm1O51
J2K56YRC7eqVkQHR7ljNm2jIsdHnZFulj+N46MW3ZK0L52E5R4U423jrVo5ukfTBO8DpqKzao73q
dcbGUla5zROf9/sFEq52LrZKVsYVmv2pWlRemzvnBObC/oDb0FCsR112sP5SijUWeIxEuUPnyUmD
XrrtliKyHVS0rulxkNAwBXMpK0/q4CrlO5D5tvMI5xB1+GU5iekqgGu8l06kzis4aJjSZZYnS0/7
hf8plphJr4Gxhu1qo6cByoiBgOEOUOS38v0IH556qy5uWj3U2jGH5hUPJAqYVIS2tpHJSVl+sgoU
Pf6pVZDvgPcFhVht0adPQ5utFFbGVlY+SSYgSFvUetRV6wyDDtFVkT1kNDTAwjMdOABPVtThvuoN
HWL3hdf17eQVUOCFRKmJK81EFLxIOW5S44xIns+wBZohWfRuYpSQmhsH9RXhIyQoaOOZ5ipTF+nx
usE3pFLuBKf5L+2xzcPJDJISXD/L0y/jWeAtq8igNAIZDALaE/U0K3exeYK0I55SA4GSg4eUHkdT
9xcqXcWGlSLdwaFdt1ME0SWufsoF2i6gfTw08GQoYIQWS6vwZA2POsbHN9L1h0nC5Q3OCmh9zAEv
t7CSK3TIlcHJbgh6bd0YgZIFwsDMGKo2Et9rO1425hIUC6zaR17sO8jRFiiLRnAwd3yJjQK1JPk2
VCgNEH+u90x9qhYFlvFBK9fUCrQOI5b2CdJRkdltU+KnGXiBoj+Z9b4Zgg6SXQSNABijVrB3ko/L
aQDAh8kHUDF50sI5jwcwF7Fp0OdwFyBP84x4xKfQAvW803tPzhMMq/1efbfZF4VDhUQZE+bfvY0g
ASZtjTgFwAtAszC20+LaMTxdDzUtcNpzmz6Z9dq4hArXGnY132AalVZ7aw5aiG2jQ03cmnpNgzj3
pkyP1XKuUbSQ3h+SWAenrY+4XDlw/kSP73VJN5g/EhyOJfuAi1Ro687WscQOWR58e0d08qkmg15U
iENsfmhmM07xRptUPRBUoWWTyy2DbQ9vW4yjMJ7ziFgCZ5nWDOIjQap2uGLm4mDZ6BtpWcAs68N+
z9og5ws2LfMMS1+lXbmBFNV6uCw+Orr2WIQ9HELFAle8OhwQ6Bu8C3Ru5DStodvhaaL3+bwvMaUf
BD220nPkusykr08imvuBe6IVWxN9AAtO2sQQByG3uvKYGOWm0z9grcznBOx8ORyNXDmCcuIJCIRC
ZfLcU/SUlLWlwP5UQGJyGjWXTB6z2W6chIHwxC14dNbtptdp7TnLjMxKW+npa0/RMuoJRVKldkj2
kJRlOg3naqp+LQMufEYNn1UhwMsQQ3bqiKRWOJMeKkyd3y+G26P7j6aluqMNzm8R4xKgBCTyelmT
2Q51jrJSt6JMjIdpfMW82BWk81RoB7bV6OvwYJxr4mXm1ilN4LL5vHEWAXtiSIrgYsutx2bsQhAr
4R8JN1n0Ahylgn2ymr3yhEZK8qGiZYBum7s4a4ee4HIaOakO49PLZgYRKOHEtU9tG5lVsm4c+2c2
UsMfmHKseJw06ofG4MOU41Wbg4j0ZsSKoTP/JDF2WiL7EUBy07Rdh24A+BbIQpb2fZ6nyGkh8zQ8
V867rj7L5ZnMSOuCpjwtsE7UZDjDuAP67kmcQbMSqYCnW+xh1I3vAfwuT4URCnTfeqDSqoPIm109
OLprcCW2GuxYpV3RIdTrSK3YJ6EiyBwJCd3LWLFeYB4Pc9aWW8FYWswFe36CX1K6Ebwat6PVwRSP
yyzO5mk9QHDbBZn3Yai1nSXnbGWow1uNO3wF7qUT1e2HtrCAM+d7muCxWjNvsJ6ZhfQdkH302fMj
rN1hyqlVvwqGwmSoYH43QvFlEH5XAr4192tks7FIlA3X2Cprkgg2o8+Q79sQokTziBRn4PmP4UBS
OYXXnAlTe2q/qzNFkoZtZ8GfHNESKIma73E5bwygi7t2u7D33HlTTYSKPS2czC1w4PkAU09YFBRB
gyZTZ3aBIhBKhgkyOxh3b7plgr0zqFhu7vTZdpL2qk2MQ0PbrYmhW9pUm2VyQGFDMdAmYZkyv9Y4
lq9RV0TWGJQv83ZKqzBfcs+cX1RivTcTyjSNbyoNBwodV2Z+s+4tQ4YkqwaO8WACBMI0g6XvDnou
PdUIM/1Xh1mvbfBHRXtoIJ7Sjk/wRN1WpDxOMgXTwMYnwfBn3+Mb9G6G2ns5I2kzXrq2fpsNZ1V3
xTPPxmcd/ZlJP4p+O/HsG74X8L6E8xk8soY5wb2I+U2lgEznJs05hTOmhh34KOElgrNQBEWzR4St
60DvNgWG0Fo4O1FVPjooB5BrXM4uadbS0Vcah3cZbn8xYpfAQfxMexGLHGFXmP6sABmqfYzq2Zr9
noE5RLRvvexfzfELm9BHPYb44SVVFbQZ85Ni8hPxaVHYjRvf9RAsVGxnJHLdmG81Q3UV+W3ZiqvB
lZo/Gfapyv2KQpEcre4aMhQTeqkGfzNMdnQSDd5EShHPoJMIa0aMwwh1rH3del2ycj3b9ZPIgR7o
qpWuepUKQWuQaErTp86aIk80PlnqI7bK4p1QLJKXg4bBsHL9qskDkp8TsGv5a2b4NgQ8VGVrq6vq
FwaMremlkAznb6PxatoxsoRliooOnQxtnY/wQe2yNXVCU+CmRpmyMaf+uIz2LoVgBvhGasd9BeNe
KZHSQjB1sLwBalaygGYqciL5NS3wdoJLl/GazBGDWUMLunhepYHO9kR8WKAv2QODMSJKuyFUrV2B
zi1EMOE3JotQ0LVV7xE9W9wwA9sa4GqqJx3CkhPOTyN9W4VpK7wKie079nsKSZ0Wzth6bGIGmXzM
TxmACeKiP1zpIV2eJ1D6utKTaDrBZUSLGxwosU+M0Ex2tgODIg+VToOMTyp+T/fSqBCLNqWE2u3i
7G1kwaQQgQY9KDSE+7bwtaKHcxFCNrLsrkrjFBWX4RRBimpBL3CsVczUHmaOpq/0mzndQegu6iQq
ikmuFZmFjgbNzPzSSMhhEiWCVH4ncBXNyzkUQ40YV7t5Gw1p1JollCCfWgKNnajSAlomeIh2w8rU
r5mB3Dj3LXU6jDWNzRTzdmJ8qSnEqKp2hav9qIwkVMowgcLi9JqAv9HyMp7VwLDWdfVDEXomjrIj
0NAuTVisA1np2qBtY5IT9+KdkngAuL6eP7rmSMD64C7mSxJOP4gApYvsuxiCcnb5N5weXFFbz1UX
69leKq9w946UEb5lNkQCICaH1belDx9X29lpJTKjZOPgqh1qkNRYU6NPVpv510UaEtUypf0pq8fx
zRTq9EYS0aFVafdkrSh1aIxTxLgM0J8QXpYVoQV36ESi8tVB+Wb1j42zlvIWguwjWZfttB7TPNId
WEdYy3HRdDCmilDOQ8y19muxrHyHFPjsqClfAWriQbHpLI3mQVTjT5qicMMM002SjEYy4w+NDf5U
YjsP6uxY7mRlqF7mBC62yqnWZ6+DHTWey1fn/pddDlmUJtqPYmtB3Sdf8/hQiP3Sec27IT4xI+xB
/UDN0/tG6ZWfFgTG2NAGc39J4Kjc1C+KDh8cqNFBos6OLsMWGxUZ2TU5CH4BVeCW5WujO/NAm0JZ
f9Q5fr1LtDPp3LLxMnKhJ8Q4saQO8nJta6HZpV7ShjBHQ4thrl6hT4lEkAPy60t1o6Fj1wiYwcfw
G3CcY1WDLv1j/dIO5Nl4U+YQ5t5apPW+ZvlNF5b5Y892vdl5mBybR4nL2kx9NCvAZIUudpZFRb1v
8bclHm9Ct83tyl3PYg7pzcHjLBJQvHQOBossmGcDVMxpIGDJjCo4XStIdOonC6JSycMg9KCv3KH4
zK0wAepci8nOABKxXqC2+Iuywi0TjDyfBVhr3YoZm6pqYmZFMIEH1XWUv7Le1/M4Yd9K9pEs51R+
DsUSN1rYQo2q8VH6cbQJ0xYiwS4caTsROM2hpgvCKeBsKXpgxRqJ3NLUIbM/nIHtSxOawhb+GY6H
CaODBn65hHsTw9Yo4uLRaFJUoA+CBbhLZubrHBJYLNsBTRyJLtsSe2sdzGYLFrkNIR3AZhrf+VQG
gSo7SOlzhc4EP3RDrC1whC8wqodsmLBQh29atkaaoIC2r8LnAKRK56ly4sZ8zTQQEMvxwSKfFAK9
DA0mmNSPCGb8lbTwdlSsgIhtxf1M/ep0yP3yXw7wc9VPMxxNTP8NcMvrAEKfmokGx06v3tBnktkh
aWJhPvJi15rbGux5QMArsOcBblKVAJfe3MaaHiMhWOovngQlfMvLyqdo2skAcqiujl4Vm+SFhghF
+Gyw/OwHV1ICq8GJPPGOIMyGvYJGCzyI+x3SkQYss0/keL5oVhok2V6q2rV/4VLpnutvU4SpOJdW
TMDJ3wlk54MEswOSxtJwhkNS1Sc4mLpGg8WEUb364CQRDCwz+wnPQusTfyTZczodoDWsLE+tgcwm
yz2W830jUcejqLayClCmPrJUPNyyS164soAyDcckMybQiisadG42pVNGlDOceEgEOr6WHZU1gYY0
h3L4thL1s4VbskQSpmcoZstnsz6ms1tXp0Riy+8slDOc4A0AEqgSyD/Dd3P2Uvs4F4/OsiDt22Gy
PrQHwNVcSrdzfeTGk0j2JhLaGlOwMjQSf9BXVbnJwbPuDTQPixB9K8bj7qFGHIQ4c6djy6KueWx4
SK33fllXCnq8kXjvitUI4i/9MGCRo+LSBG1wesdz0SwaVdiza5+crNDcdMt6beYhRFhgQeLQsP/G
KVOcQJIVJqAjMpDlmNOnhn/35YcluhP67UAhGN22kR4p8O5e8Vs5e5uM1hUtRob0AWBRB6+vc9RV
hl5EU5+m6m3O9wsUQtLXjqduZZxYEnHU46lLnScy+Wi7OXvWog9mRAaPgc7yKCLVgEIMTaAS/if0
RRMbC7CjItsMSGURRyyv7bDftwz3fm+hnNcQUxbFR2sIKUXLY2RAKJZznEeYD2EvJBMY1S6U2dH1
ckBkc8IEd136QerPsXztWo+AUwQRGufAa+5BotdCr0TbdDX6KNYBIIaBw9QoouyI2onruDat0qXG
s420IvHqxVOBiO1OAlqSFS6Pn8I8GvWxKj0rjVLjy3RK37TOReqVLM7aqCcrDDlwDQ/UG2Hn0DxB
N5iVkC1TdjN/7OCl3ex7dsy6F5OjgbvplDEYwBlg5fvkxIb6g4xOKKlnIUvRkcdkm2IBha3wlQkY
HE8IuGK4HHse2YuKfMTNWjseE/Io6xTzEzwfhFpgy2q63ddYr3BSmsxnbWSzVdsieTl3QnG79Dux
NlayXgCCzXxaRsOXYEjVoOAEmr4ZZM8TfHgnX+8O4A0jF+xQ4OlnBx33rQEbZBslCppLKs5yjisw
stAlUVgs0tIv2+fCght6hYHHhvVIGmmsdB+LTT0rX1fQO+xqT6UrDogznDZ0XKcR3RdTQPTn5dvI
X3RYqisofl8S0OQRly3uqRXePvyj/JT7FBGr2gFKophfHdqt55nY6G271cXMBnG0hDGuDBUQJuHi
hInA9DWRQG6gRj5rgAChvXjGDUQTKNjpK936LKbX9ljjYslWOXRbkKYl31b5MgIJjFZWiVBLPEMm
PjA6g4X0HG1H9D/csYtnoCVN+pYau45AMacIxwyLND3p4wY7oRToEXoG6HjCd7q9KgHtRLPX18lL
juYDPQ6TD/UnA3Wk9qxg3k3QSVaE5Q8TWmIAY1CXiu862Y+QlXZi8mahn5MhbV7N9qGGr1bvWjZ0
B55HpfaBe3SX+evSD3wD7JeqW3U6TYAUofRv6mjugoaF6ujVip90QSdjyFar+bs9xAXj/jRiEqb2
J2NI3IXaUZpCZ7478QknDOWnCWcDoPQOrHlIh6BtVmJct08CJqBQmP9B7ZkACkleUqAV7SB57AEo
f6M/feFnmlerUKhf6Y4Llo89roa1xPygD3Tc0d8GW2vfFYFyP8QE04QEffpuy/8j6TyWG0eyKPpF
iIBHYks4eiPKbxAyJXjv8fVz2LPqiemqrhIJZL537fus3PRnjRgCdbx179oSVPyNNG9dVqDKpzJS
tswgNJY5bPFh8rlqsqMh2SI8wSitHVcyuAzbAp9DkD0gO47eS2R8KQknpdcXB8B6W/0XR27efSd5
ANJKQ7aYXxTp0LVuNm9DOWDhM//0zHLaj1T/rYcvQF4qozfpp8pIfc9KwUNWPzQNWhUUIO/5OZyb
XWue4LE3+XLUuXWlARTWrzXwwZmK2a+BBABxk/+q6olVIje3elRtmvlgVFzTM3vrzsp+GuVXM54e
+D9BUJxsanH9D1h6PHL6Jj0m8ZboGNsxqi38ACouGWAoXr/NdCfTxCy/5HzlE795xSCd3cGbN3Ct
VniX7/AmHd3M5hw084uR31OeqbgmTJyo2ulJ3/X1udYCa3HD2QctQRBGGQAh3AXqRnYZ3i7yjYJW
3jWKz/NmzZ8D10J07A3PCp0hCsK6dKmErab7GhN5cLCbO1Dx9DNEjVO96/qdr13u3JykcjMYWx+o
esLy8L2ahzSk1oCKYcIKG4YaqeFbW14N6JnktZP+ra2j8uBYC7zH4VFEoD90bI4dFY5We7ZSuUPx
S9qDFXnpdW3fNB18ReEmJHr/naw4KdsyRdeLN6KXkrj+g1ZHAkB3c/tNfa1tHHIjSLNtrjg2sysV
OYJ0sT4QgjPaz1l9OYWoTZeKbTYEvJpm4YNwS/TzASflvmy/xl9Lz6ZewE2pzhhvDeusIPNTT32z
tdWfif9z3Y3Wrs42pfQW1i/1V6mG+zB9gTl5LD32gEi/Jeare+9OOpB+O2uOlt9a86CMXOYKtuUX
O3ybY0QhlcOXwKymMGivhptCiXESd0zOJgz5uJHHRwBS4mYV2m7+aa9MVPWzPheH2WRp0/2JZyvD
hrqRnk3MDsU/XVM+KgXvbQ6WN0Nk4K5qVY2b47CUbm/WJ+v/1zuNDRUNUMs0OTEtTVX1pdN/gHPF
vFmN+i4BQGwkY3hw2FXhdC2sPdeQAHk2igyUiLaaqHtutWbfLfFOLSvHHOptW4d/clp/2qP4ltQk
aKCWN5mZOHq3NbPMLybds4SnmiMXy6aMfJ1t9oqQCQHpRihuFf+q8beKGkE9hCJgBadssNV2Sn14
wHCxK5t/UPbFLy3020QjdBvPXnVp7kMTecPyN4yaiwKl4+ICc97q/JdlzVNWbQjmvokd4tv80fBa
xV+FX0K1GEPyN5t7FepkFsNHqXss403n6GI6ZQ0ZzP14WHpe4gJMTMVeA0itJufqye4+IkP204lY
tybzIyu7AQH42fCo71KfxvGx2APUzlTk1u1jTpaJ9+cKmtvZixqO13o9gamF6/ihiHuipbcq3KX8
asOQnnTpTrZom3FNEHR/jeMT9+a0+KvNjHU0/qLp34TSOgIB2DDgE0FhuYp+mJAuaqRlRSRqORy1
j6EXZrh/oA8LwHd/naJtOe4XkFjIKqgELbrZJfwFPM/OUA6rCeSuenXGKbjuqwWYaLeusHEnbuFk
cITp6/O9JG+73YSmV2HQDGkxCUa521XLufq10Fxl1ngFXAalGMerNOylp7U/UmeBh3K0PgwR8em6
uRoU1tauI7QN/0yiUqqLep+1XZGR3bej5G6TUdvIqTcOPgu33j7r9hNqF+KkkRNI6l3l0WdO5jua
dHeODilThsyAQF6LIEoNwigiSIoOvpFfCHjdfefWxzBtLXW3kFREXdf8O6IJLCDwLiNnuT4wrRVe
Bk0czuSNa/G2Gy9F+mqbp2U6Z7CsAL3GXu/R2wHuNo8SwLnx8yEB7X8nGgf25M6Qx4iikM/4Mi6X
Rrn3f/ZvnpibIfHM8KeeAbCS5D6bw4fCzbDwm4f4raq/cpRg9nQYafLTnSnxIUW13pWwd/WjI47N
qDBKfGRMj4yRuQ9+p80be2vTVBVe8izIy7s9HtvRk/KLDLc8ZAca2IUm3pb3BtTzn8yuDe4Z1L9V
+M8QTmaz9KNVzmSHz102zuvsGnzes0NyruksOoOrU74mE21JSuHFyUfdnORvwa8ZMm8ufsPqdSDR
Vc+urICQkLBHun5aq9Ttde5PHIOdso+q7qC3cIAkEkExFvJuHdkkQI6B+nze5Z7Z6WTmr9kKnY6c
ZUAckHe+zsebvxF9M+vLoWGOU03X7o+rcskbZ54IfQ4I2vD1Q2g9Kk51b2k+Zhme39G1f8tDToGi
xvbYPjRkKw3DxmO/yVQGC1QkuVOB+DEyoPSxMfqmH92zwmpSO722nVdPe7KvY/vavKW2w/MACApY
oUSQW9JfXn6SSlYXvv1RMmgq7y0wS5Ru5dJ2l3IToZAtXM3a1LHsqtekhA53H7Pbx7L4YbjFCSSL
74a+1QvoORZrmKKLzXVQKXzoU6D3+3pgo7Hp/lAPzfCNJfdokfmtr74Ejbl+hyNqifJ5+pAeSTD9
UUKl0da02PZ+wqEh72ZWpWol6O8UaahiH/cMrIJae+FwWqNztnw0yXsUe7b8KUPRJfqbmdmBcZxl
bzbhHg85CLwN/UNxh5yYL7Yifw+FdIgabpqQoMdXAbYv1e9myjHrxjS6E4I+fhGZH2cuu0aJylAc
F4OIK5MvB6G+/m8O90UqBTL8dRzu5IkPKL0PY+PbRRY0FhwOxN16qdHSRRCgCLHHYx1yTkSuyatd
Vz9pfE5ApqPIaRGRRO1WtIWz0M7GwhC334b0rBUT4qAJTT52T96QyGJ4R/pYxn66lswQ4Nomt1Rj
elY2eYuBHiePAB607NLn06ZWrNMAo0++s+Ro6m2I7lRMwnVHNgKpDfP2aLWs99lTXJMIMOZGiwYK
xEStt5lJuY1gCy9yP2ZXhHkGMenfRP0llIDnkmUcSFGaTm31lds8EwmAC9OpiKuzIlSnFDepcx8f
9XjT+0vBHxjlX/zXrBQZo7jl+m9Yk5b9lsrI8xUWcPVZomY3Nvx57Yk5YtllTg5RhXNUFFvlTwW0
t2MfZKRZVuSQoaq7pfkm1Xwoh5qjcP2q7O8uih6/5cDzn6KKMSPWhJNuMXcnjqo/TXOM8qv44MoW
CnCiZW5GJNqFlX12JhBqPpNp8wYOgk0HARnEwLvcHcv4r4OHX9h2x79V79z/hCqX1TgPUOsRO1rD
mSgL8V4xEiXt+5hne02gyYrTvcpfPBLWgVrMQzEr94FMgmlf6s9hdtXRMkbhq9xNnbvaymXox9Br
1ce0WX3EeRoUB2n+sBXwa4RuzsCPMrwm9pOqjv6c77sVniq8lRGIknbro32lwhw+KdLWEN5qh645
/msrL4ZdMa0d5a5Mu0a5S6SXRB2ZtH/M6lsHYkr6naFDt2zSlsbJEuQ9IxG2eOqn/pwW6lOug1VT
XxYXe4MYxeJHb5FL9IsM61zAdK5fU8dFGtt3Yqx55+b225yTF8mGa69Xwy+VEf4J5aPWVrtm4A3v
B4NzzfoZepASbmBlksR2yMRXGC97evqeo2E/qy8WsuIKC0HSvBlSdOsAtVsWjMSSxlMCuw+cJmSn
TCB2M4YW39Dk2K9V48kyo+Su6QiEmoiZvlyrnW5H98qivEdHOFr9qFHmqYa2kxrUjMX6tsoPCIgj
J5JtdP/nPIbJRQilhw9lIHujbrdvhU2VniTGvT6NeAHIVdvopbod7Dh0mtTKnEFuxiDu9e+otSIf
JhTVwhKfRIiARNdGukMVpvvyEkp+n291xcbf5uI7mLTpVeJ+D43rMj6zfrbpwRZ4J5rELVEkld+G
qbsWRQjrxmhZpzLC9AVOGKeN/hLpSaOkiCUUq4ytTTcqmiDhFIQNmYLHbO41agKb6ikX0qFRpMkR
kuYZ5HKovKi2K/r7YCSuUm4X7csQ8F9qkPc8DepXO7PiF6gp6hKuBM5SPAg6UogrzbEIMlrr5tzG
9ZtpKlRujzBRqoeYXd+ninEZCd4EJliYYgUQFqXHjMHbxIQr0D70mIzKOB53bVccx2nQYbVC2C4C
hmMRNI3Ml4lhzrFEETqh1OmbttEVL474vC0bmmRQ08WF4Dl1ZXstVNsRnCLSXJ+17tNOxb4gaKQZ
h4oGJ8OdbXSohlb/GtLRqopdEg1444YEfL8I5PBijH5KC4qNLUujB36RLpog0JakgPKcagzODlOk
pWwpodC4LebohE8pYepcipfF3Eutr9r7ygii+T6Kg06bKfYA3ra+7m881pHfU9gBnaWvYPWpBB6p
oQFTkGYpXjpr4P6K9UJDMNd8SUhTsn52c7sHX2EbrXqnaJ9rWjMitpsL9LZkHfT4yTS8jqiJzrUT
cCaI3oSbZWCzyNctG4CNQQpLqxDegKNB85A/+BUBtsNiuVrEj1vvokbshiX2BxQIg8pi2bzGk9cM
w7bJtV2j9zrcGyNTiuYQ0TPn72vzVAGnDuLH4txm+O3Hr7y3CazRPur2F+AsbMtzHyVnpdrm6nRc
7X+6AOwu2FBadb8Ynb+YfA61tBPxt6ZT2iK52M9Ii9rnSlc7dil/yXZA5aPb1shf7Db8asuGAp00
RESCGm9WdFeqzK/EUlYmH4oBu+GtV+Stmsb3JcycsBG03emOESYoISoJHe7YLUHXWsR9ztVg/45t
LXuDvAhXUqLEU4zwn1KhR+Wl1oaOQsm6RzacyvQtFIZW8S+gD+Kam3wtZCSdHY1gVmQfkGBrLgwg
b0c3FH6WptuhsQ/xPMPkUX6DimmCkK/mCGysNmYn7iofqK2qdCRnI/CNGMv0kM4NuFR8bTC1NcAj
Q1aeJMg4bVS2K0rEeag+JsX2E5FdkOeesyS9hQ+DogbuNDDer/hWClQ3pmnKnjyUg2/WD4XYeTYO
sp6KpxVpZzWZtl8+RLvo3J0pJiY/jHfmuFlFsbWR+hsMVDrbSYo3qUKloN17XvkGeiksWka2XvbM
8WtcP/Vmq7J3asjJWpQ2MeMJHj3JjcynTj3Pls2sU7s0W4eqsVF7/op/XU30X2geMxQILYNyaTGl
m1+Z1LDBSKY7F29lnb0oYjEvCzQ3WELOav5QbyuZ5ubjxaqvZvwqtaDUe7msHi9cmZA7WZjftcmD
pr2jafGHDDuajII41pq/Gil/5oziPYmiQEsgKxpQuEzWbWfpxY7aIJqX/joyYbqZGce+I+Fox8tY
/mbhdzwCd/IKi+UfIoOJCbtI8eP3oBSLrHit6a+D3+GOkK+jHljhLVTOWtjH1wznpoYK8W7M629S
j9M+7V5FHvS5+c8oEmpWxsBALkaXn49SvtIu5kRvwJhDrLh97WT9c2Kqjkk+rDU5OWrcTOu3/UN5
R9412pDZRvMrvKTPgRiuVXNaYgRPqFeFWsDyF64Zt1szRontEW9nLTQ58HRtJsKlHkNtCT8hw+xJ
WzuXME++c/kiO0HC1aICkdm668+EZL9C4XjVvbaczuu0S8KDKi6dkToRR0w2vo7tE6QT1PJUQKT6
dgnyhujUxpbrSIrhjzLXGgxNPGafoxRfMqZxvT3M0ucw2T6H9i3RG1+aXnRNJ3p1wpuguWUmGTeD
Wa/IkTOMHSdtfotMYWz7diUDhPHfq8IB3lS58d8f1dhBxMSAzEtbZf0xYRMrivUUKSR1g1NogED9
mEKrLheRmw8VkxIU8javvtaFxI9Zd9pVdRTlow+rvT3n/By4YLMvy0I7xW/sHnAgPKTyVwwIYNVu
Y4HJ93g1Ki1PXMDwdTGxnIJ05Ovepr9aXd2ijiFICPIuRDShK2DtTaV/hTBRkKJuRGifpEEc+TX5
MBUAdpZsx3oR7He7RozXWV5wt4xdUhOqCqFd5hDXes/62RCIYnYLmIPmj+Nf3FjiCWVAsxnjcrgO
MYg+x/4MrxXFyuLKMj4PG6AqPcpD2jhjrb9ayFAweFSmca1LLUjwuexbXMkYV6RyKwrqHCUG72ER
vLArIspZDWP3kej0Xtfk/i7rW7aOEuKNrdLLJRcg6Eib9IEanWaanGpLF5tGTS+l5OUIRIaKgDlN
Y120JJgFWeB6zNutOkpIWmcwQAax2yBF92jM3WXWxLGfl69ZAjfUDLl1hYp6uLLsp0ahOs2en0Bc
s/atfWzKnRr9VTYp84ly1RhE9XrKnMq2rmoHq5xf1PAZlXruZelnQ+HI/Da0XJp1cw/FTSPAGj3h
INMkIF7n7Cdk+Wqbt3j6UDjcYvHcm2+zAaqrvMiAhulDEfSW6pDFGn+Oy2Nztie8A2HcNEdrgWQK
jVzZWkmsfoW4VQuI02iFk6vC0LUZruTR1x7L3QBxHq6NDZJq7aY207/6tfEmtcHQHD7PybjVQsst
sll5lsVvOEgO14LRJMkrEil6GUwEGa1WWyiCJ+m7lSMcKOlX1xX/ojUGJXur127XpOGrBLwgD8/J
DCQbmwhuOiPPtrE1q7w+qHor2S14/DacQ8KwFIwA0VE3t7n8s8SUDAoNXbH2UyTiBHgxrEKGTmY2
wZaD9I1z3Kg4MK2gLP+00oRg7IkkmpXhIM+xQljwTzW9mQM+ITB5Xbe577KgW4qtCYoXDV8VKelD
/IwTC7k7KsSRj5vjYXoZJqShulyyraSuAaKirrBDlp5se8ZoEHSwqenx06StXzY3aNmcTd4WH50l
P0Wl/VnUBQM0+KW5FBLagke4A6LHoCja195kvANwS83xRCBxKvnoxqN+DiwMUSiYdQgR4bYt206b
PmTqVGRsYgl6A0K70FC9GCby7zo1wneAXw6w5p+p1t8j3yw6DiVGOkrYXnYlyBiYRHqShrOglsbp
2C/cpXkj1xE1ixY5xQTKSVrygK1LGTgnWeaKyrgV/FPJVq8f+90gIwJZxYGW0w224llB1NIKJ++T
IAkXeoyBZ6S3JeIba5RTbR2BIE/tCPAtzKsSVVvk00U0te8zPbLlUOEfQq1GwrPV879L2A+W5WUN
dAsVX8uLZRBtWP9NIUBeNdvvQ9ZCPcds3RIO58LUwWX02secMJNxekbW3uy63Bbb1W6AX2P9WKag
fcxCshtVdnPSBpRmQmkRG8v7UGUYTjs3TQ22uoinsJNH5lKcKJ2BNj22YQv18GZOJgCSZZwlS9yt
rHGU8Fwt7dFkotdE7HcCsFg4HGOHzGZegQCLurcmQ5wyzdtK1y6UAkLdvcBDLngsgmn6pzbWoUht
Txd8w/Bf/HnPoLttMW2jsdkl/LWUDg3/+FIpk2+knxz826UqDoltbcMuYDmOh5PxEqLZqWu6vVGt
dJXihGC7qzU6yLD3cfgRtpyOPCiIa+JkPdaR4few2/o8A8WKl5qIuGqilca8mki9sVtDPctOs/7T
UWr14bBryk+bLibiHx6T04Q2rvy1hzdJvw/WLzqwOPmKZIgUdGyDm0hfEzndumnzo4JotFRHZIs7
1SMmshT1OJwbEH+mX7X0I5yujKdVD4ZV8xYjupAsX+6lu1q1WzvW/Jb4eGd5cDHaHO3Y0gNNoIBf
qu0ovU1NFpgk2drJQZ1fa8xI6kivmy47IukeNIep5K2TjxJg5OOlnzjYUwJbhh/bmOKtroa7zLA+
Y/ptxyYPZkunVhzDW4nxpkCQp2YmKjOECaZySJiDdMybYReduvE+TUlQL1j/zHqvYSHAFOgRqPjw
wQ86n5Q0QnYiu7L0DTvyiH2+Ai1jTYqMeZ+h9jBA6Yr43prfUnKXTRd/EfK1j0X9VusfC15eaUh1
HT6qcsUDmk4/y1zhra/LD6VKr3VCiG2n9Vdltl7iVSa/oFid2l4OUn6obSLmOtrtxE4BFUvZKh+f
QxTz17SwILZ8Txha5Cj+RZTEfXwAO+bd4vSsrCyIKuTnGVTmaaivcXhnmYkrSOFDET1sk34zpF5v
pD8GwOl0X6QX5v2kCa+jAXU1EwAgRxNi67Bn3wCSZ//f9xk6cGOabjKS1BWlrb2M257lRIgk36ii
PKvN4q5GsV9iQ32iLwtNrNbjmUz62RMDClxFiTi7cyWojeVHFdZ3qX5Z+XUVg5O3EgIXtUOSVdjR
WRjzFwr2KrO9MUREHs4yqHL1mI6qsHhRWtB8VmA3SvuB56J8MOGPdAcmm7le2HWJ3dBKqKyFnbiO
rK0sfKWlZDFBXVqe6cvxe7V1LN5msvF1oR2yAnK5F+F+zrS7nsZ+ZmhuZM8YMYI6DRQJZSnS9kF3
1TYo07MkwifMEH3yM03WLVrejegXqy9UPluoaUiuGj8pxi2VtGsHzt5a9VmaZcfUhV+ZsvlkzRlK
qNjSfJY4ApyKyceK+JlMuK4mEtoKkepfVpiRNjs2lIHm0//HdSlHVKpkrCeikSDOGqzAw8D3ZMz+
GqM5wjA5l29CfKH8W7WfGrJAQ/IwurPEDMOBUr8Kc31mZ9qZ3DqlAjdiR/J5xAQl9d/zmp2t/LA0
MB1R5SZljrXCQjS0bLN5CWIRnSW0Bs2cnoy03quRgUdmNvyhVlUX/4+XGw2ok7xvQlCDpI5f20z2
dBRtOGypjUcxXHV+X0znqAudCHqlWhd0+WvqasJy82pCQ9c1yle92mYMtELEq/TWWa0z2JyoWxoc
AK53KuK2iTYAE7eam0eAtBdt+uDgHZQ3sez0kC/NwWbJsP+0xsS3oFp/YsCuozvPh27f0HOLbmez
MofiuS5N2Jj7avpzdeyZJJQG0EDvg0mEd96vUiZOT/pXIZLX5sxp9YG3JK8RJto1Uqm0llxFE72T
RB0fsFIW+7ybyKID5E1Tt2VzjxK3ga9ppmlv1eYT5Vu12xnVrevuSxxomqsn2qEGIVa0l76pGKEj
FgGvykNt0zRY0ipfhnXVxOzkj/QlthWtvKTzgHH8DUvbzpbLIFIyNViV9Wc2nyZms3q92tJvMb9B
h7OiPxyhlOIQzGuI1Qmr1IeuzRcD3abYNygfRLeVY+V77GpExsV+BohRy70YfyNtRX6e/FhqDhYu
cffZ5IK99lVymgkBp5BOfMcry1qorQcdBn9llhjmC34XUJTFW7jIl4vEiz3KBlYEZZMM8zuWod7+
TbQ/xdyuXXctjAtMJjTxgt9Yas5xW7oajvzUaE/5em31PKDz1WvhjrTi1pYfVvq6tNyDeM3FIZ/Q
srfIxbVzSzZV1gpAygdf4VcW1qnEzR8qRPhZg6EVFVq3WqdW+tOIzM3xDZstNpiHSGlIarz5wsNB
FJNL1/VbeoacIok9KN6FxkQVx62P+Fk1hRONo1utZ90s+cUwciGESMLdKjVAiwhRsSSW+Xapj4V6
VJlv5KBf92TGAuxvVnKQrBlD6/r6IL4ir6p3OHQTUEljB2Ck60E/XprBKYC5orseeU3JkI06W//X
PLqxAEZE9iKh7kAngVIpPiIm32Tat2B/hk1AXyWNEK8tDl3pPMRIUai/zRDj2SzlqsZ3BDuQXGA0
JYPrFWVFExZO0pX+tEzHuoPcOCXDoVs+Ft1NTcNRs0Of3rr5ZCIYVZNLLUs8mnH2URf6zhKCT+/H
rq+tVO5NC5a3tVFlYo2Uvhk7dqzlwH0YtcGRvC6P3bUX+8q2qQXEuMWKW/Xw2rPxKut/RlGi6zL3
SbS+pM2XrQwFvhWsDs2kuLhT3UXtkT9kgZQikBWH6PETDd+s6Xzz6KVAp7H+DXrolX39Io/DMYGO
GSyCo9uDNEbYxCQvbqPnKH08FcnNsJN9wyethooP6+Jo7bDrtZOQF4NEVEbYNOpo+8u2ct+dMRsz
3D2LqHrHqIEAAELAp4bNS9VdmBGUPBqISpa1dJfx2zA04KIBeCCqA3KxwFNbNv9pIKncclR72Sny
srjNpBPJWR6rNCeZJWYKK8cedMUco9kPRU/XWsPa28xDsNIQpmUt7k6Qp2HuXpK24m3vIpmGO4OM
Fb1X1WskKebLI7dPdk32ezcajWFnKwAHkQ2WoNvoNsWMTBQLFJYUaXlr1gvSzkx5z9rKWTuSCtDD
N3DPHxZX+xzdG0ggA+OE3fph2n7p/bU1MUss+MGmufhXdpidly5kRh1Q9ivNq0XlcFsMjF9T/xNr
6rFtlL14ZEHUxbUmu8isRLKtxlsLcAyntirZJgIEExDHlsK1iGVmNgy/MX8pNyLnKJ134fQvwqJs
xyxwcXizR8akUiz1pWwRqeGvH9k86Z818PZNyiV8bI81VIgmf+SK8U70kVQNuyJPP7QIP25ZLE8W
XQJ3UNMto2evg3mN1ylH+KTgavA63rV2eBLE9SDbT+Kfpd+pieTJqiesYQe7EtQEPdV5cY/Jy2Ju
WpGqkS3IiE4zA+q+Rf+MsktRuBHybFShyYK6YbkmpJpvmLPJD0D6G0vWtVhXR5tCJ+28uOt+1L4O
eJfcsYsPA5uTlkmOAfto5VDXTRioIEPxfNcXBjPzLkBd3S5cVscqckZs0rGkYvwrHg9c4lNbFmjm
EcFOE94nnVJG0QT1Y7wAdWvqTyy/w+SLBDcb/VQmGDk/K9aDRvUREYkKlpo8o8q6yGj4UvYLJSPM
2cR/HLbzzCiB5Q3/Ypzk7lqW3ONrd7Ym6eGJvIHuVOlz0/gYb/HiXxPI0IXt7QW9KPkBMj/1HKn4
xgAZ/Kh4FoMXLk8KmSzSjtcSS2tt+630OfUIa1J/MJy5/UT3HdHvKz914T6enhdlN4bbLJLcObmG
6TFHe2q7s3rPG3+ZfsvCs8uvBFbe/EwMyKnXHhY1+Yg5K6ZXOfcsSqimkwrAKZXE05Tss2vHfl9c
5wLEXCgPkWdyjCwGm0vGoWGPN9Nwy/msjq+lfhejeZEi47Pm7szFmRnYlccz1GQnDy9NvB/sN41h
uQYHz8ew8jrbDC9imBy140tL8HgMKiYwlhUq//RpsC52Q9hhh8q+yi39oD1MtU0jiPyEFndaMs4L
pWMS7c6UNrrzmnJErQUYY6Fd+hY1llYt20ESMFFVtw+timNhWNRgRIDlNNiulOKtkX/ydAkavCRL
TUtvu64E4IwJv8g4LFq4U9J219bNNpdwS+VSoGACECTCFMf40Qcze/H6GwtHhOlFrnobiNnc14rM
5qGgngbV3NmQ/h2wXj19xBlF9qXKAGPCbSiBZlv3sWKKRw58aA0GogU7XlN8kjt3jGWW6ApPcBrf
Rqvk+F0CQUbOXAS9edHUi6rtBJAQDKRsHXNW9W45CUPZGE3T7nUrDt00Nt7hJggcgeZuYyKkIBZj
vvFR0X8iVWxTPF7ZCqOdocCH5YhHjVdc25gqniwCsuT0uxCoXmOomUXVA+DbWmeoFeu+1bJToXX3
REfyK+UvUpQcQrQZhhSdjS7RNqLGhNanW1vEW3XFEEHC2lwtLlEbIwRgeSP7Z6O1r3WKn2HyKukY
DkRGL4Xh1A/7UQZLfBt4VEcOV+3hVDYzDrqmMVF3m5rGz9k/gW5DzVebkG0xVmfMAklXbIZGfpea
8ENKoYVhpkyTtIPY+DW5rNvcUxDm291uTnwzYVyJl78oTQ+ljYIdowITlFEB0i0PZWcZDPbgWcjY
YqX0QvMWR8mpR5tjyKAUj/k8x4FbmvZeaQl1elYtYuQstEAZwC7MWt+4KZ54OswN3IWd9BqprWvD
DPR5jGDjFvE3QtadGo27rnC75fLb2MhAJCgZQl/GBUOUKI4WqGGLwHRIkBShCtxo8IFFXnqd3jyF
VXkx8/hK/fNuLsS1Hk7pRKjSMPxDSJNKWyFdosxwidx4V8L4EBam7GQx5oT/sXdeu5FjabZ+lUHd
M4dmk9wcTM9FWLmQd5k3hKRU0nvPpz8fVdUzSo4i4nTdHeAAjWxkqhQMmm34/2t9i10+bUhnQQ1r
F7lonMIeQfFhHJU2sa6+glHNgHeRl46J7XTYbRbq8nV8wvC8mJCJN90Cz+ARZOIeHPU8IziPwtZU
dRMFn9j4yn1e39bu45ETmL7oFydgzhh3hfDVITZ07VxVu3wSiOrlbtD9ECmiSXdIG/LiexN1WGPN
0mRH79NzfW88SVtJjD7qgyPfYw9DdZ4mHNV6WrYO6pyxv5zwuTF+dlqAm3GFvgufkr4u4iV56fQ8
XWUXUm9Qjxza3ncJZgjksjas0bJZGXoBWBd2l+W5Koa8fk0tD7X0XUQ8J70b7LVJE5+3xmmnnVrN
S18DOqh4wJRiWzt4FXGDBPVzEevrUHF+sopV/gnjl8JcytW0FgW1B1Hd6Oaw1Ad2ag4nVdz6w1PK
NFy9GIV2EqD/UB1M5qFnvfjdA2so5icsmUuJw8zNe6InmpPQVM5iUSGvh/w+NuxoMc7zYBt48ZOF
5d2TSGKXEM4KRvaL2mKrTE+KpjzRovos9RW0SIKQVnaFP2PeD/TiTOff+hjnnUEX9/AtNabr99Wj
Nd3qT5TzNo/iLEnVkSBG/+JqlZy519k2WLyuHquTqF6oW6Ql6uJJWWKtQyu7OOsWd81KLihOL73t
L2/5hgdpp6KFXh/+Rrq17ymbwVV9qeiVYnvGhae3JzCqVDQeSvEMYv65tPVF7hiUJ701pbupCYaq
FdVoEHY4lAz25eAb6V7ENbuzs4Z2VcvW86QAeP8aVk8Be/MEoql5XfjXjhaf2Ci9Gw/q+kCXqQNg
qpr6JTLX6+5NzR9i87z/ZQ7TAWyAXeNJkt6GxqMCJTFfo2bxrlQfatUkD7jUO4nB6alFn5daZ/hd
RbNG7nhD4vTavqMqPfoPg7lRwWNE4EJ3ChuaZmWzBaQDzSN15n2vNRThyIEwJ65Hged6k3aUvLcA
Cm8nOyV12l+djdYF6+GSZBd1Z7yBoMuvu+bFYF5m7eLhSKLzmIbPmF/Rc+1zfP7KGYLMUvaLDohZ
u3BhQaXUP6gqdY/2E+1b07gwWMbYLzbtCa0LDG9Vd2rBDWqiy4nSlRj3PTBdZGT6zypnEPAO7CIn
IHdsRC/RvZoCPbLfbIJkvMSiyArj+/pCVS0edO86Lj08QeIx1sV1EO68DE2Mc5UgPwRIEFIiqtb1
cFrpAh3nndQvG/edMJu6vzL6Ym0Wr2N6jqWITvVjiQfLItgjZ4ACUsIVo1HJ0u8ihpRW3JUiaCBv
yzs9b6/LJn3VI3vl8M6jseQnKe94cOpgQwznkekseZMIynUPKYCXTXZwCxm+6i6J6H2+8emxknWd
eyeJ+1KplykbaV7bcyFh14K+0qGZIGs6iWJmHeOSNWykOm8gvU35VlG3RV2KLG8M4ZjkbBINQtKM
pwEzAI6tsHooh7MmPddRGJRondHQFSG27yBk/jSbXxJom6tidxTdkkhqa6QaQFAeHga7v27ELklu
oMBo3qljgcgJ1mwVOxLdK3xoEc4473ulB8/S9x+j9CRVl07+ENU3eaqvtNa7Vdj3JW2L5ZkosFQu
/QZnSWX42z6LFoifcySQTZLdHR7P9p6F0ZyhIHlEWukMOZJOaCzYVCA3Ku1LULHPRa3YImS16Pj5
bNjGWLtRxFWi4fqGHEkfvPPLBSKX3sB5GFHziN1dV9i/FIG+OaknM8ZLTolL5bWSfXwLbt2/QXgM
IOHcR9CMtyJqEDBa5RIdZ2Gzm2F4RKdaVdGu2XXKWR3vFHnWJmeOpSGvuI/puMWIY+LqJh9OhrC6
bikIxQ6l+ryptzGF24Xp+zdm4LxlrrnM5M/KPXeR+6jI+5P6jprwOq/7m6jvXg23PRH9sDTwz/cx
uGDduxTjjz49NeqdPY7H9jd71kZ1xvhMrc41G6Elu+EmpC8FkvE9yTc6+7lJYLGkCE4N4fDd3HMz
1dnNtF0/b1KFQ2Whr53KtMQcD0+on5qKf+8Is83akOYy9zv8G+YUTjq+VXT06yOr3R6QtjoDzadK
2YXsh6JdqK9QKKpoBjH7TIXkVYED6hiAXXy5ptrz2BsR50Mq7THaZThqFP3KiE8PX5uvV0bgz78v
1mz8RWkFTUQXOKHKWRkLWzibkdd7M9UfDx9jzx02p5P6tCFooKXGJC3pF27EyAoUVlwmeRQ3GRC+
w4eQX18gac4fWNVBlR0r/QXtF1xAAPZKwGtITsHAml64kChBEy/eoCLZpWgj8uhCCd5cqOOKOyLT
6ldJezmiAFbeo4L6chCdehVNnVLZyPTMj5iSNaq+Odryimpe0q7MxFkZiGKDScVfpFuX1h7vV/Dz
okre+vGbpt35YbuiHrZkAS61XQUGzKgogkbB9ya9zJBmw8lwYtYX7UdJ/mXTbxzlMffftEi9KUda
emGyan20dxqUZSekFK80ZNQ9FuKmJUm7Ti4RUvQ5AQf9jzwASU7WQUNbZHDOFO4ixUtCetK3fnzQ
S9oxfnJZ9phTeMOjAxrSjAri3D4yjrU9c4Y5G2ZqzYu2aVW0DuqtrwCuw2v7rAjvQXgYVM7cBI4s
Jvf27408cz7y0rQbkEyo57WXW3d2GVVX9J+wCSRZ5kBXT1PQILG9QlQVgUWTtnl9+FnbB94Ws3cn
VRlVI08H41ypSnp3o5tuosG6Uxr2OClasNRmDqB+bqo1la/3pFDXrVKh4ux4WW6obWaUzBw1kEce
/j359FLMBnHnJ1Xr+YVx7neVgvcyrl0DhnyqfA8yFYZTQK/vZ6ejzxatTWPH0lXUDSbgS1HHID1s
0b+VUTzJZeL81IKzDhUzrdLzusMIV0R6edPb7HL0zK3uO8cK0bx2Gl3zadBh/g+Q4MUjRJdGVu6R
SduY7uMXrxFi9nrWaHoYqvBGd1ZjweCzqbNkmwyUIuaoZePaNN1ozaj5DwVFqymz3RBA7hmuPCOY
ejBoNargPW2SuzwetgIZcoLgzSdhUpIT6KElLcvmpCtp0eA+7cqcgjzARjtYJ551LJJ+3znMXoV6
4biqHjkZwKeO1hQ6mqX64r5AmQ4p/YM+kQaOP3liGhSLVkghc/TZ7+ZdfhO0L92DwvsGPbzX7pJh
BaRnO54rSJQ4ffTknBBRI8BxXq0S1MaJHb5QowQqqy+cp/pXFF8gKuc5fI8JZKeYwrrxVBLdIdbK
G/tTBZUF7Mh3ZERKtY7OKsABOJrJoNuiHK9TwGiL4gdG5lJdJNewKaVYR9UNcJLR99AFnlNCT4/k
B3yQ9b+617P3M33QimwE5nQBpH1jnERntCUuUFIufNKjlcW9JPpLLK0zMlSX/sZBBLlQyB7LNxYx
TBbvjtHKXbB7PaGuNv3WKllielyBR1kKKjMvxhpT2zZe4i68wsZwGW/ZUF9AO0Ycu6UZeBpvm5Pm
3F/LDVaqv/sEz9Y9S3puaWWcFSnKSyz3W32r3mBFhfdM2ne3Apu0tk65zIt+IVawSpfv3x+8VbSh
2nmOy7s4BsLf80YuZotjMDZRz6yvE9hG13GFe2Q5XSJrwWZuibF/EWz8hyOT47Rt++pWTv/+abEv
mR6iaDqWu1Pu0lNiCa6HNwDby3T9N+tiYrbQODVCkFIf7AvXQSReRJdSR42X9my7Dp/E15siKWZL
S622heyjzr7QlMn62JB0U4QZfHRl48TF0ciXPbODMVtHUsMpwa2PFEroduZdsxLDA+8SyA7sTWeR
WlCdy/E1do5tkvbsVY3ZMtFkXVu4MaL3tgEhD5lSKc4SCq9A5YCndKtcJ3EkPfIg7Nn0fVSHPj0H
Bp1VEcd0zFg4tqP6YuDzto5duj27PWM2r3rCyodIGITlePZNW2DJA454+N7vK18Zs7nIthOZWX5D
RbLMIBZFJR31yHeseol/Asx1b43mWrWxy+aoa660nk5vYAKZAt7vrxPTZ89JniuQawNmQFPUVEcy
x1v0o9qgD9aBggyIIcmqAY2uKsG5VenqaSx99byBGLHqa+wrLU5uYFOp/C50GI0k7bqIzILRsS9k
osH3dF0QWLHq/GyAzC7jvEe6H4sMbgEousNXYk+R255nThoaw0yGQbTrvBA+m5W2w5WmpA0NVVZ9
zWcJGYmlPAFiG65pb3RrZ0yNE0XrX6NaKiea13ZH8h/2jEhjNpXSiS1HtI5kTlTgeOB8M58tIRos
dPPIGrTnbKUxnyRL08LkwyF8Iwq2JWq9RcrNXLc24jdTs9V119vVTm9z9yrwy+YsTnC5AXkNsVfl
4ypkkj2yb9g3dmZzqD8ktL5tq+cZKqgYBGcSUdUQFEd26vsu5mz+VCzDCtXeGy6UYkeigt5vpAM9
5sit2vflZ5Nn1boi6w3CAYK4pGoND7batbq6PvxQ7vnu+mzOVOsgiQt0sReWhCIjVOdHBSJVr7rX
uA2PPfh7JmZ9NlFiN/VHfVQ5yEAJpglRjSdZexYmgt2lfy6d8Wo0BnsB9XylCwQph89tz6ymz3a8
BXSZonD1HvfbQ5N8z8IjSdPT1/5iSf54bfg0FUub7mtZ8LmedhalE0YPVbaGy9JfW+Pq73332axp
BXVTpNn03RV603ITROmRxXjfVZkN/RIWhV0mfPLESauju049kia171GaDfiG/NDEZbK6QNsPYnjQ
ViiLoeYdviB7hoE+G8Nl1XmeovPppu0viLtwdcDw28Ofve+GzgYwopzeC6dv7uDxVHEKTa709FbC
zFCPfP19F2c2iv3E9cY2RsoidIzeBm1jC9TCGzXPw6ewZy/yES706ZkM0m70QN5mOwtpuKeO7kKz
bf1UtOD0yMKTPKjMvU5MNz3T4X4ePuqejfBHvOGno/oxQqtRpNmuCZrXLDJMKvlGso1icApZ1OBx
gKF7+FD70i612Wi2miZjSRzDHb6b6FJ9GBOsyEvlpn8wFsORB2HPXfqoUHw6nzwIZE7qaLirjYwX
hrQIYMYW8jW00X7muOWPJe7ueeK02fCO+8DRDLcCu4qIHV9NHDza/bkyYEKrnls/P1LT2TPWtdlY
LxIlFgJ9565VZfBQcOPPXSdzTw7fkj1D8mPl/3S1fC/0HC8vw53wNm1wH7ZX6rEg+X0fPRvtdI5r
xRVxuFNgciZ2Dx93XZRHVtR9Y2U23Dub3aXWclWSR6joKQ4qyGYaCMHlCJj12Dy77yizEW8aYYsc
c7r2tOXabfmTnk1IOoO76IFqvB++BftGhTpbvwep1e0Qc5QQplW5ClsiEKAlLHC+NcqZi1WgODKD
7TkfdXqUP93tKKgjYog5EkJelPAUT3HLymoN470kkuHICe258epslDukzLpRBsdxcJ7a+HscV+Au
3g5frH2fPY36T2dQJ6bj9kGSgCq4bnG3wsH26+DI5dkzotXpoJ8+HMNVZejIyHdiB5S9wVBG1fta
LdYiOzID7hnM6mwwi7pp2zblCE39CHcMP96Rr/71B9vz/HnHdP0mtfJ4V/VXirggRebIB+8pYdvO
7KJU/hDLIk7iXY5R36Fth/Yae/KieXOfK1yKRD8dEyXsO4nZ1clHrfFlUsS7EFlvYT/W1ZGn5us1
ASLE7ze20dJx9C0n2slR2QogHCVl5wCMun1sHv16FbUdfXaEWJRKnnKERoHJXkO3uHaVX3UJz9II
V4ef/X1nMZvzBi+gwmwGXB4Mro24i1za2nTks/FY8PW+GzCb7yIrGyyt9+nW6sljXNVoNJXvh7/8
ngs0T4r3Q0NxyjGKd+Nbe6+95r/cZwyHhz97z9eeZ8PXRt3GuGjjXT1YJpQt/akUypH3zn3fezaZ
1UA4PDvgoje/xJrQvUdr498c/tr7Pno2l/UqQq8i9BhZhAbQn0JSpgtYIGNoEaoFX9aNnb95hWaD
2M4Tq/FqrhD+BiKRGiz5h8/h6ynT/ug9fp4yC9Ku4IzxxNSIPs7TjXrtpOf5y7Fe8r7Pn41cp6nM
VHpcflITtXtyvqYY4xJP5wK1weFT+NhJ/e93QVvOxm6bZ4Gvftxic5FcVi/5tXJLb8H4YSy97/Jk
6a4RYR4+1tcLsC1nQ7hW/vk0qTxNyqUFsjHfgYfbHv74fQNhNn4FHBxPw8BG30eHz/AaV4+HP3hP
Jcie57q7TpVZcZXFO1NfZJdIkFGCk0nQIOz9NdwLpMfmyn3yjryd77lM82x3JSNnMBg4j4iy/2N5
r9ziFaVZs83+5gFmo7qXZUeTnwPAIhkh91xa3/V7CHnji3lkvtt7xWajOyoUTRohh/Be+rf0Lfol
flU3yi365lrbyrd6px070vScfvH8fkiCPo1BhDy2TvM13nW/onGJlA9jMTSzW10QFL4sz/z35uTw
Y7Dn+bKnf/90pFBRLVW6arRTUpR39toxlCMDY98gtGcD3e9cfYgnNYevQMDJPJLaKpMXUchy9GQr
Fe92QDZFmlBp7vDOrZTaztfSqprLusrENovr7Ix13l0fPtU9E489mxSEVWW1kWvRriBHFtHds/dg
Toq4BT6Dw0fYs++3P0S4n65mpXY41wkz3KVveL2RUMZyET/pb/aN+8xbzOGj7LtlsynBKTJbJVIh
3tk+lWHK5llZHjmBPR89zwT3c7VD8873V6nqJzaRpqF75FtP69IXj/Q8x1tNjKHE/8O0P/KYpQrO
fqPNe0iRXbE6fGH2HWI2BWSqDR5ibKNdC80LnzxID4sWwrFXx30fPxv+SZMO5OmybU4S+nHnQ7Dt
/CN1oj37hnmgdqIaNZGSfHR3A7KbQJ1y1b8kd4cvy779vjUb430RmIrskASR2djft9doc6Y06Kv6
R3XV/qhejxxmev6+usOz8R4XAfiLiJMg343smGHKjliAMdO2Ad03QpuNI0/pnoFs6b/PWX3gOm6A
GHeHCgUGl1kDG9x27iJ4y4/tP/eNZGu2rE/h1QLaHZtbn3hbAldw/LBTWdvlBvEHjH95rF+5b8zN
hnPRJBWxy1y2gjBCVzlpGvPIddrzwM7dD6Gq9aNb0KNoFVBuxCor3zNAWYdv956vPbc0GJ3SjA4O
6Isa8pvKBs7Vbj8++d/f+v/w3rPrPx+Z6r/+k7+/ZWDVAs+vZ3/9r/ss4X//Of3Of/83v//Gf+2C
tzKrsl/1/L/67Zf44L8OvHqpX377C+7ZoB5umvdyuH2vmrj+OABfcfov/29/+G/vH59yP+Tv//jj
LWtS7Gm3716QpX/89aPTn//4YxJR/fvnj//rZ5cvCb+25M8y+9+/8f5S1f/4Q7O+aVJiGOWF3bbp
XjF5dO/TT+Q34UjLcixdGLq0tKmpl2Zl7fNLxjeVJp/u6KpqC2FNnaQqaz5+9M3C5ipVVdMcoaqq
Lv745zf77d78z736N3RE11mQ1tU//vj9GbMNrDO6aRi2Zjqqo4p56TSLKs018hiHUpOeWG41nhdG
BytQGYfNp2vy15E/H2maZv9nevnnkTgQV0N3tLliqta6ULopwSWpBHDmFybgOaEGgLxslTBjlEhH
nvDfp5k/D2gJw7Js1dbhBE8//7Soj43b+cIJV8Sh0TGte61ehmC4fg2yIxaiCqAAWa1OiEtfoms8
fLJfXVbLxEQo8I5zeaeffzq222lB5kOVTtVAhc2UixKVl1bV6UolOTg+cmm/Opq0VB4goRumNi95
9L5bpyLPVrkmU/1J4UU5WMFQyeWiy5uivT58bl9dVyl5LB0sLKaYq68DDTVGFmerEv3nVuikBtWR
/SwiIt7dzE6WMg+N60jnj8PH/X2R/bifgpspTBODpsXff7+mrUXAVCSzVWtp3nIsCqSscH9CaF5u
GZNUr4zH5sivjmhbqq5bjmnq1lzJr6eyKiFYE+KddhCAa9xOTmK152au+3ca1mE4b90xZ5L1IeD5
baQAB1Q129AN/pSGPnt4bHKzBXKhTVsruC6HvpyIyEJH0tYwk/xE9eju/ExxnRMbFmWx0WrfOvXd
Rr2H8oLFvrMrcj0K0xpuBwVOH7Bdabxr9dg+mKFRk+sYlO24rIcI/FcMQevCIKIvIpIbA0lX2sjq
nAzniuJYZb/t9UpLHkQcEXYi0w4SZVX1XrY2JdERS6t3CTYY2GNdiS5sb/06I89IyjC9gboDb6Mp
Y5MoIS/PoVdkAQYF5NbaQg1sAzeyGM1h3ZeVSwB3ZDew34OM4FZEM1l2TrUhGsNNj6E42ei1afrB
yk6caID8OIQIDocc+AVQzEQlE6cP2wjqG9C2hd12yc+alMPnsFQCwIRkxd2aE5XipnVyc9MJUjSR
3lqRWPkdqMS4SJ1iZRgFMWGINwEi+kPQlie5DpVslco0fpRKEREcxIvRj5ZURn9pC2b0RRfmxves
rUIQqK5C/p2kVffDsyzmmFLwbK2cItUeulwT6dapKrKEIsWawDYyLox1pbcmDzPxlJfm0OsCKoYU
p+po1e9+1dbDupZO+JOQVCw4BR2uca0LDaWhGWI4DzPRkkEIPZgUmd4D0Zk4Ve5jzOnAZoQIXzMs
/q2pPTuGX+lkhmWVnVyakTclP3eKNmTrsK9SXDMJxC7UmLoJ1o84cy+/GZNIVUDxhLGJNripQpKF
o5bQz2cQPJ29qX1sIZdtpisuAT0pQrfukihPUVxFeouLJREZdnm/TgJzFeNaJgY4662OaTBtSBkb
1FpGt6oZBD4qL9IBdmCTQUtUhnTwrAVmhO4XPm+YeBdakpvKs59wPYCX9EqNS91PLJkFKzlo5vBd
pyw1XKAk0OOLrjCqbluHbVv8LLKgAF3kExYEz7y06tYg3q/kvlxqwg28N7VRMu1OyJ7gUxkHgRjQ
0ik2Hs/E77vnUdUzC/+dSjy9bpbCJb/A46UNjw3M+8GugVYndUYIU4wQinT1KALCqo0dw9GRcHrU
2oZU4Flde5/YRQ1THdx/ARDGqwk4tsTw7LcO/IC+h1JW5QnpPHY++rgN3VS582TXPedGUNzCEjHw
dI2Vr8FvbnOcW3Hk7mK7tABJVO42GTWTlOkmG3gtVkJAf33iiEs1rxr8eRkyIGIJwFyBu0M+duHJ
PmP0hQMmAEsbHxIjHt5o2WsvDkrr7wazyFuhOwTMFHynep0BtL/2Ul99LSvp/IwGN3/pdBcklhqX
DanbsgAsGzcfwZmJpdxAVQMeBO7OePMwsepgk+AUpI2PUkv1CfejZGUX94FWAyCNi9HQcS5E0S9D
980cPKw0X+w6xlbgmUpGgaNVh+RHQbbAAKLbdC01PW0FuH6t6UY+0bbFTzCbHgQfC8PLOspcsnh8
QV5clCbmd0h+mb8sGpRyi8QMIeWMvZo/5qqpDUur5v8wl/g44bogTx4jLyOtqtNipViRskkAip9a
UNE9b6xJExAuYnLFyF1UxyTbEo+U6NrUuTOys85hF0ZMjhbcK2Y6ypUrYBOBEm3NZ/hymrpwfNuD
cOFi7FhUhWPf1oEHCtOXBWFLhRDJj6oNK2etRlqQQJzIcGJZtq/Ua9DhAW7OKk2yczccigTd9ugm
wBJ92qCl5g07t0qoK6i67d1WURONEOIq/1Taee5fBdKCqZFUjg+cjd+joh3o6TBc52VTBqeG1uTl
WZ80NMJG0UPzF1kC1LXS0cxuekabu8raHJN6qegG0UZFHOyMOnLde6dzFIB9qiDekpwzo71LAgFC
MC0s5NmlMsQ8dzT0vJUIuxLGWGH18TrwTVEDWlZkVRM3JXwPtXfrOQ9ebnseDIYh6qCKjU68tVFp
NtB/YlSGet7HcOcIHC8BusiBiLdACjg2RZHD3DCGrriO8joX58y5dsBAzIDS6F7jkCkVKVX+hjcP
ew3zmrJ22Qp25cJRVBXHpYAktOO8xvG5aiQu4NpzvYHlRJhBfRuFbqNftbbpVWvwgFq5ZZNSth8C
STCJaMniTaHwagUyrsMw+mqlegvb0JGiyhdVM5jdadu1BhlabUUAdk4w9V1GTIdxkjP18W7f6g9e
E1S//Nz3bwEEBue1XQZTSoKi/KyKpjrRoG62IG+IYNiGvS8goQzWNPJEgBWyLT0bEzcJ6+YmIqMI
Toj0yvNMmghDNS3JyBIfIxN4rwvHcwscOCPnNBD2WyuLHNiN51RbLagVk+wYs/5edbF4DAC1+WDh
SvlWDZDdgbJXxWvns5SvI6cqCNvzNC858VRZk3bVp+6jFSM9q6gcurLZdKHbPxuW0dcLzVKicyNs
5HS/uzEmdNrP8cWMoGRY/QGOk1jkwki3wrK5cGC1jbsuTHEqGb0vHysPRjRsC1vCxfFtSR7w2KEu
EnRp0LCbQZfdgSQQ8hQxpmOvPBiH5MpEmp2QaiRaPHyphlO/Kcw6eQpKOLbPTN6Er0VAechDyV1Z
4rF17J+eJs3nYqydF7o/yqXXaSl3sraAYacifnbBcg4nphrkyDxLOLEkfFiZsam9rKuR4BJktRij
BPxJ6irBFOMFLWdpkHKdLCJVM/MTwSwfg2iNiEIZ42G6rIrskRtYUIaXXtZ6P4RpD7uAFzFubMvm
BxO8r/zQc0vfVbGGSL8wfTFla0W0YAzXGn+KMamIuPMTfVekDfywiDwCZWOZdZ/AKPRk+cTbf61s
qqAyrNdeDk66tRVgwiduwc3Z1s04OgvFqor6rJJRH531imTiZINRuBs/GiryvWvhExTkAuk7L8rK
yu4D05fNRRn1rX+uBj3TzEJYbk6CY+OlbMl8thJLT3gMjDojgwhMYRdGPHlFIJ4Fc5W7SPo6BB0c
iQpcsmqn1bqrYtdno1Z58FQc21jWjp+/AscfbFjd+sCG1Bl249DKcl26LEXsdJLIIYhqIGkzqSOm
4bAn8akkIN0YwPEDIrV+dlaAmWMRZaLUl7ZteO6v0MjacqtbPWNSDfwgJBDDyCfCDJdPvlHrDuN1
zCP2aJl29qo4Jn52T5+w+rpqZxFJLbr6knnqMJ6lVW0HsF98/Vfbx8TedVr/vSrSBA6gSYjFbZCA
y1rpikO6fZUGvDrVXU06TOoPWyIhYXvZYeVfpgF0Z8sy0iekvaVNg9xorFUTtKzasvWCH0Pb4xVC
0+OTfIPf67KXUmKbzuIbmpd5RLpQWX4v9CEUgEM7HDUWwQcJWn6Y4X7ZsgFk/iVbCnc2wJQo7xnu
FUbOha61QPOCZohqsgMzUBJsjVFkxlmlv+DXHp9iS5K4oAx28FMWYUsIVVro3EPV7HZgo+HcZFEh
XxqfXEJHFHiCuPXqSQ13NIMl6RKLC4CBCm9VqiejmlEHCByvo2vpasqr35nFaUsDvydDSgWgo/Bq
7y35nvFLUzXOteh0UyErNBnaAsaKC+bJqCJJihJMfSJP6yI0FlpQJg9jGnRkVrNjxMnCy0WCjqcg
69sRpD26KvEZJFlXxjPot+4pH4r0ScRudMmOTEs3bES9nVuG5Xd8fE64MQItujCNOr63nAK1nCY6
iBlhXxLjh+Gd6M2gU7wfTFdTUqLR+s+dqyX1QndK+yxQAlC4le5aT1rY4FPqxvG+9iIWSdtGNQwE
s2/JLIeRdA59ziTvpdSARPuhb9zn7oQbywWvW+eh3wsbpJobSdimDq7wQpfA+lwW8ps4d4l6EYKV
MdGFIDbH0GsHnFRc4jRi63Rfdw2vAQ4b6kvVGZJ0o4FMT5epEdcXIAVpwVVu2A9/1vX/pYLg3mrf
bxXCq/w9Ja/p/b3eveT/D9QFJ1vngbpglmSUOD8XEqdf+LMsKMQ306CIwSTjUJ0ix+WfZUFhfNNB
z+u2StmPWtnUmv6rLKho2jcKWprFjx2WMmPSAP1VF1Q0/ZvQVUc6YOvZgU1Fp3+hMPhhy/yfKoTU
WJMtk52vLXjt451/Vm4pC4wfQWQZYEshzBM/YQ6MYTneNmOg3gLXNTdu15jaWmhF+6amwJ5cqBR3
elqZ9Tos1fE0S1M0Z2lPoc8ribByBNaeVk39jBwxi3eSjgiSa+aBxIcC4du7VHNdllRp1T0GSa+5
70zTfYy1jqyWlrH3Iy/T5CJLywxCIZOS0iTluPJwiO4AkQHND6HR7OJIHZ8H3xZ3TRwJMsYqWLKJ
/1B4avakENpa8tqSm4SksuoRlBP28E47uY5k5z4BGMKS7JRABD7d+y/qn/p0wX6/oCYlHcn9k5rq
GHMBPSBwDW0h5tUApP79mDXlmSlkHBIX2MmbbKi0n3XUxajexVgBq+hA9vLOX9wyXqOnASr4r5HN
6cno1rmGXzQB/CnG4K4ky6hbZanAA+DHJgZF1MtHvvzvxdvpYTAFYUyUwOyp7DwvScXU1uJiAN9t
pJBgOkRu21Qf+rWlBHJdhMEx7NGH/nh2sX474PSFPhVQIUj4vt1RT+E9n8hrFYIhImxUbkYjbgaB
C9E2c5gW8kxtDFL30ot4jC/jWD8r3eFJd9t1xWYOm9zJ4bv4e9vkzwthqaaUjD14BHMfjl5WfccD
j1+yJ9qa16jsTIl6919SGP91FE23TbpVJtuKqTD56exzpWIZtXMeFcWsL8pSK8lkhpB2+FxmJrKP
w1BQner+lFVV6O6/H8YwohFPOjFodigVVuFM4NDNNZfk2LhzH/3G13ReEovhSeVN7hEPkgLz01LD
lwiUZ8aL0andtCImemnykIX1RDtOkuhd02NkO2J0NSLve8tf9xQcVm5EahI1S+pJeUttzWmuNKNP
wnVIefCujav0uaAoR55SUlYEHcVrL9AzKplp0xGvq1dIHVItPu1V0kcWWtiPp0ZqAIL7uCz/f7n6
Y/Ix7F+uQNxW3Uv68nm9mn7jz/VKd76xXElWF8rSdLKmsv+fbSzN+TYtOSYUT1tDFqfzk/9er+xv
NjIuENsCQQrjhnH8z/VKt745KpIHh1+yTVPS5/wX1ivNEL+PTdOyTcexNSYnw6KdxRL4++PcydpT
yxr0uFmOfQt+qKyiV8WPbIC7rCHqUliUPkm2Nw15pQxqNhW6zUo21+QMBQG4JQWbzf9h7jx2JEfS
rPtEVqBRGjf/wrV7aJkRsTFEpKAwKqMmn35OdM0/6BmgB+jd1KZQ3ZmRnu5OE/e7955aUgiyS3gT
nBvMCFwPOZwm+jB6MgahUrrFcA1ozcQX2njxiXBt6/qXaI5D5+wRE/+RDXKGpbwuvb6JJwCR3HUt
ke8xhYxXilF9el5JS3QaD/d6VjSt5x6SFfrXW4bQcYAUQdWuodnYH6ug2gW6/IpjdMx1ppRBRQUF
8EmcvekZHT2SvbML8Fz+EFVQfCADVHvfDsV9W0BDYDHv974z4xzwF+ZdXpun92oZdQZ5lY4H2hwF
ta4qxE3jRAuo2UH4z+7c0AhSCl3uClsnD2jL6qqMM5KyIUV4UUWTO5TGvkBu76K9pLryVlKuBATX
zuEvx3bvsZvIbeTQc6CnVt53KMYsF5OmIwFaHFpZDsbBH+x8XHtTjtveanlxgqFn/aGW966LdPYl
KwcnS1Q8B02Vnqt0Tp5JSMAFFlYlJy9ky16WTL1ko8Pva8suZyih/7SqeS9bY7bLsFJ42OTDhW5T
0kcL2omXxsFZwHX4bkQ2L6E3HQQws7T2WWK8NZGHWhRil4YVOA+NXaRvspKOdMrLV6Yk1EpZeZdq
eZPV5gU98puFrFq4EHOWvK5Lq6Ec9D5GCj2Wv1qA3DvRsmdLr6QvTFA8fRNOAl3VDakoivJvXCCv
rdw6Mmzuum6cL0j0NI0iQvm0/MXpedAtECrfFU8xPJpt3EGKk35u6IML4W2l6Xqw6YANeXGCiy6g
p+RqXA6ecffFmMX8eXRGJ7jQB4+L+2zyYxI18twREdyp0bupWiZ40GWXa1Cwt4GtvCsn1dQYF4ug
tbR1jz2E1xvt0hZVEd251XWf/+KMEvabpRvKMyOS8Yjwlu0RO+0rww3nca2Acln6R3+C8LG7boXx
UFV1sOsrJ7+1oeQLKFwKoijMzTzK8LvSpR9VrPZSLSY7tCV3VVM2pyqhKNNXQ+5skonZBkyNhAOT
2/AhIKmjwIZc9INl2Ict04E0TrtnP1Dy0YrJPeZ5Yo9utry43DA3PgvHJszrdNkV1OYMZQBOW6R0
a7jyY8I3cu5LL3nUOdWZm8QvaLtqQrObyC/fqQrIKp1z+c4RY7AtYue4rk55h1hWHUaunDdcXuO7
jurNWxrYEa69oLvipLymmwYp/led+N52AYp67uycXdksjQ4SBr1EuN3XlirLJVqqm1wm/TbyQtpK
VThfJUlM+muKcyhwMx/9JXEEls/YLs15SfznSltmEHHaRgc9JPNbv9acSjIgXYvlI0+x23yoGVq7
zvltfVshu/hA5+uVpmu4RjRTOMGdSjmiZ4aQPThDZIWk6r75oG1+piLCEjxMih9TOHgXCtD9KzMD
c5Cd8S41FcNYSH65o/nKZBPd22VI6fmHXN81C16lrqq7V3b4dTm2MYsjRGlTnsRUJUlFWlJMw1cn
TTp+P2BBz0gZlimdnlmV+rsuCeQp5rbwaXzgYEUP4M7mPm0rYImcXV441IenmZWPURdHVKryrrVm
b8ZIXq9Bwnrjep0P7Kjko3uYUQ/VRv6j+HYCBFiN1OLWA3WJMMRrpzm5oCOLwtyJFX45wmV+cpNF
HmXJxDJbXptkBN8HwI4/49rJxn2soy/fp67a57Ie+Ye8d9yt9ZeTU6S3iUvz21gXT73HTWbWIB2p
bXQwMPL/HjvpHMpJ89/gJKECqWj56QNx0axsKni3q0SKdWCGgFYd3RvlgoQi66QKuNglnBUq55uc
3kOf2s/Su9JzfaxBy+m1pf3Enpe8OaZddavoWomAIjZjTGuMd6j0erd4Cx2i0J6Bgg7LyLzV5ySF
bXNDB2CzdbruIoLAbhAxMmRR/ejlM8uBezJsPUOlrycG/8Jf7vFPb+be8Z9Z0mIJVWHEXRWiRuWT
+z0crcwcbKMhXB68cvI2ekAPdMv0wU4VXExV3VnPu66T/MmUnOWLlq7xvKW5ynHRVQufk3yQ/hKu
v66XzEzyQbZsr6kwHdNYHRK+S9p4b6R5iaIoPRFlZNmLPFlt1nDpQciu66GdGKAE4AD3PcYBQKNR
gJk//oPVvzyOZexs10peV37ys6GleBPWNO2MqabeYFkpq6fPDhxlf6NTh/bkofXOhqHWHTH8amep
JUY1qS+z+kbTpf0AdjcMDnHuX1gIac+ZLCfnppt2Dt096PWnpInv6ojpxwAgbAc3idY+BlaA/yI4
aer72e3HX3qtb2Q2wzMwAy2QHk8EvZHe6p70RPF94tdPgaOfAgFQgOPKZ09x/Tck00LqC80W99uW
VfObbo3wLm7l7KxMCZkK5MX0MLITxgFE9Lli+Sjm5AdT0mQ3j9FlWLpLorsH5pPXdnJZFsfipAZP
My51yh8TNeTMWsfp1FswnrZaos/Jj4NLwXQbkCxX+E0c0+rsWfrCpn6Q7yl5toYkPxNduLR75vYc
fmB1/Olk416HJbl48G/mLR0c8T5F6w17B3LYoCpCojU08oyXFFaOe+7tUO1Z9QAGBxL0Y+h/6NFV
+8QZ5D6YHKjgsBUqXJ3qXc5JsBURLfMFrdV5znoXeg7xomUcm13dYqObmGvdhy5wQ4fJZU6PBKSY
9YeOIZPHbXFn6ClsxkB89GvHqueBDWw9+tnXHLBKywhHvEs67ZUDHSNVHTxkOoDzznsI1tK9Lam7
LemK3jATFAAiVlYKV/zpmokk2zo9ro55HIK44Vwi+f42VwA0D2KgWCONzZ8cyWcrVtChmtHahg6p
Yz7G9cmMmCxSDqa0oSwhxzhkvd46y0uXfavZBUevZmHe00vvXcnyT6Bz92BLepeWprkKoyYGaGl/
hDme94TaczBwEQAZCKiHsDHwSUYf7sRBpW1z02gg3Gsxy120Ts+uy6EpLP1PreS8yWy3ns3ozLto
JC08yse0U3egzzyUCktPcptG3T1X1/Zg+pTL3wLO02oRHo0y9a/EXVvCI066vEinj6dt2OrkMwCb
uRnVdztclpTcGyuxXNfz3D/UvGObOPOts8XZ8urqOQZKNXm7nAIECKsj/z1MBF+oEI6B2YrEN3DN
ACD1Q40nPeMzZfxtx8W5FAT0t9iAKWdaUhvWELpr76HqvOLDF7RN1O6q7jRziZs+8JkjT7O+TcJ5
ve+bghFdWdl12jZFWN101C58OPOUEhpM5NlEzsBuNI9nm6KBLd+zCM4C6lpgJKDvauW7HQnjHUvV
UPwXmugyR/lbXvYjkxAJurMbfXnVycR/6xaSiHlRhNDLMfYQr2TWmGb3ayphcc7z1zwN1Ejl81zd
J33vwKNNWzW+yllRuM6IA169EOF0WVuEiqMz5vVti6p8NUgpMFXLeXFGWqrrKuoYINar/DUHa3di
bJnON7KXgMTKWj1qP4MhF+OqgPA9zO1LqvAWbIK+kp9jbNPXwtPruBXFHFw3DKcpGfTHfjqWTG4B
JgtDUfxkBB/+It202FcLplyUmjIL6YhEFrxirW7FkWWcGYjIKkPnVFZzo1gUpW/bdexRxTfO4uge
RJqfOwcXU1NAmVto4x/VbFX3WKQtH0k6t7N4nOEmMlVDujLgVSs3G3jYw9Du54Rq5csKWMd9MzMu
nFMTKqrn20Bj8xjSqvuY50ZBQC0ZzeyogEzSc8S2496P/goVulyXDnqqv3Aj29g1zIf9GkrV8MAm
qbOFuBJ8gbgsn60r2pEOYVaaJzuW2qWLX7FNRzY00zVQMAs6KVqMxTTRteMnvqtKUL4w+NlDWsYl
HLhUgG9hoKja05gVcsN4K4P2NpqGQjPNAdvDjFa3ngRh3WIA2HhJn+zaCvSIh93n91KNCVWr0nwV
KQh0akLGBy364KyWKrxPS+Vsa9TbA5+P2OZRB25wDFNaRwHh7BR40vvZHYvnLFG7IgJV4NN4Goh1
Z1BrN7mg3NxE4qUqAImX1PwaGZ6110UnS+mwl3f1HdsGlvGK+2uZtm95ASQ7HKzd1yXfHhMPh6iT
uFmyrGdOUce3BgH4ra7Vp+46dfJDaBazZ7eliFr4ObW8d7VNn7QTPhUYcjZtw1BnSMHdwy432l7i
Monh0033PWyvqWnkwSvElTQtiWrhPeN52gI3ZVjTFa9T2DTU1MxmjxtEbp0aHbH23tsyvnAv0FvF
GG8jmhrSQv+7r8P9XC+v0xTfTkv+Qw8LcGs7MMVm/vfKR/1OaPg+xQm2E8J+Fvime3MOqv5n7tQn
XBjX61rCdMm79xBjpIK1WfaAb9JoO4aT3CSNPeeWbvs8Fa9u5Tzazjmko7wb4hajVllddDz9duIG
/1ES17eu6J78AtB64ZT3iT89mtXeSGpTtgAuaPttxptZdzRZuvf9TClz7fR/wF9sAmsuRs8Lfdcp
p9CR43sN5F1gcUvs+MDA8G2J1Qf38enkGX0Orbdso5A7EY9hSAPB9yZYZafS/snxmoShvi8UW5nn
7Yue6b5lGWBM91H061U6FDN0rnGn184/CJ3DAzO7pFBf/cL7ESxn5XrvC0P8apyy9yWldVJP2XlZ
9Xuh8p9+XblX0qk+UDzOS2s3CYvkrlwSXG91+QqmBb65Px4HJ/oUOi12VF2m2LqyCS4zfTuLV59a
dsHmm+LZ+CNtnu762ft8HbMq53WP5XaqBv88zEzjLMnmIVw9GoB4yS4/CYHxXTrYHBeuqsB8il9t
Jg51nzobjwV964IKmQsHo5lg0CBJQK4NHPGSjmkQBY9TlL9AiXrocCbaIAAFPbrc8RXvsgrPUZyd
XU63CjvQyv9uGj86qr54Quw99fiNmgiIWu4+ORzd6T+6zc38OttJvxTgp4pM7yJ3vfVi8+LB02ug
V6Wjc64bcczWFgRdeGpbW+zabgAaiXI6ddXRcaersdcnJPGLGnpu8+aloHETbO5e+sm5iqGlKtxk
eiqgaGS0ZfvZdezICxOGo5P5TFbFi8Y1v22G7PfsU8No7OodHb+/6IXOPDd+9BbdndKFB5x93kJN
8vdWAsviwd8WS3tP0FvdjaG9Qzk5I9K8war6pTkYrmzRO4UF4jbz/OHamUZGk2X93qaUl8aNC1zY
jXZtyoqRk9RnrL5MkGJFfD9NYETGvEo2jdOFe+5Rr/NM2g6bvc8YFrQlzPLyAVidi0DQXGUt22/b
0yhpACgXpfOExWGvcrHJw+5GZfo5MMFhneL4cUiw1lQC48jSONtZWpSN+FiO2M7QdS5r419klGyD
0ex904sTko6zqYEruH7w1K98b0GisbclOyr8r1arfNpXUZAQOh60N8DCYV2f0SRPq0CN0YIm//EU
VGV1tE5EhzVjjr4OvlY/fetEfImgNqEw8aBkkdz6prr1cm/bOvGZadaG+xAhmjC6RLRwqzLmUNOc
c7BgiSpOPkXvN6K9bWt7XYI6xSHBna43CCFS7Qzss8rXv6rMbhyc4l4zK04T/S7Xy/jaJg3G1eRH
V8NfWrtjx5Zdc2eMAv+e9RprV4vjJt9FPef4MvLEjRuYR63jAzCA/dI/Fk10xp714kD7grj96PKG
+3F7Hlxua8QIheRI6poDc3nmcLgANlHtxZtRwxOqxnWCOsY3ajL2U6XrPlmS53biKp5hxDjIRAyb
QJiGMKI9YUH9XZXiBHvwj2LQXQwglHIYRTzT+vsPqIdNP4/PWTRCUOeld5YTdBE+pmRbaMBX+64K
UAExDmyyyP4abXWZzPRh8vSGKcihlxiSivVH2xTvMjbMJRoOK02IFFMRuxXTvUq8fRX0V0sFnIAz
RzQARKv9V1I81GbK7EdemruRII8/dFeV9W9x9UQ3QcnaEWhEjNYwyYt0sqfZ9n1p/TsTtLdAcOaN
xMfEig/coe3lmYPEa1Org1NzFB/qdxS08xyWR8DGxcboxDtrPV3TNc3cMETcdQVXwnnAVabrXV8m
MCv4MbB85pt8hQKnquxJOeW7Mn68y2bn0OEbxjrhlFvKhy59UMmDdBPvmNvys5AlxczYuoZ5GADD
Uh7Nqui/+zMHStsk06HwEbWrjKvgMmIlxEzH25JSZ4ug9zXwEeyyeIqOU9idOA++m07gCU7bfVhY
veNI2mzHLn4o8+Kl0kM8vcVcozjKYsqN1/6wFsVUWH5qVutwN3eR5cME7Z6Iwnkqu7Qs5F6oZl6o
z46y1vO2Awwhc1hV6TY7tzEtRdpC6scuVYt3yHAP11d+vpr0SP23TwESSR0+D6Zxe38K5XPZFCl1
/RacDFe4unlvOasXh4wVtuPKNelfdaSn8WBMH/whfBM91us4PVpHUZKZxmLmOef0BGkAHBPqZeEP
aJqNWLt9mLTN++Ql0mybdhE1NylVsdOVk7ld80k82ilo3oI1iKZtW9REHdwlXd5ijekRfBLe9IPB
vbZu8Vb5Ke4g6ojcWYcG+0bnffMZpijcYitdoZJZ/OeHeM6JomAiCVp7rNI16s55XIewMGfHm/eD
Ibwrp0qJ47zU5Yeb+/3DpNqVAkmTpEzdOPP+PX38t8Zs/6vf4785Q/6lf+T7z/uviNn/jbSYDJjX
/us5281nkf23Gdv3L/9PU8hf7j8GskAyA89nMIb14+8h27e743u2phwCVGTICFH915TNDf5y+Cck
S0Y4xvlHl0FX/x0Wc/4iaQXuOFbfnhJFkc6/MWNT/6MCWTmkjHymbPiu+Hfk+f9jLK+k6BO+LAe/
m53gVOc5LOZidgAMeROvDNqfaBWc0zKGwprFs5x2xAWsvYpjMcTHILTN+OjNjRvdlHkf5WeHbqrx
T2pdOBzMh1BLyqgZzl3hmg7Q7uBVFI2GFD/7KkH+l5z49KEJSK28Rrh5Ma166yRPljpUuaPtNI3f
bMQS8d1qR43bk7IY43+paQ65fnlzBP7Nqcqy+5WTCkNZg9rK8AfAMYVSAF5h27VtfM4Xf/Lv0qyF
NJIaWW0HJ/ejB+jcNO7wWBU5yKdU6mcnQpY7DvVAcfIinvsJSkY83YwRszOvNQ/aF9etlwHh9ESR
NxuF51kdy6HnWoxVrW84ftSxenWc9mOIGwAnM1Z/BxMvt83ViV78LP3h2z6+rDbuqn0TzCtvac6q
dhz0QHnb2ni4jGlG6TZ4Kz316tedJtXpidk/FE3TJ1dTbOwlUlnavfoCQ+kx7NJvahCWs1caZFdg
cPwNYOCYufbuauSz60FFUXeojZjPRS2SelPJpgRYQ/ME0b1WPmMWxKFHZqMyWzVopc9rLcBNaevL
R4/wR7xFx6xVTuwjnb9yNQONqjUsbVYY30vuVyhx5HOxHH8RMNK3ns7X6IFKujQpt0kLsqc0i/vu
2mH5BFnQPkwZEPecARrwj3DH+AEqUUaH1mMsRqx+vXteMun9LjqZopql6wRwpcF7kB6qmVnxT3+m
cG7rcwbOj4G/zMNNk894D0Ufj29ZqBQj0KWjbi8t2uIjz2a7HNG0NCeivm18DjWT1Y8potrdjFCS
e5yWExP9zgbsPL/NSiPqk1l6O3F16eL2tphLp4Kv1wAyIwkiTV/2R2+NPCzTdSdX4526qM7BI0Ru
bhzM0HPm/gwj9OAEd6Uz5XsEyjL90fTBGr1HiCHZfYluMfzOhMipJFMeCgiu77GmEY1cBn7uEFlQ
0ZHlFl5yM6yuRolzuMW0+6Vy45xgRNfVXzHGreQcjLONnnB+ttkLIRIs2ZsszwoUKLXWHWKia3vE
PAcZ6LZX8CvsLnWcQp60bJXcR54KICkx7Y5HufWiPFECbJ9XUpSIll5fmTxURxN8m2u5jNwqC+zb
dt5NGozcY82QLxyYk+ijMRYEQy7dAwr9+GEqkIEM+s1XycQWydGoZNM730yjFb2HVwY7wqTVSRhT
HvOYTCkM+ggFfzFIKttcNC7Xynm9chEV6ahZKvOsIreONvmCBzk1w/C6DEMLctnPT2G/hpcqJxPB
hftPTnTmdm70c9FK9VibNbk4RcT7XieWXX8gywt1iuehJdZ7Vzaz96wKN2J6VrX+0WElvEwqoF10
0Pl0QKFcDomcwxcHS8ID8MHuUogeR89CTf7StSG4NfbcvvDSGQHCG3/4pd+M+9F6McWWMYvpYVpb
B6GMPFmPJ/XKUcOAGQ4z1jE3ajytzVK/uxUDjtHNoHSPtDdHqfLHjZ+5VPZ7Wu1kv0zbvnG+oT2d
OLtFJm6GsbsnOMj7hTn3kFQTvju7gnzU3+Ld3NJL57r+/IzNatgxfxyuENrifcHRGCAIvZ7huNws
s5i/glFMJ4ZG7WPfzdlJgI7AhCrRbEfKe13faKZMQl75meovZEcp8FgMoMZ6ipg+ggeI5kGfs9I+
majVhzDMuaqoMDmuAWSppBjy26z8Br8ykXzMRJOdxyxcGPEjDm5CT4hnizXcDZiPZOijbwl9zA+2
bzkjJ9AkpV0K3pEJXcfHoF7l9JGWDuBnALVnvN2fyToCJ5H84u+vvESmL/klihwMvJBsN3OCPpQN
PdY+0b69iL34lLrhhIoQuTcz3Lo3N3fDK1+NDejsrLn0msEcTrEdI3JSD6sT7GvYXCe/i7udDUC9
DmHiXeYx0KDBUn30ROCe5qZuPwlOtHvZefYcNjmnYrccTpx+Mb6TBQwy1+VoOB4os0ivTZJXJxly
V8Znpd4LByV/45S0s/tGZOXW14hssYwdeO5F/jyFrv/uZhlgdVrkkmOfBdW5jnrvXqYLJ1DCGs6Z
m8wgN0syVa+Mvx9qkbMjCsd9FL7ydqJL7QFNaNlRSlY8jJHzNLZBdPLKPPxoyatvy2ziaO10eC8M
LamTX3k/4gWhNXehWCfBTL3KwNKSea3Lz+u/a0rCWDCWLxafGQZT6ifHhOC01czljNPQ8Njz5O7T
idgdS5cC1QYAzeqE8QPiB0BQRUgNsykY9bbub3GssYtjduPeIXJdMDpdvejBJqG9ds2c/8Eb6XXX
g5MyCzF8CWCuSyI+BEB4HqH1NpJpHrOkvPAaf0OPcxYmbwM5GpncZ+00IHDartMhBO9E5LaIEAQz
A2eJoWOriaxtVBpFegCjqnBvO98feJs6T44r3c6Zz9MQ0iM5GicdbvH7d+VvX0ah/nSJ7Rhno5Kg
/+g7WZ/takntEEw9zAXMC1P2H4UtEefiKT/lXZDdq06kDKTT4hmueqGOIls95+AwBzf7mDDQAQhN
Xm4HVdaP/XeqsTIYV/D79fuW0mWUxXJeDkHfrSfD1Hs3eVzlpqhZtktkChT9bki3vfLas8yG8SzE
kl2TYyhfq+HbUcQVv/5JCpCDFVDOdDtn9MPrqgIjZLnDBVynMh/x3cvqEr3dUD8aJflnY0vvRQzN
xFy2h6XZmqm/FNNKdLJpViLrwNN+dB1Tr7I25WGe1uB3vkBLC91MHJOVyaNuOMUlkXxQtM1dVBn2
j9EAQn7DD+Rrkw8R89s8SwXOEVS1gTDzpjPhU9MpNA6Sw1z0FqF+Isp08Oin6MUG5ZvWS/9Uca6B
Mprm0QPZXO9gvxctR7gWWXHQxaHoJ276Td3h+ZmT1n2afF1aNp2iQu7Ejngz2DVlphA/yTKFCMvp
90Bhf7whNp/f21xMwQbHmG52pW6oE/WqId+FbVh+zKNfEvgJ3dNaB82NtyTUPDIjPRZpVJzqdHS/
5/lqeFYZ5etZEiHoidUNNox2xrPKGSKWgQ3ZMNYvEafBph+luwkqv3rrowWchyb8DNy3ngPMlPU8
cVmX36buLlPIoXjIHsJVOW+DZ0eyibIZGBEmY/hjUtb/uZZO98LOOFbbfiaThOXG3HK7Zw2fPXnO
w1w+p4tyb8idJa9lrfMv0y7JvEsGSMqji1ITgchlKy9BdVdoFzdLUnQ3aTg7NyVd1xfDj4i3vmic
67Vcw+dK9vbKXzzEjbgzPq6nlXNMEyzpSwRK/sbvsnk9rMSqnkaJ2acPWiwnZp1nhfWo1B0x7BE0
pnExd/2ey0o98kp/tEKjutd6MuhoTSbdL2VtH9xgeG+XOxKszMWt4T52lw9yVKAvQwWZLXa8aXgm
RJc1N0LU2t34eL27XUq4pWJF4wbj08lZg8VlLGHZzwcGU8GNHB1u/EkJYWJb4iSSFx8zXHWIxhjP
D3Nsk5xUMGL7pnwDH0VB/1SXodnK8qw8y4bMvYD5sv3B36tB1x07XjZPVCrYAMHd2eZcepO9FpNY
rjDkfxmNwLOsQfzQWT+/Kg2R/bLEpNFPU4MsG0SbEsf8tpDM23spkl3Q5FdpsEyIt0Vz6tOsPIek
VM9BUL6PpngY3BHCqM+mHy3ju3Y5oRNLZmZtwHKLYApPgr/3Hx5Q7wnf0gy4aXLfMbCnL9LG5kKg
Rh/R1sIbFlOaoEUg14PwnOyTvFtxRYWA9+mgh/e3k1PPP+cujNYTNZ5LylVpnqCrL1wHd7II2/yW
U3z4EUjqFy4oxqXY+jms5zvZD3nxo8yW+XcifbY+lA1EUCKsoz2nheaVVQ3gUTtO0ceQEEHaeyA9
9cEvs8E5O14xpzuYncF5Iv6eX1FEwBV2LWXT7smnj/m2MLSucbALa3uiAxxDi4rqbODulfIVjkpO
ZucBf5p/cedgIteo8GB9+omv3X06DPpnFrYe8UBbYy/rPLaeDWHGUl0P2ClS8s6lL3CbqKh8ENHI
W6cSvGCxGTyW84A53WWNY4COoXTmFGtapqOdPzce3g9vSKKHQmuJE2HqmuRBBkWkb0gCNcEO5gGj
n3LNpmAv+Ev9pkmjqm8VV79wq4xYg8Mwrh1SEQM7f7cKwact0PGv0+8EMCIk+eNtT/agPq1erMi8
D8twEvnwGuA3vWjfj/feMuhDlsfOXUM09GBX7Z9cnbc/nbVPP4YRmTNai/CH6OkwoF4W1wjFAce8
QsTncA7DwLoRgay0nIsvDKpYHSpI2ydaON0rNVfxnnnNW9EGzHBSh0Rn2nbikkzuvA8MMAwjmEEy
Ecg3SWXrr9EtS9hUHAt+lhnDB6oNClxQS1l8h/+K9iSCtv+1FGt9caZAfzUoKKyBQePFO9IjPn37
DTMGlBVcAxW+djRon0tgTtbuKBzKcUJ0EEGev5ZHN3H7h1JLfbUAFSFRGbv3i1Ot+4kB+4G5wWtU
L8shKkBuIkm3V2MN76pfK/daLca9SUwe5ZsOnMlb/D3xX12n//JqMVwVTpseZjdi6TDK/SWavr1K
0Wgek8VlCOxYhVC+RDm8E3abzRAMxEnmtJq3FIVwf+eBPwRlyJuyOop3WD/Q5sbNevb01QToZcf1
2pxBnFMwizs/vu77Jd/pQAdP9ZKYF3Dr5lx1vCG7kjPNOdBQDurBleeFZohdMcwaqlsNwI7wHekg
uGFB0jf7Zsz6G6dQSp+0ts17Tt21gegzVkN85+BR7i+9wGjGQTJIZixnXhPdNRZv7tHIliDPJoJK
0/9dMflvKY7/Ukf8Zxnx//2vuuT/QcXxG5b0rwVHDEpD9eu/aY7fv+FvydFz/lLUUOHQx4nvkkbD
Nf+35IjjH1URDTAKnDgKg5CE2v/39bt/4X/ndzjSJeTqeN/ptf+UHIX/lx/GmOGV65D5d4gM/Vua
oyI+8E+5qSBUJFT4NrsM4PnT5D96Kv8pDEMWPBM8dq8gmxy2tGBfxgx5ueM4lxnXAK3Y/iUNe9Jk
mGTs9O4hsHFg9rh8Dj1Yp+Bp9J7wJ+OLNrt+KeItjuDtGn/Hz9ytEo/9+tQsMzpJeanLK9vr63oY
aV2YE/nDSy6e+yjFZ9GHJ7fXWDAImw/DKP6DvfNYshy5kugXoQ1abB/wtEgtN7DKqkxoFUAExNfP
wXCMHNKMC+5JMy7IrqrOynxA3PDrfvy1Mf60yohYfHfmoSai7PRfGlh9uVQ8NIJYjGfQqQA7Y2DI
pfEXL76HIEbGPbJc/xtME7IagV7ZZ2HhW00eoRpgTVnfRMkdF5Bga/fySD0ve1EndHNSvgKOzWNm
Zdzs3eQJ9MuGGqNTp7STzRCn0QjmgKzYGMXa/DsM1LxiqNINzOSClWuKUzsW3UHjikNsLPL6cp86
OkXKhPfUp/KUABzVL6EWrB745E9T+TgB8ivutQZ/ay2OFtKqSFZw0OpMXlhp9oqvv5fbfO2WqhOI
OszK+erm1nbjahvtEWjMeTsOP1qTRn71I1OL1D6uVfECTSTl+re4635yCR6VbdwGg5tPj7697/F5
5IW8Fo77skyue7AMdkwc7MkOGwZOE4eu0IxMWAouZ2SviX3JAehQePkrfEqmd+LLdX7wZ9Q9A+7D
RjO97gpimLqqPDlp1cW0f2FVfXddjEM49T6W6isPJs6/6xg0uP0Ka2u1sIQ4Br+41dX7Us/kmdxW
f5MLcbTaeWVMBFzg4L7khwyalMtEmCaO/tyNbkS8/dUAe2ZkDmOA8+bi6UPDulVSYd20vZ6403If
cMTsM/8MYCHjm3+kzI1UR+KcJ3syMoZz62qRtMaBuUOZjiZj2qZLd24MiUlCflOcxie6EaeJLkW9
aY8WH9IuFT8Gl6IArdhGe2NNuCP8vm6B2EVq2Mk4FiToAP/qljk7z3nTtdgMOAjKsMCdpXmS8gMP
wIme7A0FuGPuMPD7B0/q3MjHVWrbGuUIQG2iC12LRj8H4/QAasNlAzZDpIcG5s97rfXZj2d3sZdv
vQL9QhkPHFAhveU2fAtdjCaSb4DAcCV3d9RHqsh9BwN2h59AO2XKDpFbSy3b1f3vvnkmdJLqrzGO
IBSqI/yCbcMod2+gkB/ZnrC9XAiMa+fWN+hHYs8tPyf8zC5MKqc9munA51TfzjiCMDIJmknS+TDp
46OcnL2xNHd2a4SOLjaWncF7qaGr+Prj2LzFmXZaM4iwQ3DyqGg9rXf6dEMg5lewk+ZR6nNgk+OP
trxl+ruJ04dUdvcwVkXUNumA53Tcmdqlno6D81j07Naqypa7QT4QDN/o+gq6OtGC/iS7/Lj0D0CU
NpCoBpgY9SWfqkOW0pTu3Zkq2Wa4liTacrfgRZmLr8GLN+noqjCe1obXditw1se5e7RaWsUL7b4p
PlzQBHHCltxmXFDPU0yOyOFp8JeaT9VXzcbRQ2pswZQIrOvz9DW0ZJfiYlulPGnA/cIuxTBivlQj
CAoe85YgwdyN4bR8w9mvi2ajSE60zqNyuZPlD3ke84q4KRrEz4tlvIPN56Ndh8pIvgwkW1B8L43r
YIemxIyt/oUkAOD1E0mrcOpSemnm9OTb470Q6DV8XKphxOqZ1h7XlfygbNYc80iTsaVPMLh4AVLX
IyfEgHUxXTwMy1vg/2L9tBlHvsNpvWsMfcvnDpeEjlOn4yoYTrZhw6VBqvQq9eMJgCS+dlmmJz09
psNel7b/YFvtcw8OLE3Ex2reQf85FAZJmaaqXdYkHe948hrLxWeEoXkrvQm4MTfUe5pdu6z8YmV0
z8DDrj/o7jFEfyqeWjbHDzpmnI3l6h89Z43AOv+Jd51xqQ6MS1L0204l+8CiGcu1TbpHm5Q0rPNg
ksquHVYZ/MWyM2WNNxFX82eQ6yHB5mNc9ddxcaPWEe6uJaNDpXOrNkYz5qfClIzog35gWyO3oCOL
zZL0j12VGuEscB4Pulceu1G3sNf1yrlYbTq9uaBf9gRSxItVo/jj1wx1FKxvNQbmm4HqdxATMrxy
ezt0GrN4FzWRHBtnY+xgGU7qOEIatbcK/Wzfj5UELWHs7IbS+M7/XbH9OtNZnBxdX+fGOwYZLj4p
T6Xy5Evs+EPEQjorAGDMYZM52AmGgQ+88t9SsF5ZigmVWNwrJobQMTj8A298cMqAJzK9dpPxwoWD
e5TOFaFJ6KXxjddg5nsn7Meea+meRdi9WvzxWC5mhBH7DdwVDGIsdu1uGkjitD8k6XykQr3+MrrW
OwHe0peN70oDdEVAQoMPFjcRSGo8T6nxYjqIGkoCFkoPU7C8DVTKxMv0e+1+ifgb2Dszo6vYcY/k
V47G4GdRX/MDxj8SrSQ6aIjQRRx4/u5QZrsklRGmwzdghO+NY761JnJAARuY9c8xrbr7qhU7aFlv
whv3qRB0z5qTiExD99H3u0OTsLgi0sfZ33vLerxsWh290nW6MUV30Q4VUkuaD3wzM20AzZFs1AJ3
CQHkp/IDcS7bugdgOdSvbaz5u3mO6ZF3emtrSK0nVAKShXN1yKxhD7V7eBigZEUVrrE7MggUmRcw
R4CsQGJ5rm363ew8Sz5du0Or0mpSzmGb2jDreqoj3IapocV8Um5IErXHNvNGdAroL65szfs6thmI
sry/1mPh7QV3mQdfFPCx2imVrwiEdnp0B7t9IOzZrNftnMN/VlZ2KPoMNXWs9zgogdqbZeKVvEJ9
eDx1FnOVirHDnjzuWjk/iTGAutgX1anoeI6wtWremae6vysC3/uwZ61DnKqGi12xfOYV1juftZ42
HgmzJSO26eOw7zT53vBh2CqJZztKyTomO1QdBRyL8/Xkq6G82BKaExrmcOSd6Gxtlcy7YmGdxlLC
4xQt5n2lFct5sJLkwRw5OAZjril7WDB12b9F8Fx449lhvHiVdTEfB5u730xOewOI1KKGJh6fEPCn
D5uv/uamHEigmSxWO4G39XvQiM0y+9egn5oHvhQWMvn06JV0CFa5w1sqF6+AF1mNB2RenUqSrOIL
WH5L8j770vCObeyUpL/9+J7DGC8Rl8oo56LJPKifi9bSbtJo6q860+vX1GuaizMOLo9ebm7kzP44
q5c5wYzZyiokD0scL33pvWy8ZG23D4w2QqDcFlpZkdnwNGhIfnfSawIemlO8gDh5mw0t3gdxwmLU
1ZIwF9veyY1PgHrNKSnNbCtqZ37WlqL5VZmB85rZfbxtoOMcejbxUWmkfYTPN96Zs+++eHWQrtFQ
8xC4sRF23aiBPquYrWZfo+W5SB6ovEdJZft9hScpz42l8ke7dH9jPziJengbVYbP6GEhD5smz3RI
j1z/wZwXaXsc86xhhDO8QwwXLE7i9G6IA0yFoAIzP07YafT03ZZBerEn+5ml4QgmsrtqMSpOFftZ
aDj0Aaos++5I+oR1NuNSLbyL2U1PokGCWwcSZsODV/DNbQ3RIxkzsJfZ7yRjidHm7rshvddc6U4o
pmGncuc+JgV7cpV9yYufkp9lNJcZech+uNdzTuI4z+qIbXKxzZPlzdHMt9qZGG3zJD8PaQcVCdN+
ooLH0oeooSdnnFs4lq3xAdLIW62G+4EM7WnoJbcDwnCJUZv7oOtfZmV/NOu9xeSSknjFyTAhmOKo
YL0xrlx4vImYVbkwBbRrRiD0IsLbJ7/3iNiB7djZmLNI7lYz2oZ0diDqXsF/iSsgOgJEQxrk9x5s
zGjhc/udO1S0WmkcHwUZje2Itxfz9FxjjHcaNm8kzIF3sg7e8dD316KU8lZkWb6X1Jw1m6prCp6M
avXMgRFNhCf7iJItnHpdgknOTZVCgMaVUQ0Z2VqKlMzLvAyNyfekF3/UOGkjpbg07FZ8vqORQs+v
nr19NFvpiRxP31+o0ck2C9k0uWlGOKSaiOWuLeBlwpujj3s5IJks7yhRxbbT1N6dje8ct7aQnYdd
vxk2reF+cCleTcrTr6ShuBA8UXD8LyphmFfit7Fam/69pHL5pnQibf7JxrX+jr+zEjBiUcCBUYsN
a2D+ne1jen+xB8VCZYHWgXiw6jB/11T8v5wVoBAgusD9JZv/D00FlcZFbIT387/+Lvgr/4GNyyB7
+E+aig++DqywzRdpgaMBRfMv5I/em/1On7gvDFKpqMsLJ5Q1owTU6KiwpH5rK/Fo2GJrz6q8lLo5
bIdGnnSr++xYm8euOrAFZfHHGnPvcKUzBQb6BswibWGo02UWRDIIHhjRyH28xd2vJm5xJFIbn+Sn
mQx/Kd03NfBEt/ZwU3r2DE9suMPRtWMnzZXTAy5m/VYVoQwxlru4Gu5FVh7VkH8mK+mniIkw4Kmc
XuuByKBvOSK0LPEac+dOPYHlPw6mNWhwZ9Upoo4F6tduLnWZ7ZlZ74lhET9LDRUS7DrWtKAStbWj
1i7SKG64T6Wy/4a4uZLWtkWOttITM+BR+wFxgNe1bMMqWb7yorzDT8tKoy3LE0atyPFWclsgyR3i
bEhrboKUszeNfBeiupdAt7hOc4Fygt9OdrGd5Jilr5PWqc9cd7rQG3w6fR2Iz+2YACae+TLh3uZl
yACqEcBnSlFEivEZoXd5j37hZmHb513YLjhonW55d8shGsoJO4qHOY9kdQQ+8Wz1Bikh2d8BRXuw
lXln2aw3qHZn13wtAgToqqk/FmGwbaPeg/PNCwe9vjpNXIeGwAk3sXDf+oWpcyyu2Q72FGnebsui
3CsfBSBZHuy4vJJRumGSOPWCmhPGqCchc/Rqeoi1RGt27lCEI2vh39oU32ueSxjO7yNybxKmrcWd
e5i7PUWbVaRwWpDnrXrtzLOykYZPZsBtDn0F6CefqNdp5X0trCeNQNdTIdjb1jGmeAMI696Uy6tm
J2e7aJ46waS36bqvDKti6LAE/GH3sI4d7nhQ0AVDYAjxa+YbSVSDU941WWYdzXk8yZxtBYuhmNVd
B7JA9E6YOxM7xcTeExrmThr/dIZ1ZSh9qwuGEcGucTM5xV3GRvBiEQ43leftgrmfScSAUs674JqJ
+TATToycweOeK1jVzvI2Q4LbDEyFuyYxtId6UY/MatAdSsYd4Hl8XV36XgDEsUw/IcuQ2US3UudS
SPEuyuBF1+iWKdN5l3a64BE0p5tdw2dYHAmhO/8gO4jLSXRqu8qp8GF5Gs3mNrYjbhzW2NukzL6s
XF6NxoPm47n5NrP0Q5BfS5uEcZzZ43HIEy2sJBVQlT0aLEGn5owNgi753oXtzMYoyowAKOtUqk3q
l79HMLYM1qLZlLASoiGXZ5ImL26QqGgYK4JFJQ94miKUIZ95+fQ7qIuLWrnAKdfGXdtroYky600d
8ubUYSs0v2pl7s0+K0D6lnVUZUzJKYJRwJEfFXIG3Fpu0/IuM8tu2/KApMMDJM5dEHzmRjfxUch/
J+NFSbY9VibuU3ug2jM38UzZor5INVc2wpGXPFmmaslFGd3FBYsZEtyttqQO+52pkxM00vIowBF8
lm6L28uIjXfsoE+OnC9zMschlkPgFXXi3NohcMJ5curfDbvHjazBOZJnyI+2Rm0jDrXNFFC7QISj
jmqvubOW6bqazzrDn/ANEeJSRr3lg9DeA9s9z60692XwZ/HUc56PryXysKhSDACT9p25BP6zSofN
kMR3iduG9mKebDWf+4brs8vmnrEqD5vZt/gXNdqhHwp9A5923JP3qK7mClnWfBlmCEUVwbBGU/cw
Pm+45HgX6El5kCuRLUnGs3T8U19oZtQS+zssgX6RlfbeuQOzXKf079y3QOT4vL9a08cSUJsVU3uD
DsEc5y9iuuhljUUDasqm92oCPv3kYCDxdrOqnxyv/CjEYzNbh3rUzHWe5XNkl1u0HWxoRTk/xyXO
U8H7GxV2eJ1ds79qiXmiwRn0VH0iM9TrG7yK2GPxzm5Gxx53MjNBa8WVF47G0v7WC16fc+Eymbvp
ndaCg1Ml/FBdpum2LQdWA15yN1a/zKIGttPIPPSK+YZlyf2lZPsHmne/F0ZKAGlwDiIwDtD5dyNX
vSYGaQ4FYAOh/zQmC0Ce7AYR9nVxMqCximulVhwzpOzKwYisNHR4F4Hdn4fv2YOE2yXlGSRufDTd
uttMyZLDEWrDQtXbmtix28lrNvgvwuU0kPGZpOkf3ejChVhk4ZAaif302ib6t+jLF4MrOEKpcHap
4MPUOFyl2CqTAUhrGWUY/3Ygi3ZBjVTa95ax6aZOHtI0INYvgI8Ncny0lf4xZYzaHv4qGKO/Ch15
ojZ4AYxW4e56rSyuQcAJRIbnI/PiliVqbxj7Do1lo8N8JxQR47MSbJ1zTUKj6F39YNba8j4tyxti
CpSikdyt01acVxr73XoAmDs5QIdYbBLCB378hXivdvaisT2mwdyJvGm9MtF1G8KXlV869+bjMo/F
QUtt+cYlYH51ZoySEG+rB72gu3smUS+cOyfZzXgXNw5uZl69T5Zmv1V10T/nuuLG5b3VrTMcG2zN
sOwxVSYj0mUDQoYQrQeTuySz3I/xZ9B7SEMtlrFEHwlNd+kOC9Np0kk21d332HMHjw1/ZL3uQBWf
nV95HuxV7TnHytD0py4Z3szZ5SzzHmNP7odRWW82IPLQEdrVSkwWPeaaTDKGOrQ6gwhgz2lZgro+
Wr6O1RQeR5GGMSrPUKOeBvoac0SbpCyB5Sw+oO6QxQ6tHRCw2iUsvOZCh9cGCQY6lvPqZd0ljlEU
gcVUHQyGsQ92c2z0OyhCVkiI5YCa8AzKptlILDxkodGP4mm8Gyxznw7r8+gmUcs1qJg7FEh3m+ce
Z2Zz0aVGDpsUicvDEMTgZiQ2EetzxR4H88TZKo5jpu8y237py4n43JqRzLUomHN4PShCAYxrGYDh
TY2bgWRcI9k6YJpyqicr2/w22WM15qXWfTJGMxxVtaHl4GA7QOuz3yURwKVHCXWRFhR90S2JUppK
Ik9L9lUsDzGmzaYz9yVMacaunXTdEzduf28Egh85ccBdNic4nezlEXvyDWIwNgIydXu4Si+N4YKj
cUcH2ULKQyfHV99wzcieOdDoQb2TNX9vR/9KPJd4K+dZPy8/Chso8IZ854Adiev+UGL+tzKTDHXN
yAfIdVnwenTBbiSLXFb2AdPYNZPiS/SPmj4+0X0RFX0ctdZT05Qfqk3e2B7tSYbuFEG7RSsvhKOO
XqffWEhF08pXafLSjCYQ1yh/2W7qsaJXYv5pCv/dwYu2vhsKt/uAU/JNpv3sIJjLuLn0WbkfTYnB
0N6nBZ6yrMXYPXKTrVhCjCdlq4+lO6xroqZLmObFzqqCi1XcgmX8xLxz6ZOLbj8m7vLQTMFZsiCw
7R7eRL4Rqbi4+tpuQX1HavAiayZxFjazDQa4K2G+Xy6zLjBqTISssiJgYF8mG1e3B+pcXIeljUM9
6ZwIZwp/r5o/ZtZdFhF8sJmm7cvseixpgytK/11jiQelOThVkqvL/g1x5N6Zqu0iHom6TvhngXCb
ZEQzygW1zmRVOEfDalYdNQ6TTie3zgvnGMwfE4Na7JZvWVZebQZVpzfOnukhK6Uvbc2uZEmyZDvT
OlSyly4zeY88/JElqGSqscgkpvIwS+sO+A/umMjnqr5M/RwRwtrgtD7KOngdXIaXbpCnWej4QCyi
Jpb2oCzjpWvfvcm9TG7wm09SthKvH80EEjiB/njDZSTZjun4RdQr2PrwoE2q669gX6x93VaHZTJv
ea7fj+5CI8DMRrd3Y1AEI94e79vNVv1Dzq/Zuk7Gzhj6HGNYxEOlgo+JWQn5J9Rr7VLWHlS6F8tz
961GYsUJsj50bfVYZwqQd3+H7o4qJM8FZ2CqoZ7biiOAPdsxZktjuO6HUndB2d7mRFxJdDwFMo4K
Yb3jXgZCRH5XRzVny9W+yOWrcH/ljva9WGe4mPe6uyXUQ+91kT7Ms3PoF3ltOmk9iCb/MzUZG2vn
tTIcJ2RHsi3sIRz56mhpuTljBux1OJm22s5Z+xMYzcOUqG3TYuX2vlEuD1Ven5OM3V6CxkclJu4U
MIK9sk4c2tzWlg1aFxyfnP9OOJ8MiUnW22SL+wf/UUHUujlqjWWGY+lBWRr7a7lGtU18RF16EEJ8
Fr5GptQNizmfdo6OUwFgE8tfjoayGo+4KG+OYCSFqbBSTxV5gH6EZ5AWYBvqcavpgnaLUaHGpu0P
gZBNaxL8SWAJQBfyt57B25zQ60BId7SOBnE+/mcTWqX/HLfpR4sCzG4HmKFh3tque1ULbXmTVY+E
LNksxrPzakO/CGWhlojubDaB9lOjWc2+HopfqcksaflNt2cyfVFq9uj46I5IcERENfFOx8BHVdTI
9z1iLMJzxWIx/11xaQ0F7Rsn0irebpHYt2mm+AIn+kjy3YkM6d+LPMexBU14Mzf9nanL65K4t8LW
AXbnONIWAfWm7OkfjWPMA9RlkM3okg/y51iKers6eD6G/xy2KoLytOx1nwwA9HRaPVp8YWkwwfph
owrRR2fPNmfxm2Ekz2nHXoj78bT+afKu4E0MeZwB2cSGxQ8HyKCG6qqbMQseSZDasvFoxUzwmkge
ynwIp9F8rPEapG6wjbO+3ZTOuA2a7tvyjPuSCGpcNqzYPFoQN2VStECq4vrqQQc/GkDkIs/vtGhS
87BLXSJUbpN5T5my0y3f0on3w3EG9svjx7QyNdP9EJN1TlwVX/BY9/BAWqB6tqzrXVu1FNIEbNKz
lfZnFjmTUteVn/Qr4O7UMEZ40+8EA7mv57vZ5rNReO8N2JoR20bQmyfXqX6gUG0smlfSWPcPzQzX
nZUvezYwIZ94/V9Zlxw12+XqTp5h6TnaFgojIbNdcIyy9ILnwGhKzxrvqkhU2FzYQLaafXEd3nCe
0TxLo9WD7Vw6fMYpMjlytFQawPvEiDn8KI7xZxLPXm1kvwyYRFsqHcp9wN16nwxoMCx7QMCoNl33
FaVXbfVFlZgHFjbtPH28PeJznsTXubesjQDfEiblisvwzFcZp18yKAgNGmfl1Tcggxu/T38lfNRq
T0OF773IaIttnNNII+pdWgvoUQvMKfb4IBViVBiO5Xzt1cBzK0iGYwa1YTvK5OAa4zkRMqGuZ961
hjZFsslE2MBwNwwLuAOLf7M+sef9tpH9M+DNQWYdVJWe7e6rdOMXvE33alQhavRO+ubJE3KjZInT
5n8tAf1nHGC7KasvDPS3rkzP5fyR4NhoaphrNru+uXjX6vZCvOrgMLS5jRMC8Tw5vv7gNzn7W9Zi
QkujWhsvdpPfW9Q0tL28T9RbN+WPeeuD6FwWmJrtO6oCrF9GYgbGpueI1WwkAtdKdmUyGDuahLIL
K/nTGHc3iTe6otTiGk/qrjSDBx5LzERwGRMId4v2Ddhlg3HobUy7dfvfnLM6eywmM7ipKXdfOyng
fDQL1EhW3llpRRa4lZJSUj3WeO82Bu0tOp2bnFMw54Jz3ucvqk+Qs6A2nfp0JS206dbRSSYUdXcb
lEm7h1yeltKDOiBpOpu0N1hGd8kUe6HZmEyXiw0HX3TvSTHPuCeMRy3oBRNR+Wo27NyXDgmiZIFA
jHVXKHNTJIbFhJL+9IVojrE+BteagBdSTm7JHdGsg8gKOGMIiqyaCRHtSK+82snyYga8OVVRzed4
8Y5WkrLUcQIKOtKV4UH3ErfEnC5ZnSHHbLE/bZ0kOaYLoEple9iYpydieu+qY6T+r5z/Nznfh2P8
79X8ffov2OP1l/9Nyjf+Qr8n7UwJIM0x2AP+LuVrYPrhgONzNHBPgtG2/8HpB9NveDZGXP6DHdty
/mGPtP+izxNrpGHQB/o3gv9/IOXzsP+Tku94rgWUy+JPA9VPKvJf+1zpRFQQGH+lgCEQrVsdOwgV
X2aYG5gEX0SH2YjOJx6XKSW9EWLmZXaZg46oBBdisgOp5Yz4Crx8JlegWx9mQerrINLK7k7GItgt
5tBwufRBwEJYjrPGuify4qhTry0BWkGVS0QEa8gYmXA/TcUqfiEQ1l1RqDOovpKyI1cOUZY2nGks
vvnTrJr581iyP1EnK3EgLPL/DM8aiOmHlIX1EPWD/m3CbEou2gxQkGQxLWb7AOX7reAR0zd2YHjD
2UybtjgsedszN83LrN+IMZrtwQ9QUzZuwkGIscmSTZhTbfIDzhDeIuGgFZ6TZ7114ByY2gj6iAc+
RSpfowa1cPbQTkoVeQGxztZTSm79xRvwl5a16IlfpXXC5b9ERW4NCULFJChzmYi/9RsHiMl3bdTa
2XFq8qJaac0uLTE51xhPX5wXv+fOullI2Jwat8tZXrQr5M8puknHI5B2nwul0r90BMmSzX/n7pNY
C7CXJXP1yI1q4bBmMUx5Cw1nL1Zu5N82i0fAnE2bXVvdrx48QvTkmRc6uTaZDiTuMi2J1uEDmeNv
CatPC8ve1V60eACIl5U+jMtg1CnFyc3Sc/ZpQ/l0qAex2GuuURjAQ4O42+KoGL7snP1+2Da596QD
YYd9lJmxFsXwJlw0IVNxnfKwix/UHHjmxqpw7jh2X9u0QNjia6gsGMULP5chNAOt+JgXiBOtp6WU
NdFOqW26DAFSadOaUKIGgPKwRKTIKHWgdrVmsC6f8nGOsF7a6FZFrd1RzrdoBNCyFPmfT9Z5LBLE
X9xeWXqEtJRZG1eBsd4AMeO7Z2BNNTedbBSjyYB8CZa2ZjohS5jeLziDvywW6/0xIZr3rfzARqJ1
zOHLZUn8LixX9sRAtbSKRmgExXZKu/Hcclp9VQS6re1QZ80DKVjMcUzz2bd0WzQDXyBKF0Y1taFZ
2dMSrd1FKrJFUv3RBi+d4Y567LSyspqw/YDwePFiu5g2Zal6hB0uLM3ZaQbjrUQWvTU20i0WDJvy
OJHUYMrBVRdPregdbgpMj+3eWhVBhSvZGmmFCpPCjt/1PGFB5g/uvGymvM0I/A3C+tH1HueLr6ee
JEFlw6+cAsfMN2SyZLof9Uz8yQKFRTZDEZk2/VzGghDjMHgEhnv8ToYrkx+h488AMGlyGcEFzQ80
0/tVVnIWfZ9YwZKi8zAqhT2mO34kCTTLKCgwY2AFVuJpYU1GqV7am/4uVjbAkm5gXwRpaYnZdwTZ
nzKvEVWEXYzNTgytvxpV7XHLfWBitlcx/kx7rFeHYwyeELX5T+xZefEEbXn88di2g5rQe2+TUvmF
nyigBZLFp2+8w8Dx3h05qiYUheG/ikwoZztig6OIK2/u3UaAfgA1kf8QDjSzXbyYwa/ZHWqCLVXN
9mrtAr66NMZ9W73dTo9smPi+uHwky1CznOpUdTTGbqE0a1iM+LEwlBO+EJVo0RpGJ9A+0Qa1h9Y3
g/k1qWz/XcwlrK9FkdOpajulInKJXUBUXjJSiEUjFs6bYMIUWletS/zaMslFlwi53Qk3pHfkrRHj
2Ww85WLIa1DiG6Bbb7TG+uXNwsXrUWga+z9QpPjL1ZL05KYdFutqFBmmAr/Igi/DHH0YHG6KShCI
UdwZbcAGQwR5vYtTeuM3fH0QDWwr5Z1W8y/jEtzgLsWAOwD/AktEinFB2CbZCpq3kNNMC7JTsNgA
g9iOUT957rPTTDS/qAHjO0r06IcYlsRjrbEAXa97zrLNO43UGxgg+6HNayQshaPaZLUDZGuTO33t
RZmve8zqdQlcIx6JAIUAYIfn3PcIl/puX8CIg7N5o5EWnD4/9+YiXb8HNz5U3R8OAxamRCKJtzk4
sWZeuKLoQ5MXzbJzDBvIeEvqPWBJR6hn07DTdKOALCBPNPVQrKONPvfeTapieUt6tjZc56oY02PC
5xPudwt1OxwbELFh0XkAqnpgUK/gUTHyyRwa1prJUW+eOVmgZRX5mV1hsGPiQtXmv90xI2yE85bH
7aLiqTde0cRyTLJkEhk7y9RaHloBWY07L4c3ratqeFvyeYLLGWA+Yl4PHDQuj/UtOVA9UZhLO17L
FjPoZ16l627FaM2HZBjnn8kvKohV+ApRhhTj7ye1CObBYHknb7WhGcX7xJdlPZcGlio+FfSLRNiB
kPSbhLrhriVm6o0O7bvulJMs9cgg+KODV4Zn7VK91azkWQ4Q58bPzZYd9xKQkIvgnQt7DAwFTrzB
j4NNYyzTT1wCNNnYOXwQvtkgajeSMSs4+j0hb+zccfqG4QiPLZIijG3t04N5eS8G4bUHOmzFU5x2
rXbRWoNXHkTY+r3l37Q04awSL4DlEfcS/IO5zB+B1Tl/oGU1IIU7270k2Dj0TVUHGVgHW2AG++/U
/bepe52I//3UHaa//vx/A836q//PP2OtjSJ0XzkOtfQMy0SC/pZJMqy/bM9lFjfIHzGR/2PkNvkn
eGP4bTb/1HXXQf3/EkneXytuAiCHbga4XYg0/SfuGX7rP43chBH5smwv4A/F3GNQ5sQ//3+BpGZx
pd3Rwiy1otNQgowYvY6bdND+D3tnshs5km7pV2n0ngnSzGgkF73xedA8SxtCIYU4z6Px6e/nlVld
WQ30BWp/kZsEAoqQXO40+/9zzneOfhg7ZCpFQVI09/sie5JBFd8nIS7NxaesgX16w3ZwzpbgiRCz
qw7YCGq9SwppsjOK5WyfK+oWH4R3oZ3oKA2CXaoa1k4wza2edtesSOpd15YCLK8zBP06skgx478Y
U+q1ozpysfeBlTYZ3bZDwqUhbaeuO7pTBtktBcPPiknbuK6TKKQlLudej29WYfuP/aq8i5O63ZfF
Bfg7K3vfJaBD96ivJZdctm2DKg19EdBnCUPb0FJaq7Rv2Io74bTiu7KvSm1lb8tYXRpX897Rb/Rn
s1fp62VjzT3jh92U4jIad8hwLSriTc0JsWnz8HkgilH7lFt53GOwrrmO9Sr5KzaAZ418mIZiaW8w
2lcWdhodgjuPgughLSgsaNd8ozVXp7IfmvzKRuBxOQZIXt+WbezHD7ZloA9S+eeU9feM6Pq7aSwb
c6s/Zmre0DSgoscoDnr3wbVaVb7XECXMzmDCJe48T98YqR2J86itfrEpND8AJVWz4GSSkOXBA+pb
xYF9INtPDlLLsEh2XecO135RLukt9VrcUaxOiFvE0BBgoY7ZvqRR6Zhnv7Kn3wwoWU2MV8d0OvAQ
9kjN4Pp5apIAQymFixsbZ+rBVmOCOwRxczIkjzhVweR06ObbJBSxfDRT0dk8WT1VzLsk8ZDACKEE
OlBrh7RLcA3AOQjJ104FqMALLbkL2YnCK0LLjGIGXayswYTii+E/4gnZi8Y4OKz8lu1dsNQBwRtq
KPqF1XJJ0edtGRUuD2RX5d52VpXwz8iBsbOhpG42RxYlXretq0lb5yHRRb4HVeffibDXw2mZ0zQ+
URfahEhAuNE2XTz0LfhHb8gPXssBdeyqyX3RE1ikBDPjpuKutx97IGVYMZnNtnat6ysD2vvGguy1
610F3huObnEzyIgEAv0Ll2A1UOHdyCz2aFqDObgCFXGYnWq8jyBB3qbUC21EBtHmxqdr936iLNYj
ii/KbFNQG/HiWFZ5YNpELI6JJsfbzhTWXmEAYLAJ2/xRVBALVzFG2GPdCHVPbrf+jMpIv4e8tdo1
2Fjk+y6fagizXAVpESkjy9D/Wsn66MqShbxPCwfeZoxPTGUUYltX6ZD1rzp046fZgI70M17pdhQU
w+EUF3FXNM8I8+CqvmMxp+FCkK9XsVcwRvUWn6Zpzeey6ccvngpKDluKWxsm3TmVyBwXvXaGD1Ku
JjsLcsy4bTn7zl7aTT8TsnLwLHwIwCVUAsSdsvvHALqts+4ZPzUzIAQUFI1wbhnhjhnxq6H6qVs4
Iimd8FlIPmfTQcMHSjmXVPO5YDH9scW7AHSDCDQwXRkU59AfGod7v25mlvOTM1MkTFPJZX03y0nt
atbYAVgEjxd/RWole8Lmxbd5LacO08pLQWieiVH5LfZKjANxbu+TsgNSA2ZZQYrRo2DcwF5Cqr6K
8r6qkbn1FH/C+ujKl6AfSv2+5KoCFEXzGblRZ6ja6yDrk/b6wmVItkGGaSLHjIt1566N54FFaJvi
xaKyr6A2xWErHrau/hwQWxmJueAd2LaqPX59VPjKZonOL/fiM7BWE6/+Jnbz+iTH3HrkpjKvyzin
20MXKcjSmeeCISiUrQR/0fUCW+mE0c9/iMuG3vlx0ds2kQS5aX0drH0w2CVwjal7Z2oU66Klc5SC
8mXYjBMej2QYA3+FuOLs5yLIX2LjerdRb6BW2BXLd9B79oY+R7AQMY1ugJ+tW0bWaT21Apy+LvXe
1JF/tGtuoKsGFxOSLg5u3Fs07Q7TsgE5WrAxGqurgMe5BeJgMU9Z6wLBCHLKIEkQyE04FjQ10Ccg
9qLsQAUqI4KdopIKWYy0DDF+2hH6hXROMZzqwf7RynKevFp6kuguEwUREXmkBrh8yU2qizNIdXcf
Su8XxPOm/YhBRUkse+PYfHNd7KrrOqmQDEjX8wvXAO1e0C2YorKKw/Y9oVmQVgtQzwAcSDSo8Hpu
cxV9Z0mXfrpaC+tNz6g8VySySgbSNLXCDR8QsZETb5lVFwlvpLk1YVpRSVfez56p90lrwxmuBl3e
aFgk9kaVigojAYjG4HAIEZFwUPnXebLATqT8BjtaYfp9KiBMNS18Vmq4WbpBMDF3ZMfUsgURY0Ob
AVwXwOemHQCEOd6tnVVUGE8dYrdLMDZ7gEX+hzssIIcmxexu8+m8L7rGu6LWQD/07eK56y4LIgyE
qpx/5ZYkXCGz+hND+mKvB3JJu9CaTL2F1Z0RmfYviOww7j9HbfO7P5Qxx8wqJYS1fHWxG8c3YQbM
ZGcK3Ov7MEnMGbCuuCpq1/VWaYRHzLDX+TGLisy+W1idXR6Qw1Dc/c8V+i8fOq14/80d+pqC2a+v
f/ehX77iz3u05VwS/BpgpxJaMN1J7sv/5Il6fzi2kB5Nlq5wlH9p0/vLiS7dPwLnMj15SlNU6v2r
Y1bY1PnZtmuzC78U0/5nPnSlL418/2r5dD3u4w6EAKmpmaUC0OY7//tN2l+CyCpN9NkOylrOBTCM
4qZWqYF3UdIbcIzIHeGkiNDZ6k0/S1dyhOB54NnOdTp1MXNjcy05ijjpy8HcTdAM6/AKkzLOmbXd
yosB0y7aH0hXC7u0oYx8FgKTBJDEYSSJKh01l+eaogdZegPEr6YLmtdIQAnBMh46PMToJSKoR+9Y
Wlk2stxGFGM0+E/0hlRYwugcs/vymmSK6MfdsLj58NjG6ZDfYWAZ3DepXPjgdTVL1kgetkOoYvT4
fgJJLdKTovfWcBOgJhP26Vx5OLMohmYgiGz7FInOQmekDoMqC1TaH64xHS4QJViXubIN6odgmOz+
tuZe9W41leUdvUl07cEuRpuaKzh6n2kxwWJnIYLtntLYlOBs5M/2iqDsJVLLY36jeqvpNixRaCj5
x87FpYiHbasQfnXrjRUGnWwk1L8LlMmsQ98WMr9n11lyrRkbzKxxi0tvn7gNPgzkj2DdY4ZHB48G
PUJLzjjRoCFnb9TKm2sZ8gi8LB7nn5rjdfgi5wLZHDeZ7ZydpIuerE5qGPm+DL+QV7p0L+eknp5x
UXEXBvCfmg7R1CZj91lg9qN1qWhzn6UDkK23YFZLe+vRm9Cd7ZG/aTt0VUDcCr6BPNGMpu45GGt/
x41h/lWwJ4rY2YZ0kKRS2Q9WhcNnq5yRJb2V9yLcJksJgqWG80ME7ELiWVM7RsfEAgLzwy2T8hGX
ekRZEyaSJyxH1NMW6Ygek1E6defRW6NWBE46szV+NssNf5RzN6kqauKF37MUs8fxMZH4zleLV7r2
Oovt9pYcJ3SoVTKUU38JzucdBTLU68U122AJUC/G0lTuiX75O8dGEjhdburQD1jId9uuoyz4mrg+
0KzF5sNMmNtyaLBMyiC7gW2FK2h0cvPMUVtfc2MM01Ph1nhk08RPoluvS0S0iYCEk/SrtfORc03D
ewFM4semyIkWgI7QIsMc/D4c4pL4hOnt/KGoJ8c/ThN8l/1I3QDw04gGt70mTb9L8iR1L0pQ/pB7
kwe+lCUlxt6kvWQDNHrzaoaBikRFMQAL/GC2YY11mID2lbv4zbp0kQr2A9RLH+mmdt45cBlLLHgx
rOlJWTby2LUe7j5XZCO/NhGwK4PYMaQYoifKMlY5FFkMjrNqkuNUIY7sFJ7u50aJuNhzo81QoGAL
Yk+eQW8DBZoxhg9czVaxpwFcFLgeGamKHAOUYMLA39xAqmyyBFYCBAw2dplvaFeZ5xpyWFN5zhOP
2+hRlYM3X8rlWiY7WO3qKcsZ/PbJ4E75DZQTmsGi8IIzWqZwEOgE2AWxyXLUvo3jTKLMnuos4f1o
kSBe5sL55FWepru50uo+JVw6kwUXFlWRzTge+MGtLWYQ/9OZGqQ+NRVK84IXDc4fX8HgTNqypsWB
pIDcjSVpJlzEJbfUtHYyLBRTN5ftAYzv2O0Sr4d+LnrSCOABBILpZikoV/gQLMrOtlJK3ol66qpd
55jCJRhwieU0s5V8Lq3r3hejx5NczHrw9tVST9QDU87443VKHEae8vUrV0kn3vpOwl0iaZTrXGV9
SYOonPDm7IdBBG+GenBsBB2vFpj0er5SHlDYrUag89bFWPrproW9xRu+YFW0TmjzscCE6MHENxPz
j7hOc+vSc8rKBQdI7Xmfvuqy4bUDj9jvGNmbGp5dnGWPLmVTWEYgzySHSbMVPqpZz+POjVyruinn
yn7MPNkg95Ww705ECGwcrKCsfsHARVwNMipPtw49pPLWLuKJ351VU0Teyoxrs+JeJHgs0TO0gfJr
DJJINqvfDZIeRVZT4bBVB5GQRfNlDR34NYufOGvMXZwqkglr0v0JRga9JOHA53MxHmZfkYTVILBU
DtZ4gtgbYSah4pm885Lp3rty08Jqf4EVuyzl0fZauihMzrwGDYQ61G/Rs/VlNu0q9aXJsT+zVTEk
Ho07prQ2BxatRt129ETj3bYRlTiHigEDslXWYHafUkWZYmpKxkpOPqIC6ZgWw93o+p5hIDOcj8hd
44AVKXdEWG64maSE+QVdpQ/cxmkoqQUgyO1Mm4eziSy6qW6QWh3o32ni4Ov11IDFdOA8W3tSinvl
EwvHrVXIJgIlblGm5TqxgE1p0g5qgcRqvF+iyM/IzYwLl2KiqtSy0N+JGiJWNFz7Xb0OWH73vxOG
8ercEbL0PGr56jlH4XAtv//0FzokfdIHfc+VfYS3X666xojyJSWIJMWmoOElZpHOL5diPaR3O9/W
oZnCeRuQPjXXJUaTEONQXIxnmD4doQkL/sheiSLhF7fELcL92mMYn7eKU64L1zwgfLWVLDXDjjof
cIwZ5mZ7wFLnSWemvn4eSmfcG2HNOFayAdrZkbduxLNJoLzG13khLf3RoOp016Nj18PtVLYTMDRp
JWELP0DW7lXvQI6/FkNr6XOMizC7o5KFisOgmTzaaampXca7WtPJ9tSErT2+9xWANAxAuKkQcJPZ
UOADqQUGMlC9tn2gWEtTKVN6kfypWpWG57zDPLuleiAP38OAiO0WMqb3BP0+uOaFg0WweKr8VXvs
RhUmnjkdPyaXfAtgljAydMFkWlED6cvsycTMmZ/Z2Be/mrIP60OOiDvig+VjjAsnxdlZBlpNd9Qg
0tOKeOvpw4ULHZ9NJFVxAlwwMS1n5dK/gbTkJ0VnjNpXWkrdx7YYynctpCOedeEQWil9+jj29WLX
ySHKXEOKdi7JQgVa0EEqxqnF9wkj1nrK87yaHmAGuaxeKNtL2gMzK/iCkSI8vqm+mR4ASoTT9n9G
nz9HHwKq/93oc/NZJL+Sz78rCP/4ir8kBJcqBceTNpVvNIwT4vvn5IM3x+Mk44Ty0ewUFpz/O/hY
jv6DN4d9GYx8jUKnmZf+iTUTPn8WAPV0XRQArdR/lMH9d9uO7zCp8J/20Q+oU/C9/2fy4QANHCPI
ueixde67uf/oHLfa6swXu7+9Knd/TlP/q2RkBtPSd//nf2vx73oF/xa7jQDkCVlfrt5/TmF/0yu6
pnVMG116fvKWXl8aE3eMDJghcBpYa26+KHVuDjal4ZZzY+MnQuecp0euhOVn3cvyhksKm58hBkla
uBnMHbzQqSBtn8fid2Bpdajr+TWpLrHPobPukuHyqNdwELM8VO+gbP3Hyq+gM1sBPYZuAJph/A0E
naOujORXYgGPhnrwFgZ0K6x0LXlhVMHlt09YWK4UEU99Kasbb4Ft3LH+7H+HEs/lii6OX74bd/sk
gEiRdHh+1CUkNLIQDKsGOR8vSrBuh1ZtwxJMngEXzHLeltwX2lpuaBBvHlvW+SnhXxXgtDUhXQq6
6KPfS8QGh/RslOxiwdlNKw4tvyu0mshq+8cCE0gGCP/PDho2ojKmkqb6s6FGXtbhECoCS9BeM84V
Sd6TR0/j9GZE3nKXnMgwrWjEke4t5cjB3Zg5wxetrFgwrKFQMJrsUn52cwPsK7KpLbN9mBj05pEp
WVVdb70HodH3SxFW3wNO4QdnMIEPRBvD8GZ0uhF22mRcekwbDVGsLlzq7mPBa+5MVRCd3Fh6b6Yq
AxZ2UDlHBAF7RtRqdbRzEFcOSzh2zyzfSQ9NtKzpk1q4pWycxk7NSsXtgj87oBlgZZg+Xlkjpv2J
BBsgiojMEPVtTeEFpwpPmoakGVCL04JScIHhZlwFA/5hBtQWVzJMYOlWuxpH48kbqMjBN5OiJmVL
W764usIOzc/A3G67U4DvyyBbJPagf/zZr8xmyUfCKwgmGaFgPwYGFKqCOneHToaQ8b8D/yyNHcOk
4Mr2ygY7vpDRua2TZCqt3zhYgIC1SS6+iUrQjxHQKP3aS+JBK8wpCNEypdBnzRrVgvYUt7RxTAkx
PTC6IQZpjAjdOrcu71w8x9VXWjj5LfkZOrLSzp9JtE8ei+12uuDa5Ng331zHHCD+oNaqrVUCxt1M
UCZg9bSqGXcjnuE+uu+Q4Xku8FAydfc7azlOYOfE07vKL2IcnVfzqRZ5xoJQxwFV6J0WJdS93Gm2
pYWSdmqQOKqD1/fFp05l9oZhoc2JhLNhJ6068uIUSNs0oQEiw4UWZlRAWDqZw00betG9dFP/i/dE
oo41qCNe3HzEAW57qY+ZPJ/NrxYFS217kYkckRKAwDYbfJ4mvH2K92yxrUfyFIwqE/un2wUHRcJH
lAACzN55QW2oeM9QSxZNjAcJ00eCPAQZNW9tgGZK9i9pNQzPlI8J78i9o3dXPMHcjlW+ZcbVPLnJ
odRTRXh/trvfpXawI5rkwuQtgwGydXFBv1qVcputtLEl3dkjOp5H6wvdJRX+pVVcMfgTTbGsu8hp
kjd7pkf9TaaB/J4dd/hyCPg9tGFM91g1KfQbzxoT4ly2FzqsRIpI7RpXEm3BTx9DjirSbWMIhoc1
7C3GDNx8W8ctkuVA8BekQkAKFstgwGMkC+roJ5NFlGy5l1Mljs+lxiceppTLtT2dEFubhdBwy9UQ
+ZjlUO+txvJS8+TLhKL1NiZWvRUTvbPEWriWn7B5wEpqJNPbdowTSYF6z30LQksq3obcF3I9iWAk
tqYM/QwNbtBVIpQdXZmG9hTAZJPR26W0Qb8tgsn+Scg2+mIUnwRbKz/2V3oOxjOgJVCYVSSnNz9p
RE7/bksQZcbuk60TYUUY5ZHi/NeOO1MBJczXV+5Q8RygTQuwXmLnVH1iiIP7Zzumv84DBpCPivbm
/rdPOrX4waKxzL/gbKcFBO/mEgXIHWdqH4J0BsbWVRSTusz7ZQ7ECwiYdEkR1OTigINGyQ00F2fk
vcUqASxA0V0saW4YX8KzvpZepqH4k2XZDww4EwPa7FjHwrcqVta2HmsPvpBFe1YM7GY4R7jf+ZFm
hRUPmUdEofxJ6Z8rDr2E0YUU0I8Ueq8qzzUeKX1Jw/2KQagkPm0NztJsoh5wD4liD9jNFNAzkzCS
2YX/4hkmFR7OEZJ/3Si6jX0jxEJDmlupPW1edDlOsoHLmfah4OGH+J2cosSp9YG1ovLuICrnDUZ4
fPEkS7AwvhVOnFV7ymeUpBsuzYhgkd3nE9VAWiVTkjLj42fB3AKBkE/HoczawTuCViIItWIL66Tf
DN1N8Go63dvbsg3cMIdf2JKbX8Ze9E81az0A7oU3F9euWzvNZi6UacmgTpUXX9Vc3pFmxroIn+1M
LKASUa3jvUjdquC779oFlFMx3U6TYT0HJyCJr3n+TtPvfrGLdDNmSMr3GBbk1RzzfD1PePvRhrOY
acs3ei4fKDC0+lMch/qLWt+IUooqoJwXIjVOsH5BRoa2IcUvFxFz+KEuN0TvU04xXKsBUM9VpVOa
ajLaoGAOoYP18XriMYpT2pQGzy1vFQaRLTah1rjrGOe+OgF+pjAZOACbHcCaaVLcaBBCXDxCU4hN
a2qosnRfuYchr2NyckWXq01lgPkJ2eXsnBD+TOhGJDLmJ1pDyncqDtE5QzZvrHXyZAsJKr/hzjD/
uBVTpCG8APHUsejcKu2FT7JvyGzO5S1IWeASQyNqgsvupQUAPjVZwOYINw6N3YZ4W4YEorzeUEwy
VstLSVztAtIQLg7QBiMVwX+G+x5jU6Rc67p0Zn/firnEthhMBCrdG9+3V3DTKfmoUYscp6NrtfO+
a5ONh7jvcSPSS7TOorDeNTQc79J+/l4Gq98zIEHYCGlTWk3V8Nqkc3kXzBnQUC92Di2dzm/lFIfv
eNhwO/Cz4qWjBY8q1o7MCAVWi7g4TgyXTIsQFVQoj+Vn6h5UHoktJqHeXLRlNs0a1zqQmCGiNV0F
OWH9xfoKQv2Lt0l3B9nRWsveIw3VquEaRQDao7j0385+3m5jOSx3psqhoRldnxoyR3vH7a2vSKkr
P57BqFpZwYAvrdtQ4yskKZedUs+0j6MeKiwJ3mDZPMWQMUkP/QwEgDbc5siMIPqn9Psk7k2PR2Yt
VP6SMQKj/tJcNXWT/QBFD4u5Ut6xaQkypnFZPLIEJznj+M1136ftsUQ/3bHN0pvURDQE28HE45Tr
U8+G4mQ63jHUGGHA1HBpr5xePM59EG0p3ao32PpcGk7Y8DVdywJ/LqM3PrwtqI2hf7dFaWOomAWy
p1v/lJUJ70ODN7aWLL7BqN7FQfks6hJscAocMO/DH2Xc4jAFaJjcjDf8zQng07Ya9l5im5dLEq7Z
xYH6cLniElbS87EsZXSRYOjNYJ/Kh3rTWz4qeRB6dxKHxBEsl3utOTj3tTO9eHNbvJuR/dmUIebm
s0fADeDWdxOIcS27vjoJLKBH1HJ2nI5ZxxPfOKmEuIUUM5XblOAxPJdEgdgSQj8TFeuTlQJK/xv6
HEQTSWb8R3QiOVZKhBsxuBXd19FEtvCijfKQl8kmqCEkb1BpsoyPXdr/ZtU5IBV3FixOrqe+dt5g
JsHf16BgKaJyj25Px+Kql5O9FdBcftImhj/6P7P+XzLnZQr//1sFH9nifJL0/vuw71y+5K9hX/zh
agxmaJ24mrg78Sd/+QX1Hz6LQPRKHHsObr1/qZwq+EM7kvwOUHGKSpXLF/016yuPFQGRGiROqfka
+z8yDPKF/FV/0zk9viENYt3l31DaZ3140UH/PoF3hk9+XkPmbQsRv4cAIlvgp/Zob62RKjj2ni3+
4SjQSbJupZt/+ylAi2VwNt44VAdc86ZdmwAcw9rKhb9fQpmCpkrKIzez5r2a8CMkhRO8RYgTL0Xa
XTqClye3JldZAHzBZF0XT/SnuPtpJDxquAL9znt6LkYCam+TNy4P+FnQC8foqvAX62Czj9567Vh+
Ca7tm6mcx5d6xJTnN5jU6cC1rtAD+cD4Hswu1wPlI2xD2Wuj25Pqy1+t/UKNAzm5D/prCNyrrynl
CMig7YAPDQt4k2OzdSU4MdizOBUn9V1Hsni89LrcTvaQDNCUxKXK23F/RWYUD4NXLfcecaS30thZ
uUFHpVk5Cgxx7Unfp3kESnXU/Sm1Mce4IGNPtfSxnwckSWZipfaQ+oewUtCgsOvt4Jgjug5Vc5go
gXgLIIDdhFg712PN2YJveoSiuCsMFwQEtOUGG9/z4NUUN1uAWcattuP5Sjb1dC7YW+8uAwW19VF8
NbgQboEDrHXnflGGDbgVW9MdtI/5epRFeRVmgkSTsnAUqeTOlzUceQm/2KYCi2tP8MIqn0al1vbP
A/fotZfDRdER8MQqbOdN7XQnXZBsslv1bfn82AnNGDioyiciBO41JpmWTsd+3nuuLq9mUYMGk2n0
Oi2sjyfttjQEd/qZDqz3xo5cLpEhLW2NJ68q3HAXKwdKkm8C3K00Iu1pNv4iBotNzBTykLmLdUIr
u8DwZfU5FC9YWE20xmd6r61BXE8SWuUY9D91IBBb8npwbgsTZptSV/31zPe1tQDTb3S52OdldrGE
Voo5y0fDX8/jSH47i8o98Fm6hE3E76Of+xcsVtPLPPLCjewYXmW3PLvMEWebBcx5LDvKgcsBEh0F
RJTOV7RJpZezg75zn6vuqnbbHq1hFtMpnCqxY1ujPrjUNHsKdQME7Nq+XuJm3pJkW/YjPJAtBI/w
Nq04i+vAZ4DoG5ymGyud30sxm4Pr5MNtVXpkrEYzO5uxN682XwISAdTmsZDYajtO5wPFUt4hT5xo
PTYu0kkwI273WVC9lIqAPe1hXNX8wmzFIlAAORZPA1u1tVUvQLyTJHwu8KLmBN3NWbD82mVW0H71
ihxdXzvLhtuD86wiirrCMLEZ41yfaHFO7tvBArGL0ux98noucpBhLiQze5tH6QMJH+yjuLqCb949
n5iOABws83Ci0aPayM4fLzNMt7YnVa078HL7GNrXurOraDcv+gNkLvdt21jktyfL4SOSxqDdm+Zc
eJAmJxeolOs1BWGvRWebRXk8gTKLUSVewNBNdftYJMl4sr1LmxEFQlsS9uOZpS2WQKFAAExO8KTT
qTnLqKVrRToeL5NlGEVDYR0hz1qkgWvKF6ZBfcYl0YBKwloJKOYCutHRfRLnzRmRUjxadOfBN1NX
YqmuXV8n7wI/XQcRnSg8uY4qEzckNuqrOI7iI521jwthQvag+pZbWYJ5s4Vkykd6JaZZMuaMwybv
SL+4DfG2lsI06GQsSQVsoE1UTdlVKGz/onx7vxSRYuLcc0KKgABv2XXZsmrBo4Yko7bpQKi64SC6
wpur+Ez0FHVPhqcvuG77aLTNZgLikTgoZXVbMmI7a1AfwMe1RknUlaDOPPN2c938UkqoaofaeGXi
ITvETZHh87US60H02XIrffjMUy2PmTVtXS+ot9TEwUTvo36TAYXd4nEMd2Ry2mObc0MOuunVylyK
SDGOY5hel3bIpJFTjNRG6R0lCNwTPWsjUdrPkSPK46BdLO59CTV36R6R526NA8Kkckex7VA+byjN
Ge+mIYleaW8k9iKsjw4hCdOb698NRGN2LRUGRIDeSpdrsZj6Q4tP8DSp4MB2+2S7on/0lnTHjAuQ
ZuIC2Te7PrLssxfwfyHZ03prRzrZEEKtdtFknWYZ/Mg0vcMQwGKlwVBj5ujTDqJ6S5rQuUmTpj4p
TVWYVyCrteADvvqRfhs2asRGdd2vRMyCUbvZlZWxgoNNoV0MQ4i/jal/sEm+xzVAfmUV4gmSdbSz
czI+/Tz9TlREd5jnxCzNw/ywCMt9T3TiX3V17G0t7bFJbdQZeo+P5jgCwxt4Vs3J6J4qjvIj2SVS
m0vWXPn1cE0pojn9Y58tnXs+ZDtHxxMWB1zD1CvdOH6W3g45k6luemdLFFMezTLhIw0jQE4+faj7
eVSDvdM1g2ACSusnGMPxmds+SpoCAOdRIXiDqvtRdULuI1r2jroDH4In/WeM8xxmT9DWpAMr/zGr
Q4VChl2la5LobNFHuO96FH32HBGkQWLtD1SKqpsoGOo7X7Hgi/rS7I0fFw8uzLk9DnRiFEsfXhe+
r3dNM9Rgu/LqTLeyOVoJ+A1srQRAiSE/22MsCGZNE+DxlNMO8jVpQTtRyzMmTGRqKny738r/x7LM
NIzjzYSmyjlBJRp+RM/q1SkoiSDnpcVqcRmGu5ScJ8RyM32XVB5Awb8wI1M7j6inzvytBm4WTeOV
R5/uThWsXAZU/jy3m6PNVL3zxLBhJ//o1pX6zibFC8uRfcTWXFyNsh9R+NW8xf7t4NlGkCfLqfXW
llZ4O6cga5gloRlbwj+MIJM/CFRz1fOPVOGcZ2HOYDNge1sQxKl1lN4avbbBKwRVPhmODfWfpPDO
sCEE/HIe3pMl4x3Fldcu5t0kMvJUjZjTLcbgjQSjkKARX1V+wcqyA38+XArFwvrejNq7p9aMrsWC
WKWOzJdlW0cE8BUW1ZU9mzvTnxMEI6dK9rJON3T9MrfDfXfnCkIS3b5wsNYo2ufetQAL8kbeD277
yhryGrTGSlUYQrTdUtE7Ad9oe+wL/WdAvzMZzdHaC9AlTgX81KawzVJHctzlhlqgTRMEX7ETeJs4
5U3MZwRbHPc+q6VLPPYjeuunX4310ddljOiNUeDa5yjbyOWyzw/MA1ighwtuTs+8kiTmJKQK4NZD
9pwFuFnigKyy73HjiqoziBgMbOVtgMS8Zo+67yLwY6YiBQcAm4Hb2Bi9o/G7JRKJBbiv1zZ8jZVE
ezDS30Qe929y7cXREuFXNQYoFycjhuuCa/eqlE4Ksqdgl6z5/sezbFKkYV7jMO9p6PF4yMQeZyMY
MCZwspSQ0ogdq2SvIucps7yDk7rwJ7rO3GLJ/Y6n+TzH/bjJTKG3kxe/9Ao+uj18yLJ6rPr8mwbQ
H6KghFjTQ1yyuK/Hdt8m3FZIBgHVcOFkhDgplroorixb1zs5cvEdQAIZ0wcbxy5OKhK7eKB4Gz5r
su0m7tY5v/iVzlxYTfyumQbobdUy24ENieHPsNx2mhdQ7jsW0DeRG3FYgjXyKl9zOtMLWpEcMnXz
ErGvTondzDxPWSv0EJioHgOC1g+qOkHDmW+tJZpexeWxaWG0rn9ZvXyiO9q6dCklV+z7SMeXJ+i3
PNAH2BnNU01H7tbp8WcU5Ndn7Bk3pVu2J8sp3YOJI4X7m+PkrW5K+mQLS/zkS+p+5DMmy8pax6Y4
/Rd3Z7Ykt5Ft2V+pH4Aa7oBjaGvrhxgzcp7IzOQLjEwyMcMxw4Gv7wXp1i0yJSONj7er6kVSUYgI
+HjO3mtz2uel6n7fxES9OKAUClNf5wxD7hZkBKqC6kuV4Ihl9QeUNuJrPsRYjraaMiyuJnfFVy77
2aZ62KaVdT0RCrzrPfGFb0f+s3VVjj3BQF433thjHnzoA2/kwxj72m9VxKFoCYB6g7bL+dfu2gA+
bF4O3ZPIOtJZwvGmFIM4JPhGsME01oWlWpIZl7C8asLY+xBQWN5wcKmPJOfqfV/fz47hYxPH2gc7
RfZPB3Mfzz5eKKTdmH6KkBYNr3CxvfkymOpNh1EXDPq1jtLzGkod2pcqPe+C9EgQ4gsJIfom66nI
63w8z6t1ZZrH/JBP6Cin4BoALDk47kgtqG3EFWcSb4NKTTAJzMEr9NXsD5+QPHoHbPBXXRix4dGm
P40EOULxmrLT0AS3bAHoL5foop96vSdexTy5keBe0UzfyEw13HaA/bp9dD5Oaz27JRRsiseRI39r
jjpxrpK0u0evlh24RXpMZ+qjk58+rzX8fhVsIoZto5vR7r3nbu5iLucha5uFLS2x+i8Fzaht4MR8
r8JB+EpXlGyER7cg/9bOWcpD720UIbaf/J7dcFeluOaZp6fAw5jfSs/+UDDOaTGu+AC6FChtSzZd
FwHrMvE565Cy3dQvd+UEd82vis8SIhTL2GzBFcPahuM/3dvpIl9RJBwrbvEwNortVCmK+9E5UTvF
zhIsYXFQx/tY1eWTgDvlO6447wjXU/mAms1CNOln/kcp1tifUJ3npCiT9nqZSCiOQ+gY0gGwJPkL
i+qSWPfj7CU4ANRVEfh7FjBiqK3EQyim0n0f+S8Ro4+9xiuuWu3N+zGVr70cPnIwuhmgzt5iXLyD
oH+hKvdFZo27KypOP6WicB9EdI1kJo6JsJ8QIAbAXCvO5QEi26YFVoW37qMOF7RNSWJfOR6GEw68
xZEjZ/0tSMv5vHPAaKTugFMdgCl3ezV8HTJBF5ppCuGhI5/iNFdW9qyDoL9Sfkd1silo34wLtryM
CJHPVUnzkRI0WbYl+OpzekzRs7VA3FzgNG+Ul1oXKVzdLQVUiLQk2NLYjZfjnJThqaXv/UEOzDE0
eHD8Ag9pOAs4B8x5FAlbFVm7JizVU2kVuJeGMH0mVIWiwMIqDQFErpxje56vvcaZOW1X1QevcT8N
pitPcUZ/pNFSQcoKJJxQjsaVhRQwiAl6kuRmXAJhxKQz9D6Ffe3fSZs4Wxux3olVL32slJcduOFZ
oBdndl1/rXyryO2uoQNUGYgHi/zkvL8b+pAkX4C1bxaqs/N8mcUVWSDmseni6gwrtdpIpYhvaJik
m1FlzVM6GvusR/x1YjKixIhr6VKMjjjWLQFuos4towdiKQg2JSAZMUtdNfekG2Sfhs6zuXm16kwl
EnR40ln3OmyWi4CrAG0I7vRtXam9U4J99PKIwBo7so9BBuOx1yn57cLP0H3XS3IXorw6okfItyHu
vYvC6gz87s77gprDvxBDF57zK9JxSXy/2rqkF52BH2AijuSJ7odmYRs3Famv+zqYsYVZAU3XLCYw
aApBtjfDFFzkuQlsBCJoYlCG0u9NDGStXuUCeGndIIEMLIvuSjdeFKkiaGEu7as2RslN7ZrcvwYC
Qx6TodeWojvJyuCtAnxxCPDlfPDc+HND7W71C32my5hvtYukuQmTloBNZOQEnaCOT1iu/rTn8wrd
PT5pTn5658WkzMBoLjmh7OAT7mlwnrQmTqtH/VxyvffI2Smh9eIYxOKBrQ6ifW0G8VUNfnDOIZ+c
Ney2Z6nVBGeqrusj+F/7FOIeeakaelYVhnq6YnhVY4dTJbU067bqkp5sZlMm55bdpWet5YavmqS5
sxDl4Jd6mNNDr0GEem0CeqvHkPIhz0rvQXRIeTI4FOeVj8efuFcHlxeVpJHyDGK6Nr61IuoLbPfW
TpRBe9b4Zrw1KJbvXFn7TywvxVNIethjnET+tU327VHLzrmnT88isNIH7jMZuqclFcXHqvGupRtb
fAQDAnpXTtH0kBN2xgwSLuKjqaC9tVVpVl4LUztPjkrElQlIvtqkscv1i+Bq++RWjbgxjjv5ezqL
+WWuh9bfZq6VHX1/1rexbfS9S8mGmgB2j5dJuxaN71TFz/heqXq6rAkPCe2qfKsCyxbUmPABItSI
+4uCFsTm9xsD/9MyS39e8b//Vg9ssa//0m//6pNv/wJbF/9gc/pP9V8Ef3iuA2aL//wbtvVf1X/x
h3AhRhGz4UgnRM/331I/5w8fDoANvCt0/2oA/Hf131J/2K6N+NQPsEcBnwl/BxeAP+qH4n9gB3bo
277kGibAD3jOKgX8rvgvASh5WVvjbpgRk8UE615RFnXobDdLU12OaMxRdEBIodMPIsecG2K7nuFW
ryxV9ETNNhysAGHsPCFSwxhAYHyMy4h63qg9vRuyeQb3HerygRUfkZeZs0bv825OP8pimLjvxtif
2HgnkEVOnkRvFbU5INxicB87H6f8Zkj84ap34JWTMuQsztkAC805+q6exz1Sfl9uMp/T+M6EsfnY
pH5YnoYRpf8ThbFmPkfDYbW70dI0YZtUkP0sNPGgozJrPEUGLWTD8h99cqmt1rspGQgfy8gYqakN
thqfR6oRw9FaJ2UoqVR6FUJOog0tBwrZCzlTFu1EKwewJP1PCDQo6hpHUc3K2iD8uKRZ+twQgjsf
YhP213lQ1WQ2hoV4032PUGf2Ww3x09XeaTITN1md6uI20SLQpHtKDkROHZMQtbiWnslYFxRLU52i
ecdzUj+mmWlbvlJKYrLnNLRvXcppDxMnRHtbVSo6LBN8nf3U8mV2QhSWt8ewNARHRNctl0oHeWc6
4vkJvcq/hVvQXpMAINNd0y3cZsyAkQsSIj3PrWvXrrVJvSL73IbIqbUXr6DGtKcU1RYTwCR/oUxf
OVTHj/Yyxu52ECmmVAGhH3Z2Fbbi0CI0oTPSeDhPm8DLKPa23Dnul7KZ0jPYZ2N3mgeL1LluyAi2
KF2ZJ/t4WMIZAA5cbjJ2W5YxWY8k/XV1B93Sg32KJWHELHfkhARSl6jnZc1/T+3+Mi/Cob9Mvcwq
QZd6bKliLYXQQ3WqhoQAzLRrjkX2JZhxuu4hZlFuG6ywzjZSeI3YNyLHPRBn3ItJMXChOVYNhKs9
2e4glEvHsbmWIsOTNHcd+OSN4XS9b+rWtGcoSQA1+CNSF/aVMRXBZoEkZD1qoAPqEGN1KtZA0C47
B5ZpPaUl9vZDkvqKWFwPnyoZYxSX79Oh6YYPyGqg+pqaqtBLyUZRb5Ni7NPHwkKyeZWz658bGmbl
BcYKOV7Hpginm7bH0k5ioumCA6XyAXXfkDsR/fYwd99W+aA+hjMRIzsOsACou3kWKdQ56td3ahqr
CgnBDFYqwV9N1MoMKGdXJ3GfnlB81FQzdDKwnXlzU4AFLv3gBhAdZimQ+JZz7iwxXWzqbew0BK+q
N19VNNzdPK3yva1KEFSEHFCwaVMS0A8NkGh80QoD95kBuQZWzynQROJzMO1VHIHC2BbRUJfXklJ6
faB62MuvGupSveGEP/S3qCcp+w3GVMlBoQfl4kcOOaIqu+AsknSFDTTf6rlIoB/gn0qKa+mZ47oN
8RJIjbMzYHOdvpaClWelMBTJqcPWQxUSehq6LsYRzItkHLn44BaCe9wpzAH+gO+OWrUoycd1EhgT
mgobli5dpO6DS2WHQCFyUUi9NzO4zRArw5a3zx+qfFwX0areJ5FLZy+59Nu3BjHOG7V24uWqbtZP
RM/ydM71/A2AdHjsDAdRhylWtu42cCMCchtaLKA4EVuStIJnmjfhNuTTRwHlUfI8enB0PZ0VSBn+
dTIu9tfaRYR3hrCqblm/M7QKmovoN4GP5jqf+V03hRz0E9C29o3ztR3hocTriV9PgSQS+KhySPGK
tOgOWXCZFPopEF2wVkM7/TXSkuFTqJpJWlUYVJHd1AiMHUImsMuuRCPUDfhUtWcDmZPGuBuwfVmx
S9Wy+oqcIaDmONDn2XCabdNTS2DHcFgQhn+cbDdpLgWn18ea4NH8OKl2sk5jiytsy4ZhITOJXOdZ
QfRyrLNYauX4aGkFtSE8vAC25hytY1+ZYUH1yWDbJlhTP5QCRlQ6ubm985Bq3o90kRH9GDvm1hUN
9mOSKHWiz6Mof2srCs9cAf+eDq3ztR0KmMI0FqjPtaKnRtlHmZlR/wx6vakV/aXUniKqJCRu6ZB0
KM+HaZCClvDsPEKAaNPtCIUQgwnlGrklJafFtA7aEh9xOd+1Eg/nsU/DIdz4pEqwFs3GgQZsHKe6
aKIwwWFkbPmIsh4FlVdWKgFlPcsLIIgjvWYcyvDFsPGmgFLK5RHqVHcXFMZ7ymhEJRsnbIkPjVBR
biJnTJ7zigI8N2ATf5Ks5bxvUAToRKfGo4LNRQnPsNMXj4vd5istH5+b1WbtS+8E8dUUTqI6OEWU
XzdzUz3VfTk9VWiEn3ErA6aPMBndDh73OrR/oWC7aYbI39Ocp/8u07b8IGhsOhtUow57TFCSEJFH
sJjBcOsGxMlMOdjduiN18Y1ErMzaVss53tdLqcQORKD0tg1W8694ujSc+skb7yj7do91piiQcgDi
guwldVbCcZiCGw4BPQblLsGIRTAp21sdLHQwClsAlhRy8K8HsyLkSpNCtZOR/oKs2KmACHMt26SO
A0IJ4gHE/LrkvM648o3Z9CIVT9D/2teiWl+l29Ja91xgRLCiQaJtR52ae6oj9hcZz+kHMspS+A8I
WOH7YC8mfidcaHo4qCCvcX/zy3ZN0u1qmXMZQknXfgpSO/yyDKp4hLWvLkRiHMoVBc4s1xT6q/Jl
SY8PMWPIDdg4YB/4FyNbCwuoGEWr3KdmDZvZBVW8vmRPiDPdcr/aUsTvyp1cNw7IrWP3moKrQKBn
NJBnu6qJMisyLCtnCKmbed97bkHFBpkujU0gpEDdMRzvLDcbbxs5uu6e8RR/ozYSz+fFPCYvVQw7
aWNRfaBcy0mKg+A8Ezireg8mw2AHyWs3ApLbJFztbvvJ2Ax98gSmTUgsMqVBxyBcxhMN5JziQJdB
4l6ocy1sRueYZS0wO1O9BFSNdb4XBInT9i6IXdR1L8lLa5iyW3vdTtHFqdpsF68iIEYV3sWQSQdy
VGilBjL8nCFBnBq33lrANM16l6U460Q4zA6KrmRO4bouyPipdH4Qrp7uCV9AJDvneXRbwqUBKlUt
Maw57XUonzmpUB6G+vZscZ99I6bOlDvbzshsk4BumQ2xVX7g4DfdVBwLKMTm/XwV1vi+KPk7hFfB
jqG+OCdcu7eA/6vi0NUkqWySco4pd1O2+pwWQ1Oe3AE1wW4suoCGLvGwn9DyuUjYs8Ha2XQwaODz
iw4Y4Z1gj62A8h1kISSRXd9BaGmFmb9l/UA2fDYM0bbw0vmelJ7u1SlCfLCzNuOzrzu2Dzd0SMee
w5S2M4dmzqmpJwnIMvWQ6Z3feeVt21npa+CW6kUEGSTVjjODu8tZYDlnxzbBbQaoULdh+LvyQnPW
vIvLksY03jXgUAPwD3dbOI13F3eJ/yLnceTQZXvJVzsBjkZm4Lh8EETdfli6mEh64DeU1+yksxWc
7rYGowLBac8hik0oHHUOraaIA1AuhF4ABoUDAHPQLyqgY4QBs7elHg5JVZX31NuovIM/GN0N15P8
Gieul/FwxOOc15DZQ4Unlwq4V+y+1kQDkXRKPtBz33QOzd1M1K/ABQhDmJqckI+2l3rZt2xwcMex
P5E01aBlJ4+rJo0vaql3buhiWk+IUCLvvlNd8qUNy/ETvdMYO+ScL3fK60ocMss0oWHHZWvtYLIM
HNdVX93hgok0vMWK3Hjk7ZRqlO1Gl22qKwcavGdTjgUydowq01r8tEuLuFBJHBaeTT+d7lOBcXwi
HiGtjf0tkXNB8x2VSLwrlthc9viBbAbmhBk4mp3pio4Bjgu6Lt1D5s3pawqQMdjMUTF99Op2eDIi
a77I0VCkytidP1K+kGTyDH3+0OmCvlJYsVVs0JXnT9mC4mBjZQyd7cBB9c6tQkkYnROQ30DrcOuE
Uqij7IPxxQdSN9EpoZ66W6zVUjY2HFyaZoG7Bqkn+QL/d3Xj42gHzTaHJFuNyu0/41ZOv1gJIRJd
F/ZA1kny3hQWDevt4KvsUuAFiBGVttV9GeT1J643JJZWlAdvVOt2z2EGfNLeVRAzhudhJHGLbYDr
GzmKeE6h0Ze09EzofSBbzPpih6ODzr9L1fMiAwLrkAwz7Gf8CdkhdpPhviX2ly4Ox50rcGnl2zIZ
82RGEh190xXkhPv4SYZENdOBgQX6vaoMcffFiAoIaR7xknHn4vafOnt8LppQf7JtqXzK0T3ZkalI
huAQiJIqf7tSotnJ2G73UIa9Dz2Wiuk6zHDJbrOa1sv5QE4sEYgTR9HJMklMzd8SX7mH1cV2cehZ
3SVLinpN6lGtC1g5kkVA24qaosffqCY6oUA8CnFtkgq7BUII/eSqgdN6LSLUwJ3txK9dPor26HZJ
fsOhWMrroY/4jaMhtZ09FWG9PLgTt6lNGNM0YfXp0Qw7cu7kTrJsQxlOFyZu4tX4kWuYBiQed7Qe
ozU7G0iFBttJHS3N9yUam+iK6F8ahbAF3eAeiGK3/p9MQnyYhJDvE9Mx0LvYkuJQLJCmAo2abFli
+ZQqk97G1GbJaGsVaMLL36+VXaWvLWvIW/9//ter+d+vmtU8jZP+TxD7f/7qf1pFDUHRT0W03+bX
5FtRfOu+l9H++Yf+ktEq7w9JqYyFHVgQNtEAmepfhTSXf2I7MgjRWIVYSCVwzX/H1lJJE7ZHaC2r
AByhUFJk+7dnVtj8OYS3oXKh3Pj86d8ppb3zzEpSa23BUEHkiyfJF2uo7XeFNBpgrYxCGW2GAlEE
ABDSbiIcM/1swu13v8w/mGZXQe5/wETBX4/y0RSHkv95q2z4h0eByqAmElBEimaiKalTbGof/cbv
PsUHw+yENr+a7wfvQaKNXtsATcEiHZDS6rWdi3EvDo6//ZQ1p8Cmgq8kb+Gd1ZizHVklBWFB/E7L
WRk5VHR6oMc/f4pgrL37yXzf8wgphprtIxh6R0WloqqmhVYfUrn5azNcrh12+izkaNJTkOTiLf55
DRpPzwVesGjHlrZTQOs1fjC7IedI30okmP6SPPz8k+H0fvfBKPGuKm4KvdAEPMbu9++yTzpVBjbt
M3yZ0bbpywcdq34TEhG0YyRxb2Rz+sWb/XOA/DiAaHGEa/ozhSNPrlb27x86JjB7IjTc7LRZcEJb
oE+9LTvOHH53VAHSXUAME87LbDqN4WhvW0HsDBeco0de8YnWAYIzhSjs57/FOhnf/xjKB+kVSkcp
5uu7t9ROoCG4MdMJhugw7zTpNC6CFmvnEvUETR1TN4bnzrkJ6zq97TKUX0ZyzE9Dag6ZNW9p1E+X
6xZ4XPwE41Lgx9+0T/rKrrED7tWNH3kvQLCsC5pdy/3IKQTBDlYwukApHuwVy4jEPQXO+POv9vcp
G6KsB0vGi0bQb7/7ZpPn9/BqbI51/kId1CGzrondaffzp/zj70cpn2gPQSlfvJtMS06Wg0odwoyV
TTSw9swOVwvZgtpptqQs+b9YiP6+5oUE8kAHJC084K29G7yuizbRN4Bsg6TwtxPuk41dzh62dWQa
P/9q//QDgoV3vBUTwILh/Dhk24JKTd2IZOt7tH2hJIzMXVn9agSuv9C7mQFaAeyG9GmzYKn/8TFi
qPsks/kFFy5u1yn+4hs/6Nt9ngbUXGofqZtIncMwwG4qkCDcRJmQhwVc52a6GqOV4jWd6vyhR7G9
Sea+vKUrzwWos9DTyexT4ITpTsfWcHAFgaf0ZTqkCCRrFBnHlzFuoLUXgXcKwqj4xRr49yWQBs+6
NXFuZ4CsSL3vJz1iHm2GhPhzzLu0A33iJCUhtTsftCqVpQDlFxa0PKc49NuvzvPIqfGUjduFZtiP
D5at43VckBMETE5yBrplASHATfDnT/mHhZStV0nluQrrjLP+8+/238n4xGAhG4KqIlck52yOi3Go
rI4hSplpTg4Ri9ovHvpPvylwAHp7zDZhi3cPrSEuoIolp6yEjISyPkODS9LjQzHK5ow6Y/o0OIS7
gddMTz//uv8wH9ibOWbQQWQ6vE/WyZkjy4SbfDsPJCZbFfz5zm+GX8yHf5jgGJYUfUg2Cg5S7yZ4
0Lu0+32bBRm6OeuvNGdEds47mmbxL4bnnwek76ceZzjBEAmpcTFGAv/9MJkTDiGk+G3yVnyq02KX
DGaHgTVDT4HZ0tPdQ+z33QFJRHo7t9VjsiJbfWw2xypFO1w3znAysgi3Oqiy3/y5//pwFCEUBTZk
de9eNCowRPCCD0d9LbmblqW8ijq8pT9/qfL9W33/mHW8fTeItYcXHYawi4QvnPdiJlmI/Di1tdD7
f0FbSx9CRR348BHgUQEZVg+kp2K3H+5gHWFfbKNXE4IGQ+7lnAh7Hg7WXL6wZQR7P5jiuzEkVVf6
Wbl3pjw9lFlZ7sG0f/vF91jf1Y/v0uUsLNe1mqnvrXyb778HCzPkroZMhZ6sxwCb41fjFavmVKT2
jtLLlz6qiDqAZkcCsfYzxV1VgOYgxgnpWZcUL1i4sNa4TF6xiYUf7/O8RI7eaEc8FFgdiQTXijBp
EPOu2ebphFZUwB7nnj6m2Jql20UbKozYHJsFn8HPv+Cf2827LyhB/IfriY01218nzncvqlmg6vvd
rODOQHWmYbvmSVNRMlRXzzl1aGy2AbLQ0G73XHKm+5TU0pQU8n1UElHfKfcXK9E//OK+JAAsxD8t
OUG92x872cT08sgjiQJtPhbKebOwwuGqX+I99dj5F48TsIbev2EyxBz4RQHuD3blH38AEl3drmIy
b6aJtMcRHJ7nDfTciCuCoNsecw6VKLRJhGmDJt/rHF+6E5pfTMv39CAJKhXPouS/bPnUh98NNIiV
7XqrCKgFlDVi4jx+7Aevp7kihsuBQsTOiEXR1SPIz1p69Ilh0277Ugf7GkkbCO5MfK4l2PeayNHz
tG16Kj9u+DjmtOJ65X5zZPjXHZ+7OofJ279GyffMo/eLKldRwLUISwVBy7YTvpvkkJSceol68pMp
7pFobr0WsYAnQ834F2/pH5+kXEydKxYX0u6PL6lv6ECjSLVw/1RvZVk2x1oRlAsS1vrFk9bf+Yf5
sHKcuC5KtgvX/ysI7rv5MNfuLFQb4jhvhDr7dKLapQ4a7ejOpKL6xez721iHxxt6AcNvPUnb4bvJ
J5ZkaELAKtu+QyrpJiNp74V71PU+KNDC/3yq//2bYe7whXK52wtPrO7d72d6WDdgB+FLbyMPX+sm
GHWLgZ1MArtQ7V0eFAudljz7xU7wLsaDBZnSBMUJ7sSYfTn3vhskQGLtHkR+vjUVmTT28DiW5kpT
c87a8CJLp/Pcd48ZXirOdb+YVH8bNUynFcdFnYGihu+9u6sUswLVtEbZOMno7B26yvS3qYX6HuCQ
3/xxeRSqI4X5mC8s/lxlvhs2GU7dxpecYooYkQhoIWg3pvb3Fbm8yIwVPs+66Q8/f6iQ7wer9Elj
AephSw43xCP++EpH2ZakofYcgrmUHZuhyHYZZNTzZpoAOOZyu1QhqmSnvqnj3r1s2qi/EfGAujbO
P/zis/xtHV0/i1xDY6gZ+Q7M6h+GV5COlKd5h1vTozGUfkeHPGwGe4PlmLSoyK+PNZIHEMoHaFAJ
7TZ6iWQO/+JjrKP4h/kbOCpkOXKFgxOdN/Ljx7AnFxJVgZrE4nR9y1JSX3myJsaM69bOCeHOqzY6
JiTC7mRmxA2ZGN0R2/C8o3qgXk3pHP/8RGtF8z+rZPdjTfPdX/7f/08LoevJ9ic0AT30yb8ehq+f
qx8qoeuf+qsSuhLQKWWiGOTcsd673X9XQiUxQ+vtOKDUwElRrYvVf1VChfyD4xjVPAJ8uUeTEPDf
hVD+UAjuD7WhLYDme+QW/Ubo54/rpe/QcAFt6LoehQG0/O/vYTFhNsZvixeVCftR5bGzr0xRnBP8
23Moi+h4MeTdXyyXFGt/GMDrY6EHSmKZOJBQ03o/gFVYuty0xo8g6asM6xWmr6Oe8c27dVqHu8we
MbLOXVnchVzR0Wwlg/9IgG3/xfGW+djm2gGTsYKqz4CMYQKoBzwkHw0cHpRmXme+jumcnsNs6+yD
k7n8KzJsQGrfDb2JD/UwyPrYcVS6ivUwPkeIjGFYzXOrrnIki95+ZYvfxERcwiXNPNUdLX9YYzmK
PHiteNv5FaQIP9imgck1MRl8FuKSrbrmFEdOolW89eQVRi9wSB3sUlnKsbLbEiWOf37fgAKEtgXT
yU9PC6+4K04B7TzvOQlzcl9EHEY2kDeT0AjdId4fwleyMKJppxcgKncy1fYXTDDZiyZgqToaLPrq
PiBN9cqduDd85B8hloRKEy7WoW1SxxBVLOjHuBi/HrQYzEcrWJPtprlboA+xc9SHMHFbr+OIPPq2
tSEEFD5umbTmvkbyFBy03dFpphDT7ZJksM8aBlVHOYJUvk08GZUeB0Mk2jHVpXWFyhGg4gALGi1i
pWLIxJ32bvTUTuVBLG0tzuiVJ5iutDU4GzGSxbUvSQACS4a1dsAG2g3udFenQZ88AhT/ItupRkAw
qWACXQv/airxjde5hviTgWYGIwMVDE+EGpJ+m4RDOezE0gekuVumAE1PTVJvckc0tFE5PCKK9QDQ
+j2E7GEWc7AjoRQ/YNULF9OvNdCXm4niWzY92ZZ03QC32xd2X+DLbKb6A5mOhPEkAUyC0eN3O+pK
Y76zBhpeCL8LXC4tUSYNorh0OYUxXtDFnXl24mffsGmX38ohX/xNWMClReWmkm+dPUNbjG2sqQQt
VTti6wxdu9WVTkmQ7BkUKug+8bPHwxatBM50ycXmsjXIDGDcqVVKFHhGbJw0Sr8CIjO4OZ2ofR6W
RCHK6ab6a9zFbbvz7LQ+r8DXf3Br2TSHcaFNgi4IlQc1wWnyT1M1VcfSVWSCmdmJjn7UMF4ISuAs
Ra6WHe+LPCrdHRRlBUet7r6WYZjeTzFYZ3yeZXudBkp/dLFmNfvF6qZLVEbMpiDPEaIC0gJzmE/9
uZ82cYn3DIJ8ltiY0nRt/KNo8ZGTRmiWyxAhAWwdtBLjpnA09xcoIT7QxYXnbcLImRyETxS0NiWe
/3wD3QTzLVmJq9d3GlF0JY7JkaDZCnxbTfv6kdpyfZflsUY7YLXLFVlB44tRnfqk43B5cnCyAqCT
2XCrRJA+EJtdXS8lDsLd3E7h27iQAEAb1vjOuYgLBwnB1DTPbkT1FVOA518TLz8/EqXFJPZIl7p3
SVD7mA9L8ZkrckIMfNTTPkDIwwU4GAs02zNJL7faLeW8DUKr6/e1xeUMe7xA4B+YziXoVFaxQG6C
sRDiJAZm0uTRXh/QMzWEz0APQlxWRCqz3X1jy7R+c5ksD7mKcRamzrzQBfCX/ir0ZlSwToCTDf1L
WUG3yCoa7eTcSoDfA8OdUmPQ2ptVSERyWuJW6WEBbiroXKlWDYe84qteIedUpBv6pF2dUzIkiWyH
W9hpERoskKdwzpsJUKdEkMxQtU1MSNwhWJBgbgPVjL45jABeP/KSaf4vmJrdbQ5Jw9uDfOOOyHyS
IyRwJXL/zNfgI/qDVfv8Lgdr6gLvizdYS3KEXIB05RDVaY71ra0DJN+AXECX7JZkQR5K7smSVruu
xR+39r1Fh4VVJm5BGbVFXOuaZq4AIdSO08vr3CWqlCE/enN4xM0aUMSWC7IzxIkyiQ6e1LbNvdTP
57PI6o1uuaBpmNLrFkU3LAff4xMTOWjgh0EZssYlqMvs9tJHrz5dzR36WETqWdd5j3FJF9TZOmkr
7HVVrfxjDQQQr9FcyHJ8jMY8kS+tXZdm37ZgN3fI69roSaRT9zarJvo4SfJQNjDa7W8aNbU8Vage
m41f2BDdwRESmxAlLnudSuxnVrvobemm5LLP7PItwxx1yvq+6eGjW26177KgATaouaAi/4lIm5tz
uGNJ6xiMddCx7gEbJE91HANntcnyQW3g9SjBcnAR2HxJBCwNX5g4eSR90YJUEdD5lNWQJdjHN9ao
oII2bY2dMUf4sJ0hyF6zYmENYvDarLhW0p1aX2TTnk1IogkZGzT3FDWci0okgE4Ls8LWU7/yPzeG
cj5YkBpPaGkcQbDqpEkTitj7MZANA9M7L+2vkNvbx6GyvWzrsNHhzC9y/z42uhj2HuDkAqBezYdf
wsJ+bR1Xg/2oi/ghbFP5xUDB5CjiYVdmn0BS028bTHRsul6AYLkuEJduvSond7dMMoMAOwg+wljo
+73dFDDK6rQafapKYN6ORjvYqdoOi9CuID2521McG18mx2fJ0tkME7PoXJolRdOU0bYXif/BgpI8
HsKy80BswAjud2EKGmwzah+NcLzKjx0k3gptTSy/ArFF6wCPgJBEj/kDJQQJztbgBiVoD2RutgvD
TGMJhxCIxJjk7WsMRgTT2SgtsAUSKoKF1nJyoAhIxhGqONq+CBMTRtuhTTmDsCADLCHCtPZwH7cF
u1CdDdFGopxh5woWCjqltT679ezaO2Wjaz3lE5E4OCDQpe+WFskR8E8XuCw2MOTMQZzocIO8nRWd
MkuxhgzIZPXDe2hxaQc083FJWZjo1HP+IX/Hb3cu7JPi1E1cs/dobP3hOC9EVqEkhrFMjrLvnad2
2oBHVKDxiG0L0XtGA8yEOGDFhV4/ptski6LLiv8zEsoecjSaqGh0tp6VMFJH5UfqLKZSg3ePdsHT
NNUpi69M0W8Z7Hhfh97yxYGi1bhqFhOMuWVFJtymwXZwi/gyuBtRTp0Jkk64KBrcHV7cUIi2PUtd
d05SfQohrFy5PbDubQZ/95qhaT4pooIkjuaRQAJgRtZ5QCjFjW08G/LoHKffSFY2txOd0f4APdJ6
4ptDxAigQD9aWICgiM7Ih7aiQ/a/8ebA/Yx9u2KLCp1vilBcZicG6GybmR4gjUnK+IZUPetTkAXt
69ySbABFh9jDDZ33mHDetL7F35+gYp3zJ97WcIITCbrPDxo4xNQKgP6ly5LtJJrkR2rJggw9iHuw
PAvTTkfd+csxwhGhdoOyaLGNOshepqEAa1QMpTDHEeURejvLGhdE24TcIeEd8xIjfEXN3P5/7J3J
ctxItm1/5dmdIw19M0W07HuK5AQmkRR6wB0OwAF8/VsI5a2SVLcyreY1SStTVorBCARwfJ+91zb6
4KEq2p4Tf+YnDTAs+nEozJuqLzD4NSCZklsMHUEFSNt11OcOhvNpbQ0HuBxzbywSTGQjlRZ4y1IP
Jqv0SoI5k3+ph3S596oMIHaCKF3jdo9stY/avLzNAZF8x15nnC8jAyOsRSt4abjgbxX4h7uo78Oz
EdQL5seidNH/CfPjTtSGUmcyCrS3IftCWfbcLeR7XCfJrvEhRZ9NnTpvNfeacaMywzf2EB65KXiM
4OS3jdlt9lFZS+uMM1t5WUzT+ugJe9ns6xYMaxwR7B83bsnNIe7HxoT7a1g11BljZgqVEB1BMdc+
lOC8qmEzJmkT7XTvrf93OYh8EzHQ9YfBAlzSSIMEK5MM1yC7+e5G+QQ8NsJndYqjj1sTPULNTaBh
wtWiH4mPYd9yYvow5Vnb09WxL1LwNntZW8ZnE9CTuqH1Z6gvi6RU2Vbx8xZqbKpCb/n+Zf5DaOKD
3YWMiRNAyHq5YQdKahJUGEMe6GLC+JC1ad3IyYBiqywkJUBdIW+rdDbgMTlpn+Bh9EufLVeJzkU+
Ifqwkip/qfkSPGGXxmXD4WbCPB3AiNkII6m/pWEwveaj4u0Ordb5Fi72TB7ZtXu15fttvrHHYW4V
dpDE3AHcp862YJkBn2lvSXyPirq/ltdTFnnxrXRNXoQ9JtG91eJx5xWL8LGSqKFb3VUB9rgRyEa1
wLPaZMIcGUGsQcqtspfOP5KqoYrdKUCXb2ANc+4Bv7BcpszI9S5yBl3vDG6rsLkNxUo0twfnaBsO
ZNnakGMeaycbBKHyIXhqsfYD3GeTpDZ5cyIju4aZnnOz5/2NotmutzyMo3pngpd/GepwvisSphDW
2FAXdj38ad5kLYiUM1MBSGVELOZ9UYEE3TQ19u+4gK/ac7iy24NjQXWKp8Cagk3K6EJAyhwXmNVG
Nr2sjuc/Zcf/ikv/E/6ltvRIVvXwtf6tmGL9b34oSwYN1pRUu4gpzoqFxM32v9LS2j6xCuD8+Ylh
SdXEP7Ul5w+MLfjfTFZ+a5D1n8UU/IUmCjJmo3U3z6rmP+qlsGykrZ90ytUchH9m9WUEyFgeu91f
dUqhJmtGTrqzpxyLCSD+8I14jHfnYNbOY+kVSSNuXCvvo8dgjCiqmZSMHs3O0x+LqGYolmZYnC8i
rDGdV2H1BfR+OAGLpb2SHZHzZUwQVg6ONN1tlOULCceFZwaxRw2xvjMC41IGNcwaPQ/500Dz3Rvt
quF4WGyim2QAEiWvcp711AzUFSfsDvcblARzvIMcMNjbScrwLcqpso5ZVmqJEUM42HYHjhExrnW/
3rg5HckbnxpQVrWk/MFUZom786l457TbGZ3D0n/MCQ4QIk0IujRdv+evXA+j0gEV28lwTRiYybta
KthC2i6ZRpbCxb1LoXObbAuH8FA0h+B86KPj+0V0D+Ou8nHdYlyHe8D4rEa5MWwdiE0/jkWzM8pp
fOTG4l73Q8BuF2M14CrULjda7TJZjyOWjqG4tiQzFucKozhz3GyGLBQyzDqM81/Kog+mLVVf8gtl
YXDIrEga+c4nq0f0o6NIabdQG9BsHYeZn2mgC6geW2iqsTlCi9jUoP6Pc1Cg0s86g/qWhl05HWlY
y2CYjEymo7vYHxQtuSl9gPQkbalvo4OaqZMUz0hsw9zMgsfpzqtKW8chZVzsiFHJqm1I1ehjz53K
tJ6VDaI+HgTBT+AcPGKPVodnjBF05IygWfZeVpppZx8kVIFAxIhqvbPt2r02aSygrM60aDPgxMrE
nEVAcxSnz4w7PfZr6JfaTn/sUv57U/uf1ar07wXz7Wfdvndfe+L4f5/L52/6U0S3/lhV8CBybIyX
0cna8mcu3/7DQlxfkRJ4bEMQu/+40Xl/OLh9PHaXrMUwxITcA//hJkZGh3PhsJjkPokfyP5PVHQL
6fqXWx31pX4IkDdiKWZZbPZ/d/mCGx8NY6IJNJ8nTbcvqAeInUM+i/Y70ik6g8KD3xApBJpJ14m2
kq3Z2far8Ok5iS1fg5Uhc0QoAGNWmRCC8bMzxKNGQYGvq26Lgrnkh8g3g1uXuMRXfxjgQpTM+zun
xNO/oyJsoHGxqwCYdYlpOWBKhHnGzIeVMA9J7TEZo1UgKZqhs019nV+6FJFxyo6GMeV4O9lf0AFA
CZGjr54Uxoh01zrcTjd+klI77owTgvJsLF0GMnPsORJnOPQ3qb/47+Dzp9dVMAwvWkYzmmBIJX0k
XVDSWcPcdDWYBXpXX/pVRqA16M5bp1hEzFp9qfAdkLveNdSxMGR3MnnKnbx55+y2DMfRC9f7J51A
VmwqsosUyTBwGS6xeKwoRvM2wD71qTW27IPZ2xQ/T7No9t3Uw0aOvF4/cDckntr3EQibJtDyiyQ3
KXZNX0gztgga8c/eadbssQXpL6LuZD609ULa2e6JQsWSaOSLpjykjN2y4DZBX2j1FoKjA9Zqd/yc
oBrd77CElxtUvDU7XLrp/USXi3sk/im+Bwb0DoTJfJzOpFhogDcSiEz7aJZpAyph4MlD9WE7gdLq
PHuPC7HiHUGGfKDy3ORu6hsmOcjSe8uDkSBIUfbhszdmaoTOVZDMSZR6R79CqTCDCRouuc9POjfG
59EhwcyVkTCmMUXYd1nruh/BMEogUnlqwkiKYA/yRBjRFwbhzMVuYXVOoH4YQh99nlnjLus5wbFD
aFwjOat1SEp4tfLk/VVJSNuK3TolzMV53gxJhEI79mtTOAdwTcab7Kf52iwoaEsOFoi95uh3IoW5
kvQE6R1o1SyawP/3V2Rs8pZvzpJiHK1Il9IOlY4dzwKdw60l96TCuwT33IR0V1Ltfslhu19X75I9
8TUBLZnsRtPln2FEEwndIMCx9tXolfoMTgJzeywSgu1vMzTqYhfhWc5xvHAxXixFFI2XZpYDwoHg
RQAVddwYeMVyKHdR1VCpC2fRbs8F9T1qU4w+TOgeUhcAYnZD5hUVxJ794jSuC/WVrB/QfH9w6coG
BIpFnEIG82mE3LhsRjTI5I1+grx+pgzV1tcou764gGpaeC9Nm0fVRaNJRqLVDFKQFU0LUdB0SvP8
fmJz6N6bNUE9sPUikQdzmrS+FmIIxgtRNjYn73LALBonkQFEaRxC7ew4vmvzwZUkolhrFcUSN7iv
bzAoQAaLrWCAcpz0jvdaGRon0sABVBFmz/1vtVuLbAvOg3b7lFAqDI9CV8/asH29gSA8ofStTAdo
iXN4OcP5BPLRk+uvoRD2Zxbi7afLeT680iindERw9kXu7drJuImYOBBeuM30e+pxnOHrnLnLQ1LQ
E7rhvlvkqAiRyK8sSbP6zh9lre7NxiftWLWhexfoNiwBMCZMbZNtV3zuGTcl9q264NfxaCZPfK2/
pzbtWTb2cfjmVUEcNXf4SOOo14T+aGe0H+DGFPWDV+T5fY5VCaca8U+GRzOknLgbU5hcMT3qyX4N
sNxBRVHvS05LCtxzQcy2MIe99ib9rURhonao110t4r7Is+mVUDMLiRQXU3F0St9W6HCEt+LBz3kl
RJcCY8e+vlJ3EU0IgnbpqUQDGSgmJGwBp2tjEDokwJ5YaCZAheYbrgF42vkAJZxQv1tfZXYEXt3w
syXYkAoOaF4cqvamZylNdSjjZjR/t0VWl4diCEN8zmkyhThwqZ/dqzYPxWEczeq8FAUyMO+nm1yX
TV8+ERBsut3k29x02Uz6t1XpB8Qs0WIx6UeGQ2lFlucvvRyd1yqYMfmv/Umvrs/qdKfnhgNk61dK
3pO7FJceCmG1sazan/gA7WbF0SxZtK34Oj9bkgj/jvXGmm60c03auAgewD907B2dwpqvLJGWHNLr
5HtLKm/FOKcLQfxe6YO0uPCOvjPW5P/DDBnBs4b6MUkDorL5NLAB7XjmREBc1tMrSisnWfKBHGol
1sQ4YBHC/H4698JZywk0sD3h4mgiLiUiMWspViLAtZen8/O4HqUxts6vUFDtYoezCGQXkTn0WWoj
OIPTOr1uAmugYRyW2TGhEHFkn06nd3sOOMk7p1M9V65zbE9n/WXifsZOa9UAIMChB2RGawIVWFUC
96QYNHau/E1/UhKIcgq5zU8KQ31SG1wkDrEl9h8cJo/CwG2/ShPABfn8Bj1H99VJu6hWGaM6KRr6
pG7UCcEZAGpoHgRfnadRLEhXpa7UDdeE+VZIT2FvEjmqCVBA+xsTjWfsddBPr1Wj628WVgeWysrW
vMUnDWZoHOMxU272giYefZC5Rq1hBEC5ofkOAcWTc9sTM6xNHpsZ+4iT4gNmS3qX5kkJQqNCjA5O
ClEU6oXrftWNFI7PZldDh/AeQr4zegsaN8OsnooOzWmSqr4kEowWBTjN+CxPCpU4qVVpb8AGTkOK
qFrXSlfDOdIWZtv2Bkukh3qFrZ67+6qF2SdZrOBxne8QEYdbylcRzuB9tQinJ0GNaA7imn0S2uga
UvcwLZHfHBRUh+3zKssNJ4nOFQ76W3KS7pqTjEcigzmlPMl7Kf02lzqCPHxU7PQcUj280VTOLgnr
x9yYX8eO9cHBG8flu9Nx+I6pNwinnSd1Ul+qiUXKeu0tl37niA+ij8juFEw9sowRLBF7HX0TqHlu
zD1y/uQglQwwYIV8pds5qvd6MZzLjgpgdNUZ4EHMH+bHcVLLV/ZkIQw/rJY9eiZNsCyCTVAjeKrF
82AFfD6zrYLrahzEsMknbiYbXWmWyRlrqwtnkr29k7lMYG6P0oFOMfZ3DePsh05rQZI6V/WD6ir5
Fo1T8ZH2U8RCAl0VmX108jepUygdNRXTT7hE509CmOKWftaEE/ZiRo9dEJWrH2z4yvia8PlZunvn
qdzdtcKfIA21VgCBvhPFM85e67vdzcsDvTrLURvoqdggDfttBK9xT5CUrBkMGZeNegZUzKUnhrmM
UrtvRHbTL3NQeV+DgS6ezTQommaXrmOTWM7RZY83BbhDlmQly5iOzDNXytUUDJa7aWEp0xgM6rfe
NH21kGczAWqtYJfwUgczLoQ5LSa5xeehUTDqQHzzpQRxDOklcOK+G8Rjakz6WGcT1fFNOoW3neva
A3pBN1CLsyzRw0zFD3xctcxnFrd8ZDvMkF+4p62GjqkCQdNw404xqNPZAfVKje2ucHFGYq/lagG9
TrJW+nlV7oK6w0FCabOn93RR9Z/CVt0b1DqF+K4hZex0BkgmRjw1viTQnt99mDCPBXcMIEd9T7FF
zpD/NBdlR0h+YSG6j3p/ObIbdhgWKmojN06qDPTVfoL96Xk9K8JS4GiJk8SkbFB46BSxrecUoyrt
1w2JRrTzI11GDgMznJEsXij1YaNWlD73+taFA5jMbljHzMfGY6ISyiMswxXn/CcJrLGClgybOYtC
9qbBD2LhPHJ2hJRn92qqkqY+dtECj10aFRkhBH//C4FOhaPCG+kDDEcmdvCItaByL2x4uI910X5O
0wgrlcAKMUQ77FxGVuou1v5Dp/jac5XA0HUmHj6I5+bbZGhOgGMmlM/dAXM5wdCgp2zT5IfucioB
Xvicxa1V5t5rFxoAHIeBmLdhRBVOJXtdYSxRH+5IQ2fPrG5kuKemKlsuOFu2dNXjsV82DT17n4tJ
ZJ+XZJnFRijZr+t3c6C1JKI6MwGeNMcLBI02tlMChTwbTdEiq7gcIEXizSvS1IJ/DHHDz1hHaQJ9
YyI5WCob5u3G6CtbHEOzZpXbEq5h1VQ2gRG7A/eavfKqAmpJnk58NBlun23lWTWr6HnqrNiCrLwv
Chetx/Op5NiCF8FPGrqGpJ3Ppq7j2vB6JQ8VLpqrgPo0my0Dsj1CN3p8XHurAbsfZhSzapysfD80
2Eg3wWhValeyI0JfA3vhP8BIrOytY6QcSQO95OmxdSiW20yJ37MkaFGIDvVSJvil2nalMTm135zR
RRoC0mKxW+woFueBbsLJYxZfkmjYejxZnNhzpqY5MMyoRwwCbXme+CbwWKcStEG6pSX8bSXYo2/H
1POAqNagvYGnGPcTloX+oDpyVayWhzK6GuZ2phQzDfnVSh1FH0Vn0PEjg/U8TMewSPaC00a1yaBH
zOdlQsEklP1+fJJVORjYBgTrrzZStk2dCn0ET2Yk6dtbXRGYUOaKNW2HAEcJSgVACNKOCVhmUXPI
zmjqsJdEKY+hGPp+1B5kxaW1RzvLsaCMYcHY6bDHi90TJktVUOlohbVksh29BHWgG8aRKpWsGsID
a9EqOc8cxV4cA18JhkvSs3NmE/EMjikP5vY60bTWHpcwFSC8atY+R57/ecr3e8V8RSAN+zNxwn+p
Ewqsl+u/7U+IsPCEC6OZRfW3jNnoyrYfSfsjcQIh9sIHN3oNy2NpQKqnlYRjQPostqp6KQ7FCVMm
TsgyXmDZ7ssu7RwIxSvWrB+8NTuoVCLoWoN8Vph6sXA+8XgHHWtEznnGS8MRtrReeDNwVqdeL8h7
YguLBKzWYyDMzyJvpreNNS/wNZJAgNjcE5RttLn67xS8wXxb4n/w9iIsAmtrRGB3D3S8JgF1b/D9
0JBs2YX70RmUPtNTG+ibWczmeM1qeagvcH9MGCNb0eWPCTxiFN88GfUrVWdcjxAjliW4HxcOm5d4
TTwXUn6pMNvM3OJnMXbFueaqJlxh49/ZE3FMksfhB+quCeEfk5qS8MgkR9yOYzrKyY4LCk7eBNLD
3tRztgyXZS9Xlt4Prt6JsccZHp6/rP0+O9qFK6ydvbZC4XCjCmerstxSO99vIlZnojVewoCEwzlw
3xX0YxOD2c68xfU+RDfvLzsHbjhP1Hw2Dj1t6/NugaYrSDTXnDJD2lNRo05EQdtam6NkoRtr5wJv
nvGKAd3bqR60zsaXky/OsIEM6owH/MCV5nWdfy+RugtKoBqoho63iPoQlI60cJDkkA/HHxTEExGx
PdERCcM4l0Y4DTPg7JWfKE4sxREAx32xAhbpnsb6KZSoBvT+lcHYnXiM7YnN6ItKYXQB2IgNqgZa
P1bDW9gD0VgmBZfOPnEep25lPja84nbXrihIbBHc0nTjzg+5ZSYgShYaS7ezXUk+mSUUj77Zsk3P
tAVlEvmxmdkDG2yDO0xEbHNPVEoXq8ct8gBoFpp2/TOkN4A3sOL8dDOrgsDZNLVJbGhwl/nS1vOe
IrHshc1e9ByNzQxY018pmQlcjjcrd8tv+CWhaMoibDlnneialDSP5xarnC4ubd5n7pYri5NeU86y
04nR6ZIKFlsbm+BbZfRQPBcChjnnwJXuaRQQluIOJNEHX374n1GwskDHExe0y1dG6LziQkkr4doQ
fgdCjwl+YhQtRz20qGFpORRXfJka2nVmqgD0NWVR+VDhSO0Ug1RrcnIGv7fy9kkq1nk1xYbwObfR
bIo59thzlehr1K0ifYSDxGhxS5K+da6VYUWjkYIZcEuxLyOW4HvTHzy0WsNLlXgwS7rGcWbYrr/z
kqLU7wO7ZYtFEbS+tMNBZRoM7kkuOUY2w2Q2jxY9FqzonckHwuxTYr0FaNTkYt/OnZmc/EtyrmKV
2QJAhesnSJ1EZ8Z8Dy/PALKdRJV/rAKHNtVRtv5a+euPy84tOcBBhaM9xzu4DVHU7sAWZ7G+jtUc
jfdVSlXs0c0SulTyxU+D+6Y05+lTrZ0yMPCqgVPlhc4Drz0gDJgcYWqZejx5OCBn3C5KocPhPYuy
UV+ZouNk17EGZB0WtBaAP3S6OiXSq7VNhD2GZTXLb0nRzclbb/vl8IhrtEe8zM2EUwKrFR9hDK+f
6osZnwH0jxcG6kw9eoDAi81CFjL7sHOD7RGW32zyHwKB8XMTARgTFe6YKMcOlkOUu0m5NNp7HkiJ
J9eaFwGx3pL9zl0oTy+cdH7qMmsqDmPotD34cthwZrcKvEVgo14a7nLk6E+BtrSNwdvwwdVnSbv4
8nzA1ptt+2yiXUxPWfVpzon8FG1uPcPoQenJtTSbnSNdxsMcqp3g5opdCVgcNanbyGoW42wlaDbb
DifLJQ0dnXVegWKjtF6Eidpoy4VtNTlNOB1CB+ptnKaCOdniHM5dzBDzg6K4njYnJXHNOstQUZfJ
+80MK8uQqUg2Vr1dnek2xzJL2RsRoSYhD5nyJbJE9mEUlRehJZXGAxWWOFhhW9X2bkZhAuJU8sU+
a6Y2ux1t/ibsAEZ/hUyU0oQgtcE/WxoEEDQn77axW/ZhyP90d3epk9Ask+nqgyDv9KyWSBvbvAqx
0I44Aiig1xR+8dVO8u8WKii/QpBh+GMPPCEC2BNQILYXqaKGNBzfpdO73M5x5DEMYpO1dgVFLy/Q
r6D3hiS17wvdTyMLy9l655iW7vOgKu/LZsr0RoeZAa7Vl0/Y4op6AzsiGLd9byvODva6W7FGXWD1
FmG6xyBMbQVXM0Ya3IMSjpxYAoqjtSfg1dnUcQSDT2krPqS7OaDZahcuAZfZaC7iWHL93ycNufzd
jMR+73JAabcc8jJqh/GEIIfw7ox9px/6aB4QA40uKXlLFA15eSoaXtyUcNfFhRltmB6KfC+6EAy5
3+Srkdto9RfWkj5nDOEuVxFGadCt08KAaYiESXQZcc5QgIb0t63d3Cx3eQmdmZ1lF3418MhP3PJE
/R1GZf85YorbJohEWzKmnX8J35XHN8DGhDM6QvTMfpumgxjDa/nqMg3PW9mmqP3amPUjCMQoO4sq
A2pzUudTuLWxWOmNawT6aqJejvK4wi0+OUflHu9uG17SFqaNXZOY3rYY8fttugZL85mdu3RIVFGV
f/dwZOabom9Y11Auib7iOgVzcqEtyokLQQKLncpqQM1dSg12BiqJteu4+2XnNPS2jMgAmeO2jCoO
mFRDc3Tl3mjGizSsx5RSRbqYC4DCmCdD4sXYIx2q+wxYmTG7MGi2KDSsg/zVDg57z0D44NDrP8AB
Mp/DPqGLha7e7M7pTMlVVCxAIqHn5R8lN3fkEB32YtO0I8dxZAzXPO+EkO/RJKcni2+SG490bF6L
oYaXFvitcQeADTpMgZcZyJzq2XoNlZ08dsAlBgRbhw5apzM4zNO9YuTXjIThnaC13SW2RYUIWraK
MHGj+wZHrAe+CXNGZi+RJEuxqUfHPy6Jq8U+DFGGNybGfqQcf65LLAHFUJ9x9rMfOLkF59DuUnen
XDJ7WzMRNZjVib0cBobCWjYFZYp4k6TTFa9qafvvhRzrMjbravwI3KUu7/1e0epjm6sAjAzDIigM
2+G+F0tkXPhB41z3kTcFsXT74sWvK/NOc/7qD65wu/xS8fouAY+ueeQhWZ5d1k4CH5xN9/I0NhjX
RbsMlAVivI4Jj3dTTA4uux9r1X4lpCDL7WxK9QwrLcXVKqr2/b9xtv8tx2UJ/u+385f5t/nrz0E2
/Of/u4O3PQj4sDoii9Tan76hHzv46A/+0GQHb9ogBCIIFP/YwTvOHxaZb+Kb4UpLWAOTf67grYgg
GwkwTEYs4td/+59s4HE6/eQ0CmwHEQN+geOYIZF6/tevTiM1OzUwywWE5VhLVjpqGnYhbYW3gZV2
D0HnT7c/vS+3fxcLD4D2WLbpRRgOIsKYrvNbBNNTcO/9MeM5PRFI7SiEwNhnfBubLtn/9U+CifLr
L0ejsOnib4AFwy8HwWMN8f2UuzVdrJNhT1YaxLKdWrtK+ElmPoiI1QFhENCLQJuzwLZ5WqbRZBZL
tsUoU3aVteeOtoyYrfKsB3WNwbVIj7MP7HcTkMH5cBQ8BhJbrLl8gLvBZeU74jowEhvbo+aZoVqv
fBhYIRn7KgTwvTUGv3Iuoymv5FkGrhxJwhJDtGuN2mrfJ6trJjiHOkgPLHuxY6G3TVi8m1x56b4p
UAe2NXzVnnVPCAtF1ZTIXXP0rdUtQA0qtxDn5/KqEOn0jnFUXcAKFMHXuuCOeoVrKrhNvTy5onsn
f68mzh2bBllJx55Ncey0TUikuRwKcKT2XrxEJQuwqjCTqxaupENvVVCqMEag5L1kZ9tRGhwTjOWJ
5dUBXi1DOZUGgM8WTcfL5EveGC7v95TlX/VKprenDhnVuJAX08ztdzuZPsUKmyiZa+sizOTqM6DL
LlQUSpXWwk01tX3lzdtVi1vQGlDU3OlQtTwhWQ4CL805NQ+i1S8yo6D0ykuNpnlc7RDwQZvW84Cl
4lIYzeeAdbCaKXh2AEtugnyNPe1CDSuNZ5zptUaHq57OSPiuFOdkDks9bAtrk5vqFve8qI1MBDcE
Pvxa3eVGLYNqiwRgDin32gSwGWkBF60XtdoLltuAIz7BgHxlLNY3yxAM5n2iGll/SYuoWBh8RGan
W6wMWn2FAdYiEaBLzvMdv4AdWXBnMHxjl61d1cmNx9TJ4ZgVIIb6mAXqLCEoD6q+rXPDvWFRa6i9
svKRTh136b4QIuEikqOaayYjuzWITJg+XrN8iIg45BDdt0jVhGKY+Ir6OJbdHG4mC72GlVTdvS+F
UMuuB0aK4Q8nQvo8dHXbwTHvbBOc5jz2Q3pj4G6nXYIkXcNpbozaLd1GDbNEEMJiHtrVMQJfGFO/
C08vOiSRB31eqwVXugRYEjd16NywAlF8mg7dgjQT54PzoS1Pi3Otaq+9tvwqdC6RKWV1kYNQBh4l
KLulRNqlpOOhcHqljomU6/+VpSq2C74V9rVPQ2hBjXxG88AOR2dio9uVpXkskHFaSmYCX3yaDMHl
EW7tnF4oP4B5zgGw+6aGweP87eXTWQ6mxzwXBk2opDE920yX844cfT/sVFcqxNiQWYe642TqDaob
W2Z8lovluC6bHPAoWwZlkp2KgCLLu0EQanfIAB4BelLnh2kBBHSSE0xYR0mWPoMwqBM2PanKfT0O
KBgd9O4j/ALf3FPbCS9Z5DrCt2TQXHxbRiJSR+Yk/Vha0FWvEr7I4cGT9mA9pBNcd7UzqsotnmmD
nPyjgyEHMJbjNp4sXqfGMCqD04419ldkcgAOm7iU8iPShgda16VGF+tMbq5u64xW3oY0VkaxYlhJ
6NBJ9tFg7Fo2GSIgqZSqpMPCjrL0ek47ii6n1lwQXypMF54vOAfJsJEXBHhDnJqL9sbdWA/euOWI
QU6BU9QwPXBV6mA7Z17mPuGQmEhxWH2V5liHpoib9asdhERQD53AdbO8zpHtWvdJZqGENWhMc/uW
NeOMN8wymjTiutSsOhyVbmvCRJ0duwjCxMvafgkH/ZHKhsJq9vhukrTqG7XQSc7OgBo9w9Ufk52R
Qn3673z0Yz7yeLb++/Fo81V8/r/nz+7j8+cZaf1v/nRk2/YfTDvwThw4IH4YuYwFP2Ykg/EJlBu5
dw8iqk3e6x8zkhVgYcS2x+DkApthlvrnkOT+EZoOZT9BhLkgML3/KOwPGuDnKYnYnhfCfOG0hZMy
8AC//DpIABe0tccuk+Wj4Z2VLkucOCFe8MoOyD0fy8V5E5SkU1PZOfZOZJIjYlQ6zr5Jw/praxXn
GQEOuTOMFrcd+QAby6JZ3fiid7+6RM8uBrZBFL3nOmTRvdhyiYFLhS9JZBk3NGoApCipQf0SURZ6
aUzJerDhlIA07hw7KzK+DBRE0pPczocM29Q3sqzGV7cmgBwLS+9c3HUbz18cym/H+YxaJs0d0c5/
XN6/wCx+Rv7YvyJHeJ+AMgAocFyc9ez3nN+myRZ1XNJF+d3DJf+ER5vwbSUnffCGLtm4aYW9BI2E
ihmPygEwxsO7N0eRpoEwsFocCOkESx+iAmc9e3w2/bKeKe1lEV0Y2VVbtaJCpuWJzlq3I/VECAdp
pXSXv0EX/Z+/RwBkgQEb1A9Mv18/b2dUaUAm8rsUWXZfJ8ln5pTzoSJXElck0Nj5tB+dmOhC4fR5
SMfMv4+od0IkUsCognWb2qd0jVbJeJ54vRuzprkcC22fkQHrLspmdG9BjBZnKXW+5z99s/6PAfvX
off0GXDS4DQBhcF0vRMj9qehl11k5ago/d7UmBsaxv7LkNzpZu5H+3Jtl9j+9Y/7DeGz/jyIKpYX
8ZnyqQb/QuPUVc6NOPgcnOqFovIn0PDWzgM5cezbprpItAZ41ubNRrMjnWD+/82YD7/4ty8nL2AN
X/ihG/gAgX/7sOpCTR154k/UesyUmAAZagdVyI82aezvS5VIJHg1nlEkTXumxC2JK4+UJGksb/6q
LZmNu7qrw8tqsm+8hvxsTOJcvlHKXYELn4Nsi+2HzTVR9vxiDG3K0fFFGM9tbuxG3yxpN2L5hEmt
o1cP1+BwxHacfmko2rs3kjAtgSWH4uKv33ebs+FPJzfedybT0yEQ83TEsPnbrw0Ctk2zrH93RuBX
cWv78zmTkX7pJskKfqHNa986ufk9MycipS41COu9IFHX5EH8h8zPsozSK8VbVjIyQyIHkounWAxf
sMv215mPM2I/eeGdHyrvecomfc0fdfiwpBtzG2rPGpF1V3C+8scpDO+CwA3+BtH0L5dyRDSGWCVf
QgqoQAf/+jXky0EjWed9EzKg5T6pgL2WRgbmA9aW4FTwI1rwb29fJ5rbP/FA61uKQd3CKQ/RZb2c
1yvtp68O4UcOzMju9HJOL9RAejRa5MylpC3pw60j+6tTElIfjeUCT6+YN2Wi7m2Elw4BiPuRHaTj
JetFo4bv0fhHxTEg3eI2MQ5VHQVn+DXpObFArcKQI7OLf8/mQBHK8ZFhCJOzBPDHEtMzb+bK3NVV
BnvAbAMHF2/TIwUazsj2POrOI4b573z9rRvPJ3ZrFB1G4L++wP71+sJ1BoHc5KRuIk/8dnhGGXWn
qV7eNf7QbZl2KKC8Zewyu+xCxOuihZvzX/9IHvK/XdL8SAQCvHVMtKaz0m9+ev+xQmJ9FdO7WXXh
WVSyH7YrpmgPpffv7lr/ctPgS8Ndks85ol0QrOevP4pnNcXTnXpntfPidy0hHNGr6tVqoIAtUVtu
/FSz1iA5wQcSBtVbjlfmanZ9Pf3NS1lpRb/91qcrzuQAwQuCwvbrS2EtBt7Gjr617mS+lvNCIdGA
ufrWLjocrtNINmeTTXPwVCTahJRCteZL1ij9AmCn3DSVljccq0nJzlR8Phip9xWdf+52EckrUqs4
bBu8WQvw70Y2wJ8jBJF0kC4/i5P733yEa53jb78NahXfVyQqQnL/n73zaI7c1vb4V3nlPV0MYFq8
TQe1WqGVR9JsWJqxhjkTTJ/+/ai591lN9VWXvL4LV7nKM0aDAA5wzvkHaif7swGY7yAVa73AOspx
HKJv+teURS8rDvlVOzTkgxmZwMhF6mjrgnPz2tMwxV2P6tmK9kG0LCsthn8KAmM35n2z1sIgxDSb
WbygUDf8GqyWeKArI+DpYNTvkAGqd7E/iCekcNtvZe7pV0ThFqy1dhp7ZXgTB8AQFhBaISmHMKix
hGp8yuSVl2dkY3J4jhNZ0Qcfkge1aMxzywQWRDVVXmgJ/XbaHxGUWKw0qNj7Gm4QWppQfpdOqGxD
P1fKI59R/7g/0cPDxxKBKewz2Rn7n9FogeXWvv5SAUp5FrKycNIKRIdETJDCgKuzocILy+3Tc+Bj
/dYOemUZj1FCsaLCwz1X9egWlFq5Et6IT2NQtHd+oNN98rkVf4EPqGHRpHD+3B69ooXS1PnN22H+
L1HrD5KOd3Ft9dK8/M9rBnph2L2kr//7x0aG2esL/pB1/SLf5ztvf+9vCirV1knTZDr3Kjf4/yc8
UFDRyKNQyvuNf7FtAsbf8maQS4GdTY8uTaN4+3fGo/7pkumgjMpd6aDU+o/FzaCfUpnj+aiz8RC2
hfS6v/n60sNF26Njpyp4n1l1YygLxInVjcdfAvKoVA+EaE05suk/PCWncR1rklZD1Q2Ztul+eBf/
U7xUS+CCVxA4hZZftqgDBCmQ7qq7sML0VST6uvbCZOEa8dO7Fbr+WJU+NLSOAAqisoY6PfhnQw8T
Hqgrq6s2NKrzjsxErnvqGycuXM1mKdD19i8HCr9bykyVR10EYsSSP6sfFYieXwd8BEGBnB9jGgiJ
T6v//iN0Wu1bYgiuwowDS7kPEsGqBniO9ProIxrh1KOGVJCVaT86ABpgJjGLKmGYAhkDKu8E5xg3
wjCzLCDK/2CFhE5ZHRIc3Qci/P6PC6DMa62u7NSiDHiU0O78FURS62AcQfVYibZKHwY0HidGmm7Q
wXeb3kCQTnpHUrR92uDbFhUCWXAWjecaHMX9H2IizZEGuX+lsil+5CiY/ehz11p5MKbPEi3VHmFP
2deKW+akkZG//Hy7TLvh/UNxWiNSUl5GxtRWMGfaoakqarTt3F3kV8G30OqbHzRaAkp0ur/5fKTp
qH0YaZI65FBMt+rscWA5AQ9sX9mVmJA9erzZb+AIfKkl8/tbIovpmiRQVE3M2XFvcyxAfM/Y+Z5A
d0H4/QPmZOoafaPm4euzoUcJxQGPCPVDHSXGaDRShviq5xDdlrVVXjlpKY5sjUOLQwWJ8KXZCEDO
uz4yNmMdAYarDOtJWsJmkG5htYlbVFCGI0nYodWhwGQbfERC8vys5l3naV4YX4lqlOu2CZDrQv4P
INzXPxtmDTZhXbDbrNmpa9xusOlCXYHWH++jtPAvaiAxx872/MnBpjaJJrQCNQo4OCHsHynSc79A
8uMqD1W8SEqbgusJRrsuguN29ZQZaXNHY9nEAaxvdCJx5KTOsirAEW4sD1vOI7/nwLelPcjp0lWu
Bfp3+z9nTKzcTBNnVzdZtY39USXvivv15192/lqd5ozoP91UBGpRdJ6+ybsbp0gTonmp7XR9MkeR
gDpknj0GSfyjJ8v6fKwDE0JFnYSWFIca4mQU9X4sUhsgfGa/67zY36JvSWcLQZ2TzweZWQC9HWbL
wv2H6ViUZbRZwKADQ+Eg0Xfu0OpniF9lYDNgILK5wDoJFb0TdBDXej4EdEsQwnuiLAiDTkTGxSjh
p0LH8e7LsonudFSRoLaCIlgauDTemtLNjkS36cfMohshnA1NzZA88+0V/O7zC9RESx0bNEuvlKsx
b+Fu+ObEbIa/gLOjeqp2qnn7+Rc6cHPsjanvL0NDPURGqDtEqEMj8IO4AdkV7+jCAaQWGLSIIeg1
drvUzGS4sGpL+f0w/o9lhkP7YJJAtoGbUKPTZ+dMFrUbElR2NvyNdatU9WUfBMeqgNqBZ8T0mqI0
R2kMpdjpV7z7tHWu0YRs1B3vDMNY4+Wqy5UeYNaJCTw5r0nb/xlpCvN5iHluLDDhzeplRR8IMDAA
8FWKhhiFMCUFcvb5AswsMH5vUQ4dBX0LXL87v7tHTY8KtxQ79rEDXT8PbrUmTH5A9dGpt1Xht9Lo
spVW10a+4Brvn3o61esgbEP+zXWvW6Fkmyr3kTqU5niRpJBVjvzEA3eIRVkAfAUnCQeA2SZBCQOp
VFfdSarRZ3aQk5Umcdue1W0tTunzhXcS6+xnC7jSeQX99BGSKgq6YQmEcJHwul9bfqVv+yKLkQtV
ivvPf9+hLQR8AhWGqerJVbe/uFZB3Y4EYqdUZrapsZuH0+4cU8s+EBtJ31FnBzzBas3vUX/Q6Lz5
7Q6iWRuvykYED0jCwDdH1V+ASOjT7eez0g7cQJSQdWbEpnV0Z1qVd3u2GFvgnEC/elU257g64zMf
R+J7ZXX6dQc+AiQ9IvQWop+ddilCrT+FudLeeSO59JFNemjyJDMcILSiycRnL7y8JK32rGpn9oG6
hgH/YOv9hQbC8zzS1SOX0KGziuAGeY9rYLCD7sb+vJtMN7w4qHdppWMR4kAxCKq62nh0j1dJOdpb
yHnxqsqBMMLqgnaUovQGBhgbMYUaYhOss6pSj6zGdB3NYjM/ilwQAA2CH/OrsWoqG8hgtQMoWQA3
1Z6LUb52jvoDFtTSGsdNbRvHLq8D+3pq2BlcjujWA7vZ/xBx4YD4yIud0WEYrBRVufAiRACEBscY
xinfAXaYHPSLPhkflSmGGvLGHJp1o+XfabU5R+LAwd8zBSkOAcZmbzX4dxsSTl7Zuk0GBcmvtmx4
iOGDaR+Z9cdBJmQYd9Lb60CQuu/telrVVUcFcpfScn5AebG+fxMb+fxsHRjEpDDH5qLESGNrui7e
zSTXhiQtTWyNpah+Gp0VnyH2UxyZyfRL97cMaCsHTBcFQPz+5iXjTIGEaVrdrgGBeIfUYrP1xjHD
AKc1qaF9PqG3h8x8MMewcaViOkSn2V4ZLDXqRFDtUMTKhgWVVf8mQE37m1H3/bjuwBlM+prGg+ql
cgvRpn8ZND04oxXKOUbUF30GV5ErJQuwBYwaVNo6MN7xujbq4phj3YfyAt8cFR6MYiioELjn4SQ2
TTyDPX2HmzbuGk0ntXGlUqA9N010DLDJNdHHBJWUGgurq9GdsOBEQfoi6/vilp5+CYkEx8ylyEMP
aX8jxEafALYadqjljkveqaCAVLC/ny/OfCNM6vyoA5ka/otUgdXZ231wECNpfLnDCD4G9RV1l5aK
IueQRbvPB/pwZbyNNOXFPHEQO3RmI1GlgmLiljsrrUSyobJin4GQMRCBQflGHSwbqEpwU6H9cZ2Z
nfLauKV7pjeW+nzkh0wH6P12nP0Qd3ZhhLbvI3Hc7EJR15dcK9l1qXfyWlW7y1KB3gIqK3iAV7lM
5DCeFWhonwxOr53alq8ny1xX4uHISk9T/+wXzQ4IYq8hyjXVDmkDFT6ppv3lIdBw03WI1XuxDbJe
EyaGU+D1NDpsR2LBPOBM30M3ka+jKqlNBq77+0xiViZDs97ZqYZsNTx23AHNY73fQ1OcQg3NbgxO
aFPtD+KNUAnHsdz5QzGu6FhmG27zDA047cRJ8+AJgHeB5ECfbqDRqUdm+OHanqYIWoXIbU+1Bme2
5ImS0Spqyl0NLrtZ9BB3LtIagrwT2OnWgQmEdLsCqYqeY4/6sZNOFvZAjF5N0K72EqAkgAxDyzX3
yPE7+MvQuuWMkzyjIThLAkHTNSZ0XnIc3z0f25RyYIgMa4EiqIJeA8rQIlCHUyUrXrAwSlcyRHXI
8aJbbGHkRZ4W5cuR4zHP9KZvxdPGcAEkqCCXZ2GnQfEjt4xm17SDggFMHtTP0Gkxghh5gGJ6jlDI
JVa8dbnuqR8Bu82bTFsBQpaTRmDQXSkFBFsE+JwWZXVPyk0UDgZENHr+7ZlIy/j1yC+ejsf8+BCy
CZaESV5Bs8jCpaLmfZ7uWjAeI0phwsIAVB0dbRV2oIQQzm0U6h9+HZRLt1aba4nkyasxdiTNLCl+
pJ//oEMHasroKFhM2iPzyxWCWe9bbbHTlHKEyYeozcbSEtke2zuH5g1sypmsrniVzLEvAC6zCKFm
5m0ARsRNvPoR4y0AQhoC+TbDmg7pV0uO5XIMYqhTSZWaOyuxc32J/tqXS61sHDxESBffPGU//Bxc
SZEfctzL2kEpws9EcgPHMvgOtrm7+/IHxi94kssjpPDP7DjbqE/GXqJc5lDjtyLFVr2PS+VIcXKK
SLNdRWnSAGhPWKTONl0j795hNq91T+rOZVFJceohPLfKKDHfxDHiKwtIo8np55P6GCFduGs0i3iY
gY6cv/uy0WvTqmsv61Cvn9QKvBm2T10Gf9+RAv1f1a/EOTXLsiMSdcNfWes1x5xRiTnzWfNKo1sF
go5c2qXDsj9rMiwIbbK4NNCnQhyyQ/RybdCleIK56z6ZRtM9kI7TywjipOl/CtF22MpQhaqvewpd
SCb7IjAvI6BYk6qfneF74OFVsk1df4xhAeej8qgqiGWfDWWininSAIjlyoaPKjFeoNs8pn6LKFbT
7zScW+7wtCl/0jxAmAVRQhyhoFNXaNGNyEmvRK+ACQLXrvyQmYxv2rDCiwa4fvmzqVV/h5nG8BM9
AahAeZmgcoH+lH2KM+VgbP007uvLxmr77qSUZvoTXWlgtg2lU9qyRipvayhv3mTlhleDJnVPniDN
KYeJshn/ZaNA5i+6VlNuS5TkMgDWddai3hdG2zjKu+ciMwaw5XS/82UexwDp7dYwvmuGr8N4U0za
Y/44OldhaOQlqC9Dj6GzqZk86yNXIpzSG/K0yeh1aUhIByimDsDaKQv1GlFsA6RYw2HQGXKsMZoq
dMKfTYwb17L2uUEg5AruEpLQIYPR6uBFnSPYkm7SFjoZwq5tEJsL/padgO/mLlaWtmJI57TC7t68
9BwkttBw7MP+xJPImV+7GSRuw6v540AeGnlaG572K4N91q0ao+thAo5oiS0a1FrLhTpF5IVTdFiY
e0417lIDuCFCg1YJ0CGHDb+qQBywgLAXzIWncTQfGvTW5CoSIr7XW7NCKqBFmA2rGdBpK68jFV2U
SJegO9T4Q7SAOF15q9H1qxslNbgydSvRb6wu0bWdqHub4Oe1yNciXa4BDwMuXp1qLO4z0t8+mnbA
hkldg3QCkugNzUslkQEiz26ovdYKlV9vVPrvudST8SxTc2j6vvCqn7kV1+OuhEuYLrXRRucr9pv8
DvRzXq9QZokwGUXFS1taoWZeD40e3/pjyQ5ShwR9Slni34FkXW/jC4sAn7+ikcquxpGlVpdGDSti
0ZlG1EOTzpDDTSsDeERQUHhdtv0Az0VC5nBhwXhptQ5SRRgXyOxEElPtyH8RwNtAoBuZfZdbQ39v
DDp4dxFGQXtCdwxFQYB98b3a1w5XohqHOLiFdXvdel17o+V08RaSOz9dh72r/2WhjKCdVKjYrtMx
bM9t0yg2RoJ9RNK19WnuA9reeib/G0TSPAtKdBE9WPag4eGDvdB9CGX3An9d5by0/CBb2DVeiYvU
KaS1zZWsuW+kG171DZwL6DtwxxclBaVvDWp0xlLvAzdZy7ETxBC/BBxeiBa27VvY/S/44Y+pD/Of
gd7rUr40eRW+JP/zGwbxHv8w/dXf8AdN+xNbULz4MHBzHXpnPAd/w73NPy0cdWmswmsTExaP58m/
wA+Idk9/mv8EyoHigsp/+hcnTuH/x9uIv0bWCV2Ok/4V/MMbCe3vW5rfY4CnpB5DeWFiqs3ffkbv
1UqXDWhNeqq7hoBcGrDLR9TAgjTMnkw3i6pV0bsGdCokp8BRllm/STOtqS6Twre7VWoZNlRXKEZQ
M20zsNdEjfgpq22Mx81O7RNAXor8iSOZ8oKlgpqc0+KvkYwwVE48PFlFritFOPdqNmAv66odKo8o
IlZXPFNcHdqWIxe2l9F4VBJo6ieeCHi2FIaeXUiCLspWEEO67bvVvP79Cd4jvPeLgnyYiciIiR7d
Tgtv1zej2nfPF+RherMwHcKZ150BMZVPmgZBlnJccJHgpLCB4GRiSJDm/uPnI+8/f3+PTBkSZAgd
XVZ4luoFmhQG80LtC905CXB+N/RaccQg8q3C/H7hUVpg05nsTHiRJCqzh8rQlUMlQdXVyLlABbHR
RqPeHZs3qqINsbE1kfEiYDVQaW+UVm1vIupHITepIhE6rbvRqhDdRE47R6ukKoi6NaXDC6HUIUYp
0ZDW3Ac+1DkIzG1xkg4CaUIts6VYBF3NY0SYpf1ASQNlzaaaLNG4LcCZi95skxXyUI150viG5NIf
xB16MOIvtATLfDWRw4zuFme05JZQ3j9XQFZ2cRDov9AKtcIVWmbUHcik1RcIkwAcA31AHVbXBg/G
Oqpei2Eoix/uWCevRYaC4RKcjFGeoTYIk1wZeiVaVwnCWJc9CJ5xhYBvly/rqkX7l75iyf1HSOVC
dKpXxwLot0SC1dHXmJDhUpVHtZ0gDoBs7RIWt6WeCh5Ow43Hbr92/QRV8wSLqWgt6Cc/6XX7Zh8h
EeQI/TbH8k0f+9O2K/u7kaaW2KSFCzmcR1GgrLBgDF3s3wovPo89K8Szb0zafGU7lTYsCpH7QLdV
uBvIW/xAlzIZJp5SXa8/36CzpNsBGwxjgI2p28Q1FQTQ/iOXBxk6AjVqDkF+ZpaVcoOWCs3MwNGQ
gp/8OUrwOJIJP1NSR3zLMXaY3qirroyhl2mB//vp/9876A9NfHoJXb789eK/1D9fqve3z9tf+n39
mOqfwtYg87BMwF7ILf99/Qho19xHExJA19jfUzH+X9ePwqXFn6XMZJOQQk6dGN7/vn8gKdHUp9pl
c0f9tiT9Av5uP9ZByObaAY/AL3R02nhz62wH6TPs01BDRBms344ORDwB/e9IQWG/JAOslJR6KtOD
9KB+ypz39ytdP1Xr64gUwyzPA7V8aGX7KM1+nbvozFQCxuznJ2Q+LYbihib95duaIBNmB6Q30sGL
/L5cNrC6riBCehvXxrb7i6NM5UbmhOcxq0uldX9a2BOmHd4G1RLCLE9ntcY7uzbE9eej7F+EfLxJ
Hmt6JzguNn0kt7NRFGx5oGzjbINjFerN1aJJ/RPkiC5wPrrvo+inRDfyyNT20+hpUOCdUGzYG1De
EHreH3QYIfLQHaiX6Hr4Kw2RlRO7GJQ1EszDBST04sgOYbO/K1ZM49FiFoyEHQr92Hlnyh4GlDQs
yGyKYT/ZXm6vGC6HyBU3R0b6sDWmnp85NY+0ibZkz2bm4T2JrjZV0swM+rNhRFdPL2TyD0ahJs1Y
YE14Q0yL+u710sZdZFGWxua0DMr4LBpKj8zcLetjmP4PR0unBza9YSm+6uDDZjs9Em7ro8zcLJME
jrjEzXHDlW4uHRimJ4WS67/qpkl/x/v/iCs5sFr0dPTJtkElGM2VFZCltcZcwhRvwHKsKYb3JxP1
5CRDBP3IRpwvF7gIDhg9HhOsMfyj2e7Hq96SXWkYy6jzo02eO+RrEOGPjDLb7mw+IhR7nYeGowKF
np3kkkqO7+ojfox2EZ/GfoiqeXKRPqYeefDnx/nAUFTwEeewwWQ7tKz2d4Y5qlnR90WyVOVwbgSu
yXq5NkpTer4t0Rc+slSHhsNg0mIfcqys+UEu6w41H6khoQUSuV6TmNIaaANY7m3SYnslBXL1R77m
bM34mjhWszHIjXRhUNrdn6KRWRHmzCEG952lbAvh3sXIUn95Yjof0EbvZHJa/7BkgUZGbda8Lu0e
rDSSaWILXx6Bb0B2677D4/TzdTs0qSkwWTYxSuVq3p8UdRHCfapEOFFOSqY2BNEEDaB/MCuwl1MD
F18C+ir7o2QGFMdCQ1UNz+rJSUFJVnmF42ze4GCkNrF25Cl5YFbcYGxF1mvqa81mZQtFjhzmeDl6
Kd6bjojXpHhfQ5VOsK8pzeGehCfGrTxvKLhDjrfDQLJTFqG1atq6WsWyzk8+X6FZVJpGoUILr47n
EXTsOYqosVy0tschwdIpwGKcf13X/kjz0TC8I4f40FATB9WdKgfs9dlna3QNn97OTpY94NElPOj+
rtZgF6M9Gr18fVZ8ORvw+QRdnB9gObYyQbMJFynLvy+k15+3IZLSxdDJL+8F/Hm0CV1MRYQreTYp
TwUbJ/0A9WvaS+igYTS37MPc/gcTIqqb3B8m7j9zqmWAsm8HAS5dWpFSX46KOgKKlaXn79TMLb6E
hH3beTyeuOa56EHdvun2vLuHuygrcbyaDMcS1F44Xe2lCpzvSK3i4yniFaiRjBoEWgBls1ObKmpn
opGfoqJRVOuoHp+hd32tzf02FSohE/576upAVt0PDWGrRcHkLIHLRJasUZkQV35TdkfqEgd29t4o
+v4oOs4NIQZwKX6UXXDqFImxGLGjXCd6Z999dWeDmUNnAcj1pC0lZhUQMBL9ULZGTJGKqxc3CzNe
xboZPSaOVI6s0MdpUU4iwOFzapFuzdkkKK1jTQYgB1vrSJzHtp1dNGgnvZBFiCOx4eNmgMo63U06
jxPGmn3BztOVfMgZanK6W5sV9vOxjtjb5x/v470ugMsRtyd4L+SQ2W7IIruDB4NEfOAXfnupyzx/
SvzYaaCN+0aB6aaSOEcC7McxST8sckWThx+542zBkD1PdajgybLQDBzdY7VaQcM3V4hM8FQ3aPN8
Psc3Qv/fNbJpy6O1AbwHLQxHIxOZDZhPVdiAvtfSly4KnLZRuGhWuQWaGCg2Ot+UznLjDYpUEtFs
eIzDekCU8BmZqfqp0ZzWAoUg0cooMp1unuUG8kpIN1UWGo2BZCPQrlJOpFCs81EY/vfPf/3HLWeS
ZwDBIumF7j3vRFY0aXzN4DrqxrRAoX1Efoh0YPR+KImXmEf2w6HRLLJrwCGEuw9FS5wZir4qeOd1
kd0MJ2mMLEYlygZNcQzYgiOjHdgJ1C/BBiB6Rjlq/mzQvTAKJQ6RrHpcL1Cjt6J11ibY9imGiVBx
YPTHIvl0+8z2AjAvCqUEC4D8cwKMioEZmqSI3AKWPgml9TqMKkqaarAKS4RIhTjWpD80R04vwGQe
LCpZ3H4klDCvaqXkOkTLG3i6bzzSTbwsk9BbAmYPj+z1A+vHx6RGBAaamp4xRZV3F5WRtIatVCJd
+mQp4cSSLe6VoYy3kQiNqy/vzIm0geYI+ZT1QTvFKcyqG7okW5pO3a8DdC/P09aPzpIUMa7Phzqw
avbUZIGUBhjwrTD2flq4iPkW4rl4Qbho/WLMZT/o6K6tcwElm+QxWieo2Ry5wz6uHJ1/qC9ED/hf
nL39b5k7uhzDENlg8Gf1JTJg3toEx711gdgvJoTsyVcnCXBkerRPKbFw5nFR0RW/DLAOJf1GgcZp
cwCBMqzkRRJ06hkOy/21opfm6vNRP+4YMNMqJJ+J1TKhh/ZnWYtB5LZk1Ioi9GYsucjKuEyXSUOP
9fOhHP5X+2eP+GWAk54YsyB7Zx8UC2Q7QXsipc+cAQMaB5Fel26FM6qRjdm3ZIyTu7guaY2Gg5T5
kWDzcQ9RaGC/qkx2qg/NJpqEvIZCDNOWdlU1aPOkJvQiapY4s3QRFhRJdO+ZGMsdGfbDPS4oRUHa
4vzjtUjk2f++cVsCPchByGNE6m57x0/Q6g+cI5/20CgTHRKCBRyANwb2+wMythhcq2VIfp5iRW3H
VYXkjyOP7NAPe4WSFwdh+oITLG5O1Wqavmo1k7ejVg3BenqQLTTA/PSsu/GfDEU15U0IU4U0vP/Z
EmxBmtSUKRPqrNMJBrMS6oCxdaT0m8+35YFvxwMLRDaxjPAyZ5OmGuiPUO/TZV8o9iJViTaQfJL8
i9Xkt4Ih3DAKGZwBk2Xan1Kn06NLs5HEqO4wH1OxCPxuOQpGA5/P58NGn1aJ0gkPH6Iyr6z9cfAO
qlDgxNwKswz0jmvHa5WlU7jVMu41ZdvnCp73jT4UX9/ppLJUUjBnhRsw5z/GaDqjJ4xMaWW65Vnl
KdGLGRv6MXDWweWauEQkfch2TToE77e6X+EIYVtYJ5GASJMCb9jmS4Vy2JFtMUNq8/X4jlBLOUw2
dGb7w3xsPODlyHqJauE7w9oK/PskqCZHmmSbq8ZpEVK8yTodzKEjNwjo6EcOwaGpvvsFcxC+m/Q1
wuRotHdSsdqlI63sEQPUYwTDY8PM4rJVh/2A4mO6bPEuukxd5wF7ofZISerwIFP4sAEq8PrfXzYd
LzMFk2jeWoMfVyeO6hdLuHquemTZDu3+qdkPa5XtT11lf5ysCttYlnq6NKMSJI7otdta6B1VKV58
YoEOuHehBdmxJOPg9BAKJijy2qPWvD/sIM3cVXOGFWOYSTQmo/Ex8aVx8/nZPhSBwWKSGFGkR69O
3x+GNrVCxZL3HXLrKM7kgziBaU2ZRXQG0u6fD/ZxTpMM9ERqZD6chtnTVcdwsu1M5qQUXbMY8wCb
FSOssHz7B+PwiCSJhwPPPbk/KcBUYCXgTi+N0cFJom6FvzH7Kjzynvv47cjcLW3CZLAN6bXtD2Pn
Pb16AagSxxm5QNYWj6sJTojVVHpkRtNm3nvpCJ5UOruP3iFVxDloNhn6FiGSlr5Nl3onEXI7m6Ia
0qvA0vLTOEvrI/WpGV2HWAU/xp3407zgphLfrHQUgXEZ8LLol1GEGcdVkSRm/pKQGVfkVm7V3ARm
oT5mduPma2zmEv2bHQ3S3vJmUIq7z5fzw3cGgM47nVYmpRLaILPvXOGzEhSI5S9ju1QwbVDTDfz8
/CYw7GMvStoPsy/tcNwEmSONb+5VMX80e0iieo0X2viLZhgwLrE2aN0rexCiRgGgUKNkFTtdKa3F
iO+Hh0mc7YzjVdUGDiL1XB3wZCnD3pdxH4cv0VBX2SpMwTCCg8nNXUKmhdEIDfSzuActuAAio/UY
QdjGk8CW2TrHjBiHjbIy8DjVkbLzH9A2s9+6I2HXUP8cee4Za70RLbY8AlozTpv4jqksjdvr+NDg
WlNUt0AhkdDHmgqviG+YVLmndRoIHAf8KA69H8JNpJWuuaUcjLDU0Q4x8IMUb2BVEGp2YfzwdNSx
huWAQnJ2M2AXbpc4myiwKhaaU6EbsHAru06x7PbZBLLRLDzCOrA9BljryFPyxWjVgVyXBqp8FylS
KX6CQ1eVIlqFWwP+uEsnGmX0V28qXn9mm04CYhRwb//TcPw0pMIXlB16zVnfAjDy664PV5k6ptGj
gQsq6MU+BBh2a7e5627h+WTmdS471z4pB8uotw0LrCNIiff32ioE/toLX2RIsnS5G5UbAQjH3cUj
3jbLrm774sKLS7xxO8yvlQfFT/X63MOFo70HCmyYKw0fpbMWtCXsix5S32upe8NrlEtFvzAwXIXD
FoSWfVbaRjJeWlh9V1sd/TK59VGcqoBGIYj3FFmBBp2z7Sxk1H3P/0vwqHLQZ/cnd+moFJl/PqF+
Q39FMTAIcVUPPH3hE5ShggtRDT+zwaCbD1jdC6LvnLbJ8b00M+/O8xLHOtPMwrFP6ljv9ecUd7to
bWRZZb30VaDiWYy6UIrwAfhZEOhxVuN4GAdVr976QSM9lKqr2rrKYr3sgKaWkMnKLnN/VSizvGLL
hDmzalupf2pINUh4EBZ2sO5i2xMnPji+q5qENMbLqguByCJ5qi2TWqBuDNLKrF7L0FOfDSMA5p5Y
/LbFqBeAqccyzMoTXBq7C/hq2EVQzlPHx0ppS4x1qxALFNXDKnappTxeFtilhE96pSeIkkEPFIva
9CRGqRQZJTpfKLmsE5Gp7O0xto0VagfGT61NEUM23VHJli7tsWCRuT1qj5GZR1cYCGk/Vb2Ow1Xe
DqOx6WKlv3e9zKm2SJx39TpAYBeRBFHnOE/XmWmt0qQozZOsUPVXHxHuaOXgmoxYOIm4uQCNC/bd
6+Lm2Y6wq770B4eBh9GCQQMExIK37ytDjtdWrt0XkDjbVS5ytzuzC+Dr2O3FRXzmeIM64ACX+T+7
nDRlrac67pWZZjXf7TEyG4zuuVIh4IDUXOAMzSuIAnB5VyPHP1zasa/DueqCPqD2OjYonyOTace7
IsdA6QQTAhMT9dQJ1FWrtKl3GRSIWy19r3Hqs6iUvlj6YWTcj7EyBo9jaGWTy3GE1xIAUDrrEeS5
BwJ/8IgZkXdL7NbjdVZbVvQAqyoj3Dilik0qMfNXpYrm2YSH0Z9TNIieJwB6ej6onUTrty5xn+UN
7ikrVcbpq6p72kPQ0qhe0MFq0Of39VbZUEQv/WXXe7n1vc3bUL2Bm6TVjykA1Fu1UporbdQoHnWK
K7ChSvzsChEDmWwVoHL5qelVkwKwrZV3RdPGEA5TxfnVDp6bb4cG+OrGjaQeXhSBpj4rgWr6mwIx
X2UDJsh/NTpNw1nbqd0OxkVpyhVioYWCgC+afSdaWEYR1JzO1c5Ep5qPVqDW1kJBQfwpUknYHd77
gVJy2HsnPEPWwznXBpxbLwpMabMVjO9YQY7fN/Il/gxdO3kCBNbknFQb16mnBNoqxpUYFkQM/2ud
Ol0nf3i088vLOs3tZmHIoDXWxBK7W3h2iiFkrUQjtjGU1L5Xaq1+dyzPjx8AO8XaeVIrljgdREDI
x6HLqJeu1OAnYpesxBtiCY6ZGN8UiOUN3mhpKzxlBjwZjT71nxKtj38Ubak/WnioeydCgyWwjIxE
IzaE3AH4fUv4LdRjDL+89ZSkTu+T2KjcRz8uQn9jJxxXHDNJRRZpbui3hg4FDi8tT0TnmgfkckFW
lFbALzsvWtmliStz5cTSW2VVHmVXPuDM5NHKEkPfYOHjjBe2D2DsIWgKarxdUXBLYrKUIKpOm9Bh
I+L3s3QDeLAL7GwUdYOnWOM8T7wECxuhVp4h0N93WzGyeGvXCZGNB5AT4/zj5kN8mqX9mP+q6PYP
5Ext+tIFtv1awjSvfvZxpwF9aoESrEMljzV8PpWSR0KRWuY3wgb6OgvpJap7Q7RCrD8HT9qfYaes
GstwaCJU52XfQA7GL7ryHvXSKsM7xZGqxmZ3rGEVqj1ObFOfv72NNVEEd2mB/sQW2mTBlk4dKdK1
A0kvvYedh90S1m+OZJeMUZhfVkHXxWd1UbnJKRwiF0jd6IjBW4TkM9UjvplRg4VnM6a4gCLjrbXf
G5eu/ovZ+LV/G0KiqH8acMk5QqEXmLsy9Z1XkXtAZzvVbcyzENhGuMCfYxi3CFMq4drLCcsbTFLj
GMSA5fCFcTvqw/IbL6OSbYzKfwtdyEo0cS/iQdWuKjhN6iOGprV/1/Ol5WZoyy65qsSItyLtxaDd
RP5gwEA0ZPLYWboYbofWyCadfiw1ftBtbXzMyAYht2aol+pWVfCHW+aZxOdVG2zjzKzDoX4qkOv3
lrqGTOQEIR/PI3XsnNPMjiieQwHKymVUtzAtCBJqe1qhImSsNCfUiqt6qDpCUNGx5kuwyhzMRaDK
TPmeprHSbbSg9LsTRWWEC4EDvX1CXplol2j7wx9CFC61FmWrRvrJZN2BLpE/6v21DylG/9ZaBhpn
lczti5Z2bvOzcNW22wl/yKm22LHQ6rtABz+ySOtOb04axS60axtLAmejNsJ9URpVrb/ZqE1noONA
ByeA8hXcermeqIgqSpQLFDI9C1bnoukCR30p/KFTnnDrwh1OG9Lh4e3d/l/47R8TUuQ/U0A2Lz/y
7D3wdvrj/6J9iD8padFOQTyQOhDgk3/jbv+PvTPJrR1J9/tWDE88YoF9AxgGTJ5OOup7aUJIulIw
2Eew57q8A2/Mv3Mz81XetOs958wDAzWom5JOS0bE92/Df/yc8KBmQc3x+5xwht91t/Y/yOeC1kK6
ZJ44duajP1S3DoJc/zSuYIeF/4SU/Duuj1/n858OgxM9gZ7zRGXxaL8OtJ3LmhmRqt+yKd57ZRFe
jo2t/oPAgr9Mc1QRoVMCq/fgriwU43/Bbfo2WFJi+ZmSmf4DVacE/K6nygDOyH/61G9+G4//bNX4
9e3A/52eCSUbfgk+I2bnX99OKDNVzZ4T2xl1w/TK9rGe6fn595/k//B2qG3g66IfgcD/v3pmBS2Z
SjP0ezJQBwYhcVol+l1oZ1Sc/wdPFZ4Akj/BAIhFyHhgGj+RjbiG/iolSp02G4RH/VxKeClBbb1K
LyNVyWKrCLWgtNLLWf7F2vnbUozOcET0BMOs5EpvzJD6DCkrmnx709aiU3GIUKNMnElT0EzYdLPe
R4M0HfY+pxqpUqgJJhNZV1wXk2PrfU9a26dihxZbzxvmNjaaoHmOCPaAHpzm2roy1MQPbaH8b1lz
RKVcL6vGndOM3rdc6WrEII2Z4napkDYmljSsH64xU9AMMNUU9D1OnpcUbRmF52keYD0cbEdPV2ZR
+49DP/LYjrniFYisihYeaJfgE5QUvpcSHiuPZ04DUVIUwfI6d+b4knUnZ32Up5hgdTnmtKpycu3j
PnCq8zHzFIf0wOy+6gJUZVua8/KB7WJ+nqeq+q5K6V2qhuKJmEak4W6ewzXfcagWI2/czQw879J7
IWXBJUi/boyPbsC5krpV8UgjEXpo6aZWGNuDJXosu1U+vIQ5heImHVFV/8IhbrhG2c4nXYdF+0YU
bX1na4ER1O6n/KIyrLBIJjdYZdwTWf2iuSM/6k7KD+6a4T1bCGMGdSJUIEkbu+Vw6Njde2B1tAOu
Ft8MIWYYTyh2rMQmxDM78cBqemWUs7x9RdtSl6yo8F5xNTpXNnDmLZ0SY86HiRE0ttVYPM92SIKk
U8zXaztlpA8MfXFfDxrrSU0505M1zgayhYHIeEnS6fOcltOTKsj8j6W/yE8PHv6+Q4lQ7ijnnS51
gXE4ntn5TQ4bYr4Io9lHyM3CQ9JtO5tf5jTln6NoShSNaHy92By1uLWFrQZ2+hpTs/bCsdinHDjO
laTdk+YoaVyUdpmaCSKh1krmqE+bzUTR+21vYvlNylU76WbQi43XqOH8GIPZVOvtvE7ipq448xRU
i34IPYvgjlJH8TL4MuBw3HM8T7QKw4xs8WHqYzXA2PLf7WbdjqrwfxZ1phr3p9V+dgrzLlboAFNY
W2FgsoPJ+SwIcpgSql3LNfbTWXEIDRrCRxjpiitjNUdA5N7vmric1+quJr8WJMLNbAZVD1eyE3aM
rnlYLG9jTlttXCoU5BS+ekXJSl1yl5U8Y7m1Ut3+sLLOBKDQXs6IOxgThuVuaB51Pq6PBSt+tNGm
n/1AXjtFcdZlwWvlKP/W1lTJJTSqcBrlxRRrXOtI35pD6tnHJfXw7yLyLNptOZtc/2ZLACP1Xc6M
ttCtvFckCfIz7PzqhvqEvKGQu+W6iTq4o0RSKlAwe6PSSRzGGw3yO48vK+4pEoe4/6h+G5Y7J7df
mohci6ToAbE6a16+wlFyJSHCK6Ykzeqm3ERFGm4LwaluE7ZmTU9Vkw9kdVLu8KRZMt8YIwms9wZn
UqdyWIp4Iz+t3yVhijRC+k7KFSUWnYNXdKJJnJTq5DjL2hxrbbto0ITSWS6bSvW8TdegP10Y1eMp
/pEzkkkC1mlNw2AtROZ8rxaXyoyhnK7yhhrqzSypTyM9EXfVVpZLeUtcaFmiKGgmAJa6KXZjYa6Q
Zz4NZLq0C9LJBckzne9OKUMi6Ug7x5Me7aBLWIT7sfNIZxxz25liX47+ESh/IqPfQwtrVZLXREPG
BBfc9jaLWdkUN15qGe7BNptiG9HaGm7cchanTi1dnfdlyeGPbm/dbqTMhnhWc4FG32F9DtJ0Mzrq
bBlCeu1HKyB6H8jNjDgaKu9Gj9QmU8yj5afL1SrjwMZjvCkzqp43eTE4I+DgNFTM7FH2igVULuek
FoovaS2euxVePt64ZZWPG5EjKidIpJ/vB98tG96Cq5ZtlcPBgGVHER1hRBlTh+zABSeFNXaf6ZgO
WcJZ26k2Ttmy+HYUgR+iWtgU8021VJs20O5zDX5G9XVAd28mDfNrSBu6OhbynDnPBxSAhczVMeef
io69tXcOBk1D1BnVIU26lp9djJq26MFJ3SMMTPlgFmX0YTCBvlnhDPCJjVF0m0n34tJjQr7qHbN1
9pFFmNG2CSXdFh5JlnJT6VI+ckI3SaiW851rTUgX2d0Zr+mrljeY4yXatMXWny3DxLPIxmXmVG6k
FOeMoAlUpI8kRw1+oD4IM4UXHIgl2RCW0HzUUzndNtp0Nm6lrRu2heCKAc+cEmO2d7YRBJ8Tj78A
j2Wjjdqkx6EPaB1e0wt4us6pJxM8gXcKwQjq7iEFGb6LyJlcdhpm4EfhprafWG3J6B9oe2XbDVi/
Ytdq9bkh0YImAqk4HfATLrFE2z1RY72V6bOei+9D8Wkwb0NNlDHyofUQ2NKXTDs4Q+uo865nq5bN
Nhs680CnAXfkmEXqXoxB8C6V6oIkJQfxsnV9csYN1+49kgnyighcu9tXOMZqvPXQYVyb1ntDjibN
zbPFBpIPC02xjLBcTmYNREdSQt6/rksh6H1dJCuA1LQCAv6583Xg9m510SweVbEagbSbtCpSrx4X
X7EL1qa8JcUrpD2GWkvc8oLriLuPGXMU8s3uT/dHjiPX31hEiAT09Dr1MxSzfMNmkLGwj55xcFvy
baVTpd3G0M7kIlxGuxqbP+2tE86qR/HT9Gr+NMCWP82woGRDuwuWwa5i4Dbe18RpMor7k492IbYA
wthwZMNKhOKOz7Tv2ZW3Y79GGTD5hCe3hq0pbi3lluOxs5A3OWfgPO6t/dPOC9TJd+f8dIB6P92g
rPDqYyxEXBqrQanfT98oGnI8pMWYnfykUJTFsR6dyT/TGesWF05jOdt+kuNNLmy72QOOOQbNlhEK
mHkKjJ7MK0FBO3y4fmgl584450/CmNS9/qYHMEfxUYX6gApyLrbMxl0XL17OXEwyDN+8axXzR21M
tr9ZEOqe58Sh5KfW6komLkHazrWTc8exkRj2rd3Zvdjhn110TEZFbt/QGc+ZqFMLe5e52uGFbs1g
3EkaH/1NLih8ucpwSyybZe442A0zVYtXFVjku84bhb2cfREYB+NXtmHIHn9o2yUiL8z6OYzd3ulJ
jwB5sNjkT6+ZEsVQcWGNQLxi7UlkAuH6gUx+kbHnN7WOC7iTk9LFZcOhH7ubEs2ID2kNZtqBDrAG
k4Zhnk1laehNhYw/JEbDa9XtOs8IxvoRwdM26uju3BWkfh7KsToheDQTkk5ajhTZxBZq8I9gsrpg
a6+6cLdpGdkdHepelzvXsi/tHaZ7ez2rlrHgxsh8dqBV9vW5E+W0GmyLweyrnUxTSVnsYI9E9PiC
pp9NJyJo6MARtFeSXTX470hggyZOU4YQ9mVT1P5H1wak68UZYtAxGUURuZcqdKn1sdKyfSGqjgra
xexy8ymdmrl9lzKP1E3hdiq4gUqlkt5sBXsw5zr/9zir/49G/GdcJX8aJP+3No7kf/6P/us//fgv
Zwj89NefcYmff/h7HYdNpzKCUnKfoFkdzAk85u/9gyHOXoh7jKvYZU5GDEb2P+o4zH+g+6S+g6xS
IuB+Wgx+xyZcSgvZLJj1CSc1sSf9rUAKrFO/zL4eIo9TaD7SfBLU2KD/muOUl2RSlGpJhioV/cOc
Co79ycD4MzyQPGxWJMu1vqFfScWs5dsgq8K+68RgL/qszAfaoyiGd+hh/TEro0jTXda2XvNjHdLO
Ja5wqIzHNdWEd0WZao0LADt9j0w5aA91GtU3oz2GH6Ibyw+zTrNnAu5Sps5T3fXZIKeljL18Itgp
pfYMxz38zzd9tmkU85LJZyHwCGuqW4SzvKA7kVbPsLaGh3FYcxVXykJ2tE7YaONoYt02HXbSVoTO
1yrMcdlmdEQ7Gz4Uq7heTBI9HxrLsIoXm8V/uBLwmwfI7OqNnH9FdnffR4DnWT/RTFFb9i105AAX
Gw7Zm6uM2o1djvAXIeKZFu05kT9I5nEhCDBz3xsvJuZ2taGisjA3MxPuyrTeSI8ZVBBHHPThYD3Z
g5TthWwdVvSY05yTbcm4qcKdb8/OkLilmJ4JjnaL41Jkbrs1e8d9KlXAgtpYouDIQE07SKrw2umM
VvgpO0NpafSXTmio/gNaJw9eHEdaXUzNhtEmnMwzf0NVLSVzyh+XKAaLWYat49TeuiNpuug4r1BR
SOGRJ2DtKxyFHGct9SMlWgpjHKfGC8SYE5VjnSWuIr8r4FBLB8DAsJz+gX2mOglGCFJK2t5s1ivD
zZeHwJ1TKmrn2XQ/CUCGFHOysQnjqLSEOGaQCn5C++tK369mN+JUrLJunw9dXSAQqGHLgn4gugjf
DA9s9kj9+dKnatsUZoVimwlUx8oc+jLm7Gr529wa6lcdlhxygrUN/Tjo7DZk6Ciip5M0QbLGp+nZ
JOAyY2EEHEuGaQjTRKF5pL6u7N2fcWCRxVG0MyigCozwx0TdNoELUclBRdYZEkHtDqgnSlrcgqPr
FrXYgTREN6RMre8t1sUuwfocEezFYk/0sITajtfWnd9CamnvLG0G7x09OGyIvpBYNwv7VJ48mB4x
Go5TeCz/Y/pONulKtfSQRU9S9Y5KQpuhAP80j6HasXvJDcQFY1AK4q+arvjKlU2gF8ka8kPM0r1f
Jrgu0sD0zHbXGW6sOzaqGITM2XdEjq4HPp32e6IpjHcGrPpoZHn1xG+yo5g0PW+Dcejvi0w6F1WU
n85slsNsbee13XM6KIHEZtcVxDzl0fiaO362xNTLtDMfazlwQM5a+9tSdsNkzs2d6JP468TDIQYD
UumfBQIJiEU6w/NdaRUl3wcJbFeIJgktIGe/+ySSxLwuKbWh2Ve5pJGN5epfTXMOWaBVYZpnXdXV
bjIY0FSpDtL3ap3he3UOYhErVBxHm7YtTgpzl5bxomEWyPMwI2gMkS/nflAvr+bU9R/OTLgOyoDB
vVrdHoamDlcFkVZk3kSBnlk9rlbenhjzugzRJej+ojAM86MkhQxIYQgCtSFirLrlSV2ELJpq7tij
6vHaNmf5bKehx0Vn9erITu9/NIs6nXwUfwc8kC1PHbPfVafS9l5FRaZiggTrRzGa/R0KAedIm3tp
x4ZdWLsmkD3pPVU2vMhqCsEbxFIraDEC5HdV13mvZd4H+Vmq0IYkwkirW7hh0ARbVAugiAoVZY7K
VJdB5FOrWZsl9ImDxHJD7/FwXzlynkjZlPp+oJ2Q3nZkxkfed6OBBbI1xHwjozLWkYV3NoQKqy69
oCpeBx3WT8pgsEqqjhC+TTT55rQdRYkiwrNyGGK4MtrxOIH2jEGNU8ZOY3JKB34TH4ZT0gDuAqwQ
FZAa+rPQVb5cBAT3AJXovPyaq8ybY39N06vKVKylK73eiRyG6cYRLXMSlilJLI3f5CsF3ln2aQdz
PsZTgRgFjGzhGOYPCjp6FYNvb+yoDQI0Hmm4t7tU0+A+5YoRQdvFt936wysxg8zEqddhpxXCjFDx
wCQ84L+AYaexZQgIGh9tmGRHjUkZNgu1cRwFHvside64UlLK4tLM+RGlzaS3NnrmFyFK56GazWlO
UrfpnrAHF2dF0FEfYqNrQuBTqPSjmhSRfHbnVK9T6S3BnvIFAuYGjwAAxDv+8KT5mkZAzMCv4n4J
MjQH5EqQMZjV+yEiw24bEhuXHolj85qE/aAS2xwu0z39f1KYEGG3IulyTXNF3VXTOXFyUbbPDWnf
oCoGFkhd0NvYpdr6unZkRWCPyojM0bxblC84JIkCLJxog6gK6HyoTDGB99btECOBA9Dx9LCSXVhG
XTKF4SI3iCSmY+uTAQaIGM4ez7vyegDpSPbr59IM4q5v/GmzjqX/EnRan5fAaN8WwUhgclaZ5ofW
TfllxwWd2IZWP6ldZU4VJZN+v877kPYNa9+jL+8uB5Bm6jii1nm0cmV8dcDqD5PvFEiGopJ31iM0
B6ghrYMb301BGq0ePPdolQIDPaSIne1p+TYeqmrkNpiXyuOjqksKyqc2A3SgdTN9M9CWjHGNqe89
Lda1jaueB9hAftsfotXBlEBnAhrwmdu3qatIKGTqucOZG3xpWt37TdWlxTftWAVNDE0AOt+W63xs
rUF/IyYbPk/BsUyNrZ/fjETgWexL1prGK8IPWgSrfuxAKrv1QnR28Rm6qyFQD3fe1mIMLvDLVTra
RWJaBjBEK7/qG6Kg+DRDLpwxDctPl8SvaTsg7J+29uyiiSBApn3vgLBQfDl99Dl5Q3EB4eE8sesF
+ZErP51iUa39JWbFvt2TmBhVx2gI3WGPGmm+ZUBff0SW7h5GzBZyI+vSv3bslrMSAx3uIaE7lSeB
17lfbUTCY6ydbL6GoydPw2PdC7moW1HFfl5XDGrWMi3x4OfmfT+EXnM+ZFYb7Ru6yo7SNIW38ZZS
X5eaDtpYcg05rDLCusrRY1wyQZPrjLkN3qbyrdUmzzi02A2ySSnkwUH/asMKHVFIjI+yDaYwMWCH
93W1TrDvXDEcQ8egvdHI9dYNC17tJ/x7OnaDPbxSNRAq1ksxHelwdWnW9k+lGv4U0ZpjSbbLvcBO
9UyyDLfGEA3GRT4TwQmGtTTvOuJNnevaas/mwnTeg17rO1HPqb0Ze1dy3ZhdeK+8RYC1Nnan6TIw
0F70k16o5Zxbdwdi4HlHvuvpkRE5+o6WmuDoSDLVbp15KYa966LESeo0GN+8fABFWXtDsgmkvX1O
Pdr0KpZFGxym2vpBsc7ce32/yk1Yu2EyOSWNbCUxiofSMLeBAd4SL77hn5m9XX45rcgfhiI1zEPh
9MbzTEPDc6rs6Oh3Y6uTvrQM2pH6Dr0Sjr+J+u1ync4FhARvZRDV0ZpzgicZL4yvvPU5G7SqrCOk
otpL4yArM7rRXKn3DNwL9vW6y8QumiwPYBy31F0lMjDy2vDXi3DSYt6Ma9qZmywfgVqiAZIAxVya
VruuUnrnUK/u70iZaD1agO3iRtsDWh1rQlWBpkFy3I+UhOgqRuEbSaVC9oyfI+Tfmqav26/6vtdf
X/3le/tfT3/6CawPO5L1/+3Xf3a//Vt8Nafp9Jd/bH/2Rt4OX3q5++qIwvgjNer0m/+3P/y9ffJh
aWmf/GyGuj89moD9+fO4C539r0n7/17/aLR+/8vv/87ak7uI4Zd4dTyQ5B1ZcPO/zcakLto4EJBK
k+8enZqE/m00du1/YFz5Q02Mi4qn/2M0ZtjGBPhHgyUBOX+HtY9OGv1/ssKndjCk+zib0OoyvKMS
/5XntiNEPK5G6J6mjfkhxzy4AXyaub5JyF0ZbWNsuM1Z2gfhI0ft/oD+ynhMVXuhSD/eR6Wxjfol
mfmdHFwIYHQC4Rpn+TRrl6MJbPRWrCrcYZ6pk3wePytTv62iHFEOkmDXluMeRrVE9xVlhPg2xVnp
r0NiIkSMR+HqNw0qqubwtWW43NSNc1zm9BEeytnV/ZLtU6WPVlgZiZrrx9a3BhL786+U45lq1ipu
hLsxy6l6Vss4bkH0gnMAR4Beu1+2NB0GWxIbWGrJmP8EbLrjpVSXI8a86XReYfDpmK0QHet2sa/F
GspdZXEMYd9eEzqoyQieoGMQLPsbDvTHnl7P3SKGeruG/rpjjRLbtnF+NO6aknwe5nHhVcCd2fgA
k3HHoe1HWhjP7pgC2DIwfxuzdc6knz2khYbRCKZD1NjlwSg4ehFJu56vY1j/1sP3t+7Hh6bif7/e
eT/vpn/elpfyUzdd893/u7+1/2pORa7dX3/pl1v8/4172va52v/1Xf0mq4/3j+kX1Ovnn/x2YzvO
P0xyerh5Tw0/p7SHP25s4uwAr1yiErCRENl9ymf9txi8U9RdBB5mozkl+yz4551t2NzatkvoGh5f
fmyyIPyxoP2uWOFz+5eBVuHPnoJ/3ttgOgGGAHgMiohIWyGR89d7m5Wb1HfGEGhr3xsOSzOkfX0v
yKfs0ktk6LmxzzT+4cs87fydspzmSFqVfpjrhkbpFMCcZcPaIVBtkiqVU3MWzaY+yhbIqe7beUik
ad0tQfhM6P4RrGHed62c9ir04ihIWTvCkCNOZej1WGdiPEwtG/YQeZ9u7ZIw2XYPQTOFu2GYn9Br
BolOzcy4DfOT42EIFKf7ltaTT8dEibu4pnXQ/tAmbrbWZzkv/9DyK/etG4phOzlNeLQbw9/bqWvF
NaqGpBZeE/vCnGJqDjJU0u2La/Ufg5dBhVa3fKVmPMJYEiaJXLMZ2uoQuul45ElvSDDdcYy4DXTI
aJjj2ILyPAaLyBnEl6JW+zUjMuDbmc3lJMbLRBF3TWrt3WY2MeStXX9OlLN/IQfLe1cj3dP5zHEI
LOi+VjgfJwCAfY88GflLGG1rwix3WWkeZJCjHxy8Idhpi5xwPQWQhg6HYsOWcjevrKBhP922eCav
FUtNbFZ5dAUH7G/CgjxbwKssLrr0kZ2O+uG2zVvSvT0kxU2WJmXW3VC70Z71hjOfWYT8XVtKkndA
3fXRoH8oGcjtT0C1xBkR88NG1cJ6GMOU5bgFCP3Uk7XuJtlZcCcjTCcL8VupI2Nf5bo6ZHx+Z2jp
GWkH2ZtbciyYM9q+bje9Sxh1lLr2xqTbgxM44Z4FYEU8pXpXWCRNx+g3lgPaxZbRBKgBj2hkkjDf
juvDJMElw77pzpc88G6RnhuHoD3FxeK7RADWFscQ32Bs4tzYi3LgMwRP7MBWyuCzQYGKfqaqYDLR
G63tbJ+5EO8P+RjMu2ptVFz4Y855vmjOM2HrI8HZ1pkTVZhpeNdXoQwRpeSuOEmEgUi3s1WQspFZ
7gXyeuPo55HVbSpsJn5cLp61P1l235dpGveLh2ZYDStWTXvFPQz6YOL6AqCIJ479SRml4sLR/XqG
1GziuoYra7oFQ10m1zh16cNwjNH5zEbjg4zxPXhNmsZ5NxlP4Ij1pumjeZ8OTfTe1J16xPLh3nPh
rFwptBN1XjHf0gbt7eauMSFXgJQE5qNzk3rKO1TtRuJp+VxXbrD3am+IGzMklCuDiJnWMbuYlIUc
PK1OuXurhQPH0TtPmMZ2BtnpiZTvMiZhJwu+FaPEPopq94iZ61ZUgHI2uWy3tTfvEfpca3C8va6a
Q2d41dWs/fO2r/QFYaEHZtj6PsDPsecyuCKU4D6P6vfG1l0slT7AQecbXbenD2x8W+zIuFwbceeO
7seKtRiczOVsrJaySai2vreMCGoJ/PcKJvIlmF3/CbtfvnNqczjYbKpjUL0XqW3u7Lqxrmam2SQ3
1k8Hz8jHNJbXRRo9NE2DhJ9+DnQFmzAV19m6PlZRt0+74rYalvfJFi/LiGSr0puuNqpd2GPuCRq8
On63heDee77+Jq9CHBvTe7HKEQg4JdZfTel2LgUOKep7zZUuDuiLuFmRTiLozb5Sv72LMkh5ZCTH
cjaeG2nt1s5skrrMNp0vj3igzvzMeDHGKbixXWPZSqmeR+LzfenGrdNlSdNmN1mgzp02IMGwPlU6
1C0GD+uCcACEISOSHKfdGVLkW4WeskD1kKiude/9Hp68zBeWRmZs+TArz/tuiRveARffn1CHePKX
IxizucumtI5xa1yJHhp9qecT7AxCsASTRwX57AMKRPN2RU8eVj+IVWl3jpIaV1h2GS4MGqkRleeL
31C16tpXEXMM6u4wxWcUrQddehcBbim46/Izj+YvuRp7j6zO2HezS1xY5/LEnc4u0xUR4Z+iz89X
JR7CsT74pnZgWOetDNNLmhz0JsMOQSZ08JUiLY/L2r9F2/5QldERfrSJg9G2XwaD+wnq4boag+4w
ZxaURWbfTrazNaPppqTR+rsQ8OQeXrtd1kdF3GjjKpfsnjnTdhLwALsV4WjiO80+kJGJnrK3tr0L
KuJ6ckTBXZsbew2OnIRHvDrrIwHoxMXmKJ8InkDlVPdotdFyJ4uzvg2dNW7TPCy/Qsqn7iKDL83R
/G1iN/Ucd3nf7y27Up+hRvkiNSxQWhb6x9qN66bhne4jG7tnA4wfbMQ4ZflxClQf3Q6BzwW+rr2J
M4mG5J1NJvlVs6yUEaSj9KyEQvfyA92kvG+RM0mkXzXhmGE2jNNhWJp8ByNzO2RpszWGqI1Fn3nJ
gLslzkiDPLfLjpKOTo3bClGgBLi+qMB70M3g1IHalYnvqXrHl+1d5aHa2wY3nFGrNbFsVez8RQdb
q5/nd2VWxG/naGW2JtgGa3SnSB7yl9aez7s+CozNSFfC/FD5bIPnshGF2tqV3yNG8+fBaG/mXNpQ
DOuWXqY2mSar2mEUHLYylQcxFjET77s3ZFulBXhos2FnSUjMfDUVcHg2npQqhfs850N/xgdzY3Ye
ymN6MBoTZzXFFxMK2nQQVwTLb6ISG2OG38VK2nk0E1o2j2a5YHmhC9eLesgg87bNSYGlPOLGsiQe
A5Od9VTQgbpW8R6xQzRpUX2H5mIlAaHYsFX1vOErxIM4rdG8GZZp3qiyfM/9BcIAR1jiopbhMLTN
MSrHQ20/4B3k3sQWwKrSlDtvMj6WZs6v/YZmzCpyXpqmYuXsIpHYHh2D4F9Erjf+o1TLZUbO+CFS
9Mc29LIlKArgIs2qRRDAVeqCAQEoLyuK4WU8K0LpHCppjuhzUfNuCldMl4UhMqayqTiUkS7247Lw
065+ZU5O1yQgQtOM6eCUW7zc6QXBOemVq8tyA0WQP02qWo8jzZH3Y+C9BZlSO1WHxgUW5m9VFTul
eCkml6RRTeMZxzD/Le8Y5CJU2l286qnbN1m0s3Sz74KVywgZmz8/F0uqduVUiK0m2ibBPnOMDP8F
8pMIUbHkgJzc8BqDG5cALB3aeTZBT8kPNIQYryq1gNwHBF6pQo/vig6DPrABa3oENGxsbX1KZbAh
R2LSDAmN9QK+VOME+O9Hwht8Mlj5Ppg3DaPa2tNcoJmBuTAUYhtO0xWMYsVu47rtqo9NPzv+xlks
Uk5IoFHErhf9IhXIb9HM4Q5kslp2thhexEJAzdbIDOJB0XQY1SV+wWKMR5oeaMqWi3lr5pZhJpXr
dxqweJXljYEdxnrrHHM+U6gru3KjJVTtU5YjsEicviqyK6s18WSxwC4BmfaItC34Sydtz5H5T/1e
Fd30o+lFMBobNLp55CJNqudnU/vie7aEsxIaL7VRoekYoapLmvrkuQNnHm0cPhVo08D0j7VpZuqj
hRqeNrNB2vhhlWuWJ6oxVvnYcqw9h4jAv00kEc4vR2XykObYzlazc8/LnimlY9iwjoTpp962Xrop
ffO71AcWDUm4ObWijPSwIq3ujppI/4dOtt3GBVradhgkh+OyjHI+H2RpQY85iIrszPAaqoiiivc6
uJINHz93Fq88xXsYLAVUR7UMNA0B1hXTBZVIOWQzPkj7ysNpz0xiG3o8cyjPfIhIk/uI8kqY7HsW
Ovt29XPIZ3KwMgLUlq4GEkVOyIO562rf5GMusrNxzLm+prkN2bWyunurF8P3No0fSgMUpbWw4A2y
tV8m0RnBOR5dn5WoBr7b4AdxC3RfEBvtQcx6Nu4w6eJmqmYVdne19FX0bAEFe4x3C71+2LuNHstU
b0IQk0w8lAkaGkjlnE2tj1tbSGNTj1oZ+7pp6prNvxf+ZYCG1DmfaQUtt8JCHrShhdHn/MuaoX84
Yz+x72QGdGNazt5F4SDMY8KLxJNLOd17H56gxqZO9WOI2rXasClU0yHV2EF7kl036xLI+XLy1u4g
52a1fqALCrs9QnsTKLe3LIaVWC0kDq9j3lwZPdsf5I3hQ+RATMc434x8T8dpOD4ZXW+2KLHmub4x
1YSEtK7QH8aIwDgM9C2yQdSZU7x0lrcdxvSlqUL/TppFdSZP2Uz9abfR/4u9M1mS21iz9Ku01bpx
DXDMi9pEADFlRuRE5rSBZTJJxzw4Zjx9fZBU1SSlElu967a2a3cjkYoJcLif/5zvrLnTMh6SrRqm
LHBKHFV47CZal9aDnRD90VtM/dZt9OxW6Ip52IhFAukoouSk00Xz4o+RcUu23nqJYvqgU8X1afR6
g1cLZwh4oSze9rTfPY+Dk94YyYBxVe80lPpSdUPgGQ4uMgYv+pufO9Yc6EiPG8apnX/Ap0eaNq07
5lMNo9xTnXsuKvAy91dIY84GA2Sz8yMSHFuHIEZFnEt1/mnwGRkFeIqzT84k37pMOOeEWqpdExn+
lnnGZREDrEx+gFL2Z5GSEk3j9I76rm3spXV6Klxg7ZxiDRJ3Mv3GXLcNXEmj1W6uY4wazFzCprGm
zTCIlAIq0+vfNAT5/wNV+X9Povq/TXsWFgLSf69TbXpC6+Xb/9i9tdX3EvRvf+13rQphCcUYHIO7
ZqcgPv1XdEyz/0XxAjK0h1YEYU5f2bX/adCy/6VD88bWtfKN+Ev8qz9UaJ8GIt3CoAXGHHgJqbN/
IlUZtDP8qEMDAUZKWuUk3zS5aO2fdOg8iwujb9hwjxXhnm5olovJPuUrUcV4M+TtwNYRXYPBkkNd
WiZeSskWdIgPGtoXNw5jQRYDeu6jLvTdNApGDYu6D9Fqw5zMvaLwbt7InCe1AFPjzH5yYMiIPjxj
gukipQddi8xVWp9JBp1osqlBccRJyE3UHNgnORzK04dYW/ZIwgNpKRndJNXEeMd3djonVWLB8lzD
xGMoW4833sAFXvlrwEVLQCdAELtXbKeCeo7u5nl+isohSAk1dTj4izgad44RySc/iUqoIOX1bOBZ
KrKFgpPFEc/F1Mbs1+kkE42VBAtxauDJ5KQjvf3MFtu+GTthHnMTrzrzcAJIrh9Gzdje6jhMvtka
rmNvZokm5h5AGE+PIjHbkGFgdEOxnXVVslm7Q7k0jkUMDASrNZNAt6goDI+QpO1I6mylbNu+t+Qq
tkv7DqkvwDb36g+58TGlOWPTlozDGDDK0+/mqRzoUWut6BrfTm3wqtZybrrFPCNallUI+97ZySLy
vjUxq24cm3QA2cwZyJPVhXypvJa5lDmJ9hbzmPuUNxEG4D5Z5lusIMXF5K4gmkWEn5C/ax4ZL4/N
bbtM5TlRLha6nNNwxFc4hAI/2xFJxd1Pc0m0iCG7Hyd7R7JD4/Bfeqhe7ZAg8pWjszXR/oZg5Pn/
TPDPm97bVkaB1jb6TV2YrbXtBigtnxpd6pdBuXelo1kEpgnyb52cXtONljps6eUEYTNqsusqWVRY
pSYMBEW93mkSTIIHn18jzpI6lF2y3BC/uVhCZ9DbmOV0od3G3GhNMZ8W6T66PNizUwJacl/x4B+q
OsE+EM07WYrXAlWgIvy57aYleUoiIYOlKmkTNOWm1u19s9hmEAn3uG69b2blxBREiFDyR0x5V+sW
TIa+vFDld21l+nWauWxfsVV087PbpGcsu6H0kquypx6Q9pYQpTPsi4zRjiRrUWqHeDaYNdYbyCF0
mipbbQYbZ42b3ZiDu8+JqKGuBlOB2ItD0tZFvp90gaV5mC6wSradc+zM+6FixKv2HJS2UnzJzCWc
ZtTLXH/WaY2677P+hhwHm9Fmz3LU7xiWYywRVzmOX32OzuTQgqnKJyDiap1rhl1ZDKG/eAd8wtEh
1/HuqYZfVfOvvKQuj/xUuyGfrmDMAm9zxX7IOLX1E6cuLBJHusLa02DZy60d87pxSueQVkg3bNy8
fuC2uTbS25luJE9/TTLvc6yXGADt/exRu9f7R7NYYDmW4CHSG8H2oM7c7YwODvaPdMk3i1XFnYz4
2GJi+TwC7NkYBUm/lS1TudbWJdAaxS6MjCiBGlLYrHPta6Sj4MQplh/4QN+qPL/N05ojT+p6W3YR
z3UzfmiRH4UNd+NRWD3iBvXEU34pm/YtT5K9gaBy6EzjfS6zSZ7zJcLKkbQk5tMyyu8wFkbY1isL
1w7zv9Fv9q5O6fLGE/Wlo2CkSqtEHjGSKHOX1pzl0yGLr4iAQIQuOPzKz9LHDeZq/k7iWeziLNB0
EMZt/iCz+CuxmneagVniYg8djU3pMmRhHQ1LWDpoSKnba/cABtoPc1H3Ou6Se8XkAYaNQGfBPEm+
NPeHhsONP5w5bmaBqDUkwrpCRCPIhi+tNh4pKWs3VdFWz1pVopWQCAi1cvHvSbxzqM+M5S1TrX+2
zGQnI0gnbieWUNV0kdKznG5ASZ0BID8QKwYom3jPOUyFzZSn0xEJst/kg37N4CQ5xdCbTx5sy60l
UiBAAlpHnLMtrL1tWxefjBzZqCFP1NU0uS9dft2QPbyJVkOxFn/mKBEFld49NUW1s7K3pFozQPKB
Q5tAS9S/eolzkE50KtvqMCTZfqXZbyvoTldyaOpQy5ovtPmd4Vt8QRVst/iR2ddhA1aG8aXRVL5d
Z5Gb3kgOIHO07egSlnYId8H/2kRTBkVnwWLruekURtJNtuxDMRLPpbfJGZGwFIpxG0fkJIul/hIZ
erbL8fsTnkk/BmDde7sqP3xVnbDu6DtXZtvCJgpTrMwGPQ7TqLjMRXLTUCa0SRUiwEBwIwMMxQA5
qDmkltajMT0uy0trm5yrEVz4thEv1qZvolgkhIfxOlc81fAUhvCoDrb2kmjl3sxcTkxiITWTset/
cVR76JvxjOf2k9TwxZaqKQOuks3ST5vKdve9Xt4R5N0xoDku0uF2IKdkucOt7OobU/bMtTCCgVZ4
d/FcbCgiOotFP/atOo6lFcxlTlzaYvQdP+MLOw1Df8q4iCuCB0iPV6XDbrk0kPal/kpo+OIU9dGa
YWy458Xtn5JZOwnN/ARhxgBMpF0IH39dhgciS/HOGKLV34TZZZitbw7nWPiV+0i8WX0WeCmxGh0h
JprsB7wBz3P7DU71YSjkGc8XzkCkQFNPL1VuHOpIORugULdpb21EH98yiLSQ7VAl7FnnNkcLc1sy
5l58js0rQH1pWORfGj05ytoORcsxqSY7PRsIr9a486dXZh9bk599E0+2Gc7COPvRsG8KTTt6entk
eEalOGli6uIgnBEMfYonQFTz0zzGe49ep2mat5rAb5TqY33SBS209NLdD41/GJbpboiHlaVchn3k
f3DT4uUy9xGeV3BR0Xy0MRpsk1H7YJR1jH1/xxe25dLYznl8rIp5ddLtSzWHKUKE7nyyNfWmYn2P
dZEiSO0idZx8cacukc6srOzISROnM/NtqRFYRJ10Cx8jIrb1xkyQ4wz8vdnZa3HALXnxkrVor84F
1w2e+XnXN/PByuydXS/BEpOezEvqA/P92KVHpBAvoOQP7mKsGHYQjXxoOMn6WR/YdsxSZV1DhL+e
0Uk2uiFRYfvP1WhqBHZelqIPCqg4B3Mo3KsJBA8f1J9PXfHBT3nMBN9JVdCOWJy5tZjXpcGQWSeU
DoatQ3ZRDenMcnTvnIFJmduPsLt6+1y7lPsuiRu2sbiHdDPxS7T3DRuNoRtutZjH4mQEdjwe1RLr
G19vA4GAZkx24Iz9ZjTbhwlnH2MmOFGJVxDmKVE/LWsaDktrPfu0bn8asJ+Hpt36KGpcfs7A9KBC
zPk0m8mzUX3yl+nS1eZDVWFtgw/UazAAvebKEeLaxYo3thzIMYgElmpP3Yy/TzZ3lhL3XjIcJpG8
jrp3y1Bxp/nXYtQ41Op7gX2r57vPrfYaE/BqSR12i959rAv6rrDApbjVsM+x5W1V97kpxZH4P66/
Wt8BHfSxYXuf/TgKlWcx0ijohKQPbH6yCD+7VFvvysTu9613guUHUzU5cBaPQ90l2zTbNpd67dGd
WISaL75I9V7Gc7Jnq06Mw7LMsBD9Y2kWL8bsvYp8ik62m2NHFSwBBuuFSJ8Aq4WJ7xwNlPhNmfHM
YF0YltLfGrbgyZFQBW1i5+7sYdsP+cUks8fuZAvNb2siWUbmCKgNea44FybyKQJ08lpWbEismzxr
90OpHe22eWlpKi5yONoCD3itv5oy32U6DTJRvBnlEmZ6FdrInfVSrv43tUP6CLoI6xhrzFvjmPsU
9xvx1DvL1j6543IsEzIVTrLn/Hlg+hoQo+XiGettUQvsolq0TyqeGqkVNrnthFnlRvvOqjeNFd27
zWsKPQBqQenuFuve9AoztBvNQ1H2ACqYMKUojmUAcUx1b9i67jUHvF1ky02S9VRd5NljM3RBMruo
Qv7Fnhu8ivk749etZby1rnU7W+67Ib/kujPtnbghcJ+eeuPJrAQEYOyipfmJQvKYsS+ij3CZpWpM
8CdyZKhRjflKIUn04smGB2mJt1vbjGLeL4qDZCJw5TdKPajJjR7jiiIG/pmcz+1UUyya1Owh8PYe
O8D6kHZIcZD6MwNT2gvLBPlrK3tH4XweWZ/pZI8IXGrrJelgTJLJrZjN92JyGWknzYMxubuqGpeT
P7ZwneL70bbUU6pnH+n6LI2ya1Rk+kfHvVqSO3tm1i7q5BL1+kfbaCeVwNVyUH3szA1gWHw01rid
uYSAiJ2FIy65ZYVtnq0gigqtTK/2PPlxqmvXkkfpbepz3BOGlp1LEsUXDKr+YW5twe6UYX8SDsSi
CHgQbFcXTrrabih980hVm/2QM0HcISrFz53jZq8RBDjmbXAlmAK11w5sfOQ0bXnVAIhs0Wa10MG6
cobI6x98nK1YRgXpDgwoo7PDKqldY4/Lx8DUwFptNBcfdmAUi/VtYOo/gJUrx0uWmv2NtJVG8cri
edxQVePgNWl72ZA5UHESGBh2q7BFmTeuK/a5Y7MvM425+SGtpt4Loi6T9mPBuAmfgT1ItdcoBzyT
YEz2XGnFRpbLgKCdsu9Y2ILf1uOQMTNhyd3GfZRc/GSdoZBdPXaqJ9TSDrTCZnmMn0soAkuUkZNq
UEuG5EjzrBHwZRm4Oga0snBA/kDiYGPx1LOOEvskVcX2JNecw2J6A4kaGWGYz5c2BXuHzh5vDGnN
cxDnlrMbMzYbo8HizSa1OzhpUlsXt6lJTEypkxyXVovJAclZHpisYW/oc2bcUCrvW9PRSrZkeOW2
eiO5okFzMFYtp8q9RF2rbRPHR/vO+ZcHAJnMFVRcnnu58OF72CN3SEj57IUjnc/pjbeqsjsSVcvy
ybaShOj0ZGucIH0M8rNvJMei4bgWWFo0PzZlhYvPsbiXFOkrtp3kyTAD1+2VXHQeYK4buXD7qPjS
jC8ej2X9CP4ixUVUubbKzEO6ZHpjbshHGfUZlwRelYCR7zgdo9Iv8+sUBsHEbtdAetbTxcBM0biT
qy75DM3kmJMdmB5SwvrGVw5wsfs1KX2Wn7EtrVNsR870XCTLeN0xwD3ohlP07MGmcTspLzkI4oPG
fWNBqlwrWYyryDCZ8CXJ1Mz7skvzaG938EDAPucIFQ2rCetZXXrn1PE84nOdwEc1TFM6UvDrUECv
+9gmyIU7/BbOkrZnh8wg2SYgivTMZ5n9XtmmhY0ZyFp/ighDlTt9maOjsk2sPSZuKNgsEpIniE56
fbE06e5NPXlQ+DF2afcOfIqvZe3370KY4o7hUvu16tih5Ewpgk7V8X5igHKq9aF6qQ2S9mBxbBK/
oz7rgvFuROyryGcRApEou30pluY+TtL6NKSRvEujKIoDr1kIoqAlqx1twuJYzjk2HMY2z0metlfD
lM93pPdVaGH5mjcxy8CwRlo4P2BY/9o5kX+0h8wHtWh7903iVWfR9fadbhlA1gB9Gijxda9Cp7D9
J2g39l1TjpDdmz4F9ZHbLTkWp2lnhA2aTE9OUdTrrz+mCCKJ7d9yfrK3FDKnR8J8xaaJ3cra2FHm
WrvJ1T0M3HH3TadihtxMpM+gJOLyoQQYdVMyzto12SyuCktyXjCuE51QYetm7CEKsC1HZ5lZ6Sal
Q/WwmXg9ZCyXz9QY1qcUeMxD1Cn2I9bY+khZA2qbzWb8UiTCf26ZqvOoTqLUD+YIKZ6gRbwfCs7G
adsaXzI3ZyDZDUbxmGazjcwowYWkdVxdIO+prwbQSq4jEkVdnX7TUs/gQsXEU+1F1/KI4Xt2dsyP
LnquI5KWrC9s2mXd36dNAX/RRNF/MStiQNjFPce77kgQPhlTzW5GusTra3MwkH4Mjm8LYIWaywvq
+aaxySHiB4zHz2iuhBQAsA4Hw1eEQiuLTbJ1YzrMuozctPa1bjKaMfs+3/UTQENkOGrBJ2nfKoNq
gM1iVkd8D7G6xzkLzsIz9WuUz9l1pwd3MJMToI3iZDqLCcsZVxsdNhXbZ81IvhoZDqLtZEQz7gMl
b6X0rIfRLDkgWEuLGSlpP016zMEXCbrdyd6ezvSLWhxb6/sls+aLYTcRN5fpXdlYnQ98392dyQrD
tkOV4QiVNkMhEEgMjLVJ+VtdpW1lbFPDpJAk+S306SqDrRs2nhp2uZmSrISGRRKi1LeDHaGodpd+
jM8rURlcwZ7bKg90lT03s/2gMCqOuCAmPCmF/CitfN+SCNTY2rhtDjp0PvSM9jaCoFSyRKEeLf31
6LVYFzFxbqnqFlyccDk8F8HZqNRwBh0TnSw12xx+MvPDKcgnpNKMi51ejc5jRqvKaBrhIG6jpkue
nTa9mr1GvU9LEZ8hgZrfRjYOEH8tfbhqapE900Qxf80tM38xrM46RbMWeFOsQlXC2eEuml11AGdd
+8cu11rMn5ScTGA1VMFQkxDIM9Wc6YfZ2fFNBjHyi0VoFmCJC/kRTmGOsds0XpzKry9mq5tMj9JW
e5OqcSlt16YjFSn9J1itZbrxNH+4mYVc7ka3i5Dd9c55T5WVnUTCNpY/tO/tUT/oOMA+aJFyr2N2
SEY4imx4U52FPDF2zY1Z5tg+G1vf4y8CpuO6y77EnkCO626a0If6iAmxtTAmJPo5QMR9nlVh7McY
s44PwHFbVDeSR2AQUQS5dXyMb5FM/KMembuWxRSQLajtnN0aJkFuySnpdvHSnIeR+su1y28jB3mF
rEWU0JROaOX0sw4SjXfpfedxXKZwKul3EFr80blgu8jMXXXTb66Tvjvg8rGCbLEtpufuteuj2Evb
fyi0lsNs1w4HkHLkfiWeUARRst5ik1fRZxiY6Z6G1fS6Mgp9M9WdEzr4f27dtnphbP81HaYgxcYJ
PCvlkFWWpx4pfiuGCa6HIU9DVzxquP/NqCGzA3AEE2aq7Rxcv4Q699Iro2MNPJUzqfPZcLjwmc+7
N32ZorQQkdyhaYUz5O+NRm57i8CrbpzafhhGSfWVvtQV62r0LnC7M4wIRrtb9nqlvTQ1CmY1TRur
4DL260EBwRg2XW+6IaCN1B45XPgCMkhLlLsb7iLpNBur5HsBFOaGvTc8TZQ+cB/bF0Sb9JHtJ2Qd
m3gAy/s+SloYJLLN+M/M956ZBsyFdjKPqx2elApfWzUfKnOwj7AO6F9C7D0wnR1eZkFyQDgKscKU
2m1uP9seDpRenSTSbjivhxvTme+MzO92VFNd9bMpD2T2zGWDcXfZ6Kpzt1ORySDLGfsTy7sxlYNM
nMCtzriXKk/xeCsDB6HOG794y2gjeOg7jtf1kZDHsJnRDUc3M+5JqYWd7uIzkcMUakZDlZl8ncln
orLV7Jj67snKkM6h1gCbFszSLHu81TzF5cE+bNtpVJvq5N+3ozEd26k75BbaYxon6m4cuWKyfLow
UuhY6xzCy0VPt7DK6gc/0s++3xrHXis+tcZ8LeT0MU2wwOvmylvca0bGj/5vUt/YPbCD1wH5Fvld
bbjTh0S4A9ivLu3gaa9pkrk3DhglNArVQ6Ct+xAiVn7lFWs4TfBhxr5a7hyRvXf4xSFMyQ1sUjMg
c6NvvBZLXt/KS6HizyQsUKeqAv1esLPvjy4I3QUzJyPCQ+G5hzimFmnwJp5O1Lk4Jl7hFjOn1t+U
dhfWU/rcDYt7NzeECBXG8BQDxRssMu+emljobBErHbslPb9i5s+2YhLWp4mTACXWQxuOC+lzSC47
00THLJiy7Icu765H1zwJRLztoI+XNmp7vKpZfBNp7c4WXXJvlAuSWwciqa8x9xkgximV9N6ahrEi
HplZnHG0oeq0Q3TUKwtBzAi6XH+dl8Y4lIbceIkvEALH/WhKotO9+alnKQkmnCGnviy69ymdXTaj
kBHtvrw3E7nVS5JkhnOvtca7MOU+Z0mEZrTlFz2ZoM0E5cclUxuZjJtuFMc50q5kZh1Fyf7cr17p
cQUUMFyNWtGxEVddYNUQxdoFObGuc6R1Fnb6ZDI0cv2LOZRBnfNp0rT5MEzzvlY4oM3kBpBzMKcJ
cOMaWz+npfkAGzveDSJ/nBEfh1iYn/vCP/UIeWAY8zXhuMqC3AhTLNrHaU7bp6nQwqxh6uLFWLfU
OIudAWP3ylXNC06bK6tKGRYw4V62DSjvnTvBtue5nGyJJBDBdZ+gZD9wnM0/83EI6dgjSRzvOBIi
zCwU40nWQZ/Ka9M+kfe/ShGQbmEZgI2Y7Zs0+RD5mJJpbtFlyCDt3LLEK6KWl2QQ07tSk30z0M3w
kcixd0JIO1MwTf2qpCcNIX2NWxDGn4ZIiqHM8u+gf2HTgQbiP0qOINoVE3Ltxpy98qWStv2mr5pb
zrt0+EPr/eTVutIgnxBFDcE3AjsrNLBrogTjz7qYtz3TFGNvC0y7ZtQON4LjCYC8WD9Tx5ItgXIZ
SFm5vnxxyV+iwTnFVzajkjliOmw7N+9ZwH5DWkiQGozJoq/6TGyTfRBB1HEv2JiBFHHSF6oO5vFM
mn9G3MSfpDFAxFWWVwQVfnNA/KNI0/+bZhBD/C2w5+prOf8QRPztz//uArGMf2Hi4CJZCTi/Fbb/
Z2KJLJOPBQR6Lw1PQIRXQM4fJhA8IMLU6fy0+Hv0p6ytrH+YQDRrBfg46z/n8EsQyvL/kQuEF/k+
i0j/r00XmWebAiKu5/krxefL230CT/bf/834n1EMKb4ojXd7KiNDPE9GOnGSNOOuG5/9Ka/te543
o3bUhj796s+z6RJuLyftOqq0aITw6aEh7XXXhqeFu8no5pfvfDV/RKy+hwJju/nTG6RdxWcejDWR
A+ePb1BIt6qjrP+YYvh0oanBawXgkjNiNMCuufu/f7XV8vK/4luegfJLORV2GBNjOd1zP8W3GI0o
QCtEMxNpyMACzfpYTwgu//xVwDLpREoJoRr2T196HM8YxwT7aTkjtWRFykSndIdfgJvX9/rzZzEN
Im9i7S4Dd/zjN+fplS/B26Sb2ijS3VCP+sWf4v5QOgQksljzQz2uv1ooVL/4eD/+ZL9/iVCvoZMy
sMWt9JOvqGmoixhZ4yFbyHw/k6I/KpjpO2NWze9rzn8buFvh03/6jJbt0TmHFCH0n77JpUQFbhbF
wd9Iy23fLVj1luZt1JZvuln8quPrTx/Mg40lCNxYDuIZ7Lsfv1GQArmREmvbUGH21FmNHnpW+xWL
6fKLj7W+7R8+FuorL2GtYUIev+b6Rr67K5GcM2Uh32wiw9BAYSdFWFoj4r4DL8LWx/LKV9H8izrX
P1372NF03bY9A5s168G6VHz3osSeknTCsLDJRsUululC/83oU/CA//DqX19nRQHTX8b/9Z/qoQZg
EuAHeJ0FgNyzHeF5l0mdvv/9qxh/ujR4Geh5v/2PVrbfGrO++ziACWfRCXh7Vgq5Jq7h60MMsvaJ
zD7VyjrnkkFWau1btMSGyBOXy4FE2nHRq/Psc6TCzH5B9bj9+/f1V9+y4VnCJodOt+WaRf3+W2bM
ggK7qrvpYpdHw4Y4lQ0Y9P/+Vf7iSvWFSaM3JZ1IoMZPv6W+MPEZ0II3xagIh+sG3Wcbu23rCngs
cIZf/KR/9V0LumocWrjWasufXs7yCVR7KdMtLZXabrS8V2PwrlrPPhEHlb9Yo//6xfDF+S5TCD7h
j98g/AW8js06SrOK8lAwf7wzkgqYB+xHEZLxan51Kf35dhTchYZLeyutp7zoj68Y2VNKBJPbcfDH
Bk+M99wa3olj/7jNUOP0Za91z4kPKLsVwRIxpoZstnUHQB95p0GhlbzbuUwfYw0Kzd//0n++npCN
KQN0bH5uC5/5j+8N1ZBIsoczq5e92PCWcGaaxXz8+1f58/XEq5BVMykdoAhgzV1/f9UaURLTEbgS
tludKNqEyRjmBXr7uJeUePu/+FAroOGnBZDXA53Pz8tqwBf/4+uZiMANMOIEOx3kH4wfDo3d1RJn
3yxVWYheppTPqS0JCVOAJb2wgUT3pDMA9QLF0OkXzYF/9SWbAhgn9lvTRKL58e10fSm9QvHxi8zv
28M4YHA5TGgJ4hcf/Fcv9NPzDDY25K+YFyqxkx0qtgmhYahfrQ4/twUahifY4zjgDlcYhfkzgSKf
xqZqUr5eudq9uiTv243mR/E3VZo023SRiQhG/Co5dHCE5iNIMzXBNcl0+YsP/FcXlon4K+ibWtep
n37oCo1wTjqWw8zVFjDkhIhQvrsAkUk7/P01bOri56tqfSDw863wDZ9X++ln1AHelqlJmxrJmrY5
5FiA+o2l/LZgnSylThDR8z8Ja+19iarWxcaGN5HZo2Ub/odBO8DnpIhKJucm6BZkNGoOF5BMHBW9
6p2tflN+USug6+KrmvnkBri0iQcfAFG9zdKliV66eu6Nk4uYYmymMhGAsUdwuncaVv5i26uccqx4
SngGlWPTKkag3RKVe13Vq4oocQxrAYDuhVgbgfdLXK+Iwz7lPW0hGFNk4Yu+6cJhcsgujGoyKQ7A
Eb0l65h8SE0yLQMuJRmMV/5CzQAyGc4eegqzfQu0iq6FoqxwM5kzRFg9oQgv6PSpK/bA2lXDzCm3
X9kbmcV1pnIlwDu7Sb8xm8JmrmSZGNSwR+RuTE6PbE4MzzCWiRijM/MjV+Z3sTbMyr/SYYSo9CWt
kUvIGOdxNvhQpYvBJ2TjG5MGPFwpb+ZQrEmFclRF3ZvVmN1tTc/DneuRv9i2qAQYuhXmVNIzVk0Q
LjeWh8zPGrnXmQy4KDhl9opsWnwoBTSNIFdmYKeZqXlj5Bj5t7D+opcELDAbgb4iLNxz4yUnQVbQ
Oxq58rLQI+DnBAkVhklgMY2NT05kJi+D5gBmWEr2U5QNdDMO7oEtoXrWR6uBPCBz7aU1abtyA4+v
beVe+Tb8xS62mlM0yhI4IsQ561b6SYlUVyi5hmTZcQXoTivz2IvoYydiDckIrEANJ9CUb01WAMSO
rIiMFy1kRhz6Mk/qq3io50eq++j8juiHHbCgRtZBkv2FU4+RBeydUY2NEaisMHQiy7UxMUx2sFek
cT/dx6pMKHrFPHNDOBTNw3cne8ckZsFdPVpyagM1ihr8u4tpbjqnbqXZPl5GTU3UHfiebHnhnJKv
feGO6kmumRomO119p1U5lUjAuNV121pA6NkaGe6n0lwm/X4kkdNuCgrR/H1tGUvu0w8hh/KRjDCQ
R7o49AeUF0eFnqDgc8+h1HHlybIqrfQgXDs0GRxTnlrJkcNN6RxAX6AqjnGfF3sqA8kGaXr6Phpp
F5/ptPIVuao8QUjScu8SG20+8ok0VExKCmgf4SlA1UkrF4Y69jxGIMjnNv4K6StamxfbyafymeMW
pRg2xKdUpJjsbNta/E2FDTfasD44GHqHGm6mLzq938XN4lIlUZYwbRzprf9JwwJKmdIesOIYjS7i
hpusKaiBymYHCriEFYiWojTKzklKNzRLxMFAFbYiyua3NxzrKj/EZ4bHIa0UntKGaBggfZ12eVpj
ALV1pbSITNR5DZGgNPExwOGmD41ahpk00pR4uIeTbnmD+Gk/5SD3x3CihO2YSFOAASvrNAsMXatf
CG2P/gsAzaV9sqIU73snouxLk8NOfxkW5Qhc/VbpX1WKWfnJg8FLkNh1mTcop+UsrfLCfB0ioFy7
pl546pBQb7Qggvz7JfZ8aETFHOsHxPSkDGsMzetwKnPsDd/SBBVFpcRR2RC4zjZGY8Fkxg2NDl33
c7zxUsiAqzeqoYKisp5zv0+/UYkRARFre6hGsmmYAuD1KJ5BWxA/GQtRU+tolqwShCvbOOyxxEAJ
okom22pdVXSEWTP7Hhtv7mxzUGw23oA6JU41ptiFh1nG+RXQv2Z+6BwjE8bWK7rG2gsRlxg5tS5W
BkYxxcAdGxn5q3GckhttcaHRS+6zJXscGVp52YH9P/vZsEl6VfMr0irbd91XsjS2eini2u4a9Gdl
kKOxZ8Ud1rOt72+nQYqjRj/tK4EORpVTZJcU79lNlp1iqtxKVpyVnwa1X8c4pmiwgsSpzGIkz8iZ
BDY+IXUKVpvft4n/XwL8N8SF73YbK+vsD4bZCl769387V/lHNbx9HwX77W/8gS3S/8XGAywQ8DvC
FuvJ+nccmXD+5bCp1MEZGSuX6LsgmOUB+DZ8NsDrvl4gzv2XBmjZ/7JIRxADY++mo0X8I1I3YbQf
T1SubiNBETfjjRhoReLnM0TzH+ydx3LjTJa272X26IA3WwAEQSeKlCmVNgiVEbz3uPr/gb7+Z6pU
1VLMfrqjuySRRBKJzJOZ57zGAFETR3CcEqs5CuYQDBu1nbsLoqACgIxBgoaK5N6tIKucJRND2gAM
BFiDSsg5xaoj8ctYF1sPDBa0ixTJfdnH5Ev50iF2veGCP5QGnZOuS2oP9RIU8ozQdMN20h5FyNZO
2VSHBovCpwQe3Xa2guS6gG91jUI9aTr5xSwN273YQghocuEVQceJPPl8p7dIeRE2ACaIU4W8pNWN
GBi0/SDZQV0vAIpQ20CUQu4fljIPb1QNYwcjVEbxVovLtHClEIi/m8BqMT2zHoXu++pUGt33nVVE
3ghpzoedn/INs/x+KKXnqLRM0u1KQliOwhF7E6umAO9JgyX6Uo9Ivg1tuHeodJa1A3HKYvqV82mQ
68duZm0iSMzBtcLMBkOiCSdcJxIM1S5iFEYkHEgD0FiomWjsYc5J2z3IeSR/QW1JPU5QyQv0WCRe
BFXGql6guCa1NYkvlk8AreTBxuElA6mCeFopDpu+LowztgNZYxtTAC40nYIz8jHVNzNtRhvELmC1
ChuXDktnfDrRyt43oaU9aKtth4+DNJUcpNNx1xUk7dKqGRTlTtOw310jjo4io2WrQt3ug05VnKJJ
5WSDdSayhujj9i8aeNZjhPoMtJ4QrolWQ1XKLMpxtVkN3yMAZbsEPCAyGk3xnAZsKMwwBa2rNQT7
XBe0w9Cl2iGibnGmXKb3kEFQizLwimpcQ4EasH75XkeaEouG3m4him8aWdavM6AjrIURdy8GdB3B
Zj3LDTItVIacDLflE1yoGfWYqo6PbQI1cRrwb0lSHczmooJpFHCvVgtOAqEZ6v5A8tyWxUzjBEz6
JGhjy+salOrUvpxReYT2U5pfQqCobrYKRGHa2NlagbvkGPee1qhuiMoDYpKKHVuqvsFQyh2rUdta
Aj4+aVDAVobMhTcaNcvEA2WIc2YLE6QW9EsQyBfAXcaR4eUqjazYWMgkm3ShSl2auGMJIlJ3OHR/
DadFdmNk10mDzjMbKoyw6xWkrVskDilDeOSacnd5wy5UEBAQ0jyiB7G30suYFRp1xTq3xW5hT99q
SI4FXbc3azXc6Eov7Dt5RLwDnJgWzc0WFbYaEEAmg2WjWK1N2SMsUkeF2ENxT8o2ZQXidRRwc4tz
YQb93lahO+HJgtgsrlQGN8FDng+CWeLCF59RGaSugINUOXSjJ6qiEwI10ICKWUL2YIlF/ABVNd6N
asIGS1q5PPpxICmKbnbJhGjQxM0MrWObEL8uCZC+xhy/LZWhe9nQPMiNJNtNTUHZQBEZCuWprFc5
fXg2DYa1OYbB03SJqiW6Lep5Ro0AIggHMi/G5e8bTrTLNoQgG2LXBUqvEjofELX4aLCVgIZSaA8N
x6nBDisDOkMdOy3T7VULCg7NkD5hmvXDJPuoEpSjq6fkq0cNbkyF6pA7AmZdAADJDpMXXkqUTIBl
zHnIHuYFDBDV5BbxUIzUunNhKm4npcesHIKjzhYV15Rc24RglyYF7V2lly/LICwXvGFMWBzhzx6u
1j4js+AD2tK3wLQB28z4rfhVaIDBirPxRQkk/UBWwM+qDFa8UZmI85Z9eYpHCPaIL8bWo1bpSwaL
KkvvOgPMpS0U2OUSeJTQS3LAAEqtShtZS5MLA0VG8bqTv6ribO5KBveGrIN6QSsc0mcO0A13q6Z6
rIQsIFBGhFoPbK6FDy4eQJDfstqWBQrI9mRkkrgZKdsC9s8QXWFugNOOpN0bPAI0R8ZwnwHKlCgC
wwJt9RfcvgJvqTJ1w5ZM843VZTcwF9leOEkisyzkcrRpNXQAnCyHbNAFVr7F3KXZZMMUsPD10IJS
Q76paqs6ClCBqaamyzUcBPXYW0qwsVBfsSuQM8cylRs3pGxUOajkKtc4As+DpU6sgu8cDPyF5sU4
14hteqKWpycMIQMHRqPdMw1PbBOfyLAMOAAhf9L4ilRsolKPT5Wu35Z9jem4yHuDbFgO6HFkZxNm
FCMwaBpHKdFEyNKFBLauopvVr/LiUHw7r2Csgv/HCg/0WRGEwj4S2/I2CyXNk5I5uF3aVV1NKQCC
K67cd3gr6OUxrgH947yOGtOUbRo1r859VXspLB+O9nBuMI6pBQFmjRxu5tXCGkmNCQ5enXhFT/5R
TNqaQ2QHRyYLr4HOumNod/EUfovNGf9koOc+FJtmq02YykuLNuSwuBMrA8kk31oKQ2+OqhscPG9R
gKz2CnjAXT8J6l2S1a9tKr0OklQeK2Eov89LX7iGVJM2SW4MEHFb3B91X2PkXfHN4CyvCcsdQvk9
dlNdhN93IXgoJso+5Yf8aCileFugYLQ3tanfZQi7IWIU1me0n6tbIRP57m0ufZNM1IHRzBjA761H
sUQ9xYZ1bxVz+VWW6sjXW5Xx2MuPjQCiSC0r1q+Y4gNoIo0pEQU+LsmQICacgeq+Ce+yJQkfcTF6
7WMWGnkcO2cCNHgTV2ntRSBb7DrvgXno+nWYAF6rxHNfNkTY0x3UDaTe852MGxi+PkniYurQ7OuO
vG+t4jpUaNGRjb6J+Vo1Ix4TvdRtVt1zmG8vaTpWB8qoCpO/WHZixW6pkJLxpGg9ltREw31jFIAJ
ByEATULlziZimcdAreAai9O+FI3kKGKzxyKmWzsdeNsOAFv2nSQWiAmcoalYjQ8wQx+TsPCyRhn3
g9RITDU8WYwhQB0MNPkGeRXjgVPlCNDHMM9RVjzg2JzZhmK40YocFVjXr8IcxMgEDaVfilZ5aIgr
d6YZTgfOYtj1leFUOjIwQoRXFiP+WiuqABCH6aFt45mUCBlN9JA7Qdhoc6oBGsQAB4XzlczQYWx5
YCZloLT1MnvBn4nsTtlYL0tjlU/SKMYnU17MEUhlNGxwCVhexkFJTTuZ2/45b0Ptqk+4iGTdVD7m
MDBv556kgA4ydU/l62HuBM1XWM6RZCIwNlMkXqxamuEhtOjhcHINv456NLxCCYaFh/ibW5kL62ll
4TK59HntI1Y/vlZSAWtPKoxDWifxFvU2/GV4+QcKIPUe5ED0CrHyZ5L3wGhHvfebPofij6/aEWV8
/dopIKkMQr8zt2S4XQmrSWeulQCNqVKQMZUfesVeNFM4dZEOrlfPNGPVyeWBJyNRUFRI+cxqAWy+
hQhYtBQjNtilYosZrHjuQDOnw9Rx8Dfa6GbiIOurRqTTTyzdStktHm5Xyg1EcCjmOniCjmTUfdEt
7SuTBH6+uoAvimsDDlinWbDrmukLRAgnaZL0ZwfZ1S7hxT529YBCk4gg+mh23xJjCHfgqYIjeagW
fp1eurUAlpvdYv9QWehvqWb81dDNCUoN3HVzwMgwMjG3mL1SFXfUkveaPpiOuVKlQC5V22rs3WJJ
j3kv1/Sg2N4XfXhXd6Wjl9GJBY/Dh6xejDB2sfE8DsZwCSFkjNqPaWkdk10INiEbmEzfEb7QQfW3
t4WJ/mFtLC+lKdzEWYtQWQFTp8LT3lPZVzqjCOiplqWNoLbssWU4gyoZ2hxxxWqJd0U7nJpEqbam
0YdALQEh6n3xo2rbJyWrdwEG9g+cPkJYyYLxKHTMPyMT8ASZ5b0wo6yXjYsEiT9E/7AH9hwZc/Kl
jPIArq/VejPUNz/Wh8TFeAXXWmX6phgCxfQRGg07n9U/IOOrLNL3CZahM0vA5Ak8m7hH5o5EgqNM
46YWtdkT2XQUYooUqhGle6RQXzEu2ddRaO0CzhKOMCv5HaX5YDePmOxOVohyVjpk+y4F+9mRit33
pMm9NEH4CNFU8Idk4EBtBRj9GmPsa5KwFyZGuZIGlT9oS3EMS9LLAFwGJxWbbyRJAOslEzQeVDYa
Da0PeRnTY92Tya4NDi5TTpKS7QPSE3jbvoiSlJxg1CpnAvKXoqubuyLRAqD7MhuuOc32xqz6ywKB
kjexrpPwcUlwF8eKPrcbq8v3IdksU4Qw0hjTbd+all+O6n0W4ZdARtBvLMMtV4MlVdnlsJhdHKsm
AOPWY0dUsRRBP0rNTJVWHaCNzXR4EyKsW2mRsmuUqfXGRSCMluSENXRQ0GktcLfUO3pZiF1jKswj
tY7gjNHFV1OPcl8kSGMp70ZYgrLyC1F0InHU+nGrdB6HJsMZJ2QSA1V3Fp3ikiagLNuoYk01K6jd
RrYaP5urB1Uhc5bXAlLYK3HZQjkpE9Ls2QpPsdlJyD3oo0lLw3Ao0nl0Ox06aZDgsIK26pWlfvBm
tT5KIxduybvPcuBb+Pi6Em6IgyFs6r7kkRYPWg0VB1QjFlN17Zfg/zfi2HsT7hGjzvsw0tlmVFPh
N+EDkVA16ZIx3YX12B8EBG05eOJgpKfkIDs2GkaDdIPU7nEU9OTUwE1oSQovjMCF4JR+X4TCRhDZ
7Qd54DdIMkP/Qui0LYpuI4XVPgb67gqjCUFAblK3Bl/sCUIfbZcEwN2k8uWJ/DvyfMiWQMpPZrKU
gxhr/oIQLLwvYN+yVNzOWYWD59IDcc270gcTGfirFiHxG88+eS7ZdhpsmRdIiMW8S6ZUx3Y37pxY
SEA6Kbet6uUt1huhJib+CHUYZCyO0hV6AgrJ1Jp7czEv0t2R6HC08nM//Bw5spKZ0CDyy4CkE9FF
coo1uHoC1oA8Zv6cJlXpo/fuY0hKMgcvQ7HQ0ZPLnwVDHvgIB2I57x/SElWgkqNE2kLC105jb93E
EFOUyfyGj1uMtgTqdRBND10KNW5I0AyDPoMVGzUFfYabzvaEg3ez7JSKWSmQ1EXzcrHcKIKukSD8
jg4IJDJRNitntnJOEn3fYZADjBTjmNlh8cCkuycRzfE2P0SiOLu91l06HUHMpBtupKX7ashz7Fj1
eDcF8ChZwgYOl5A1rJgKn1iPcGHQZ9AG88LTaT16IVz5cJs+QpCQwsxu0bVNqlJyMqSuI40APAm3
GZVNRST5UVnC2DZm2P6iPjwxI25ifHkgLvqdbJAKlq2FjWW1Jp9N0LxJV2+CAVwaCP5D1j2aVpq6
A0ioW5n0FRFvaVyA7IcsQPC5jqzEFet52UEQhQMs5+VBQlDJRVOQTU3bcF6phNSiaiJoFxjzGCa1
e5xBzc2cpA28g/p2QEc6r8Yzyssc/lg9YUyTDsixXg6McR8Hdega4/SWsTuQhmYGgHYF2MY2xYKQ
q8gnlJtUW9ei3kXYFlfWGb++LpLMTYRioV/XMfbT8zRfJdx4soaleLb8qDWrb5UMy0CuZ1iJpHx8
QUheuzLrnKQWk329pJFraQvJCYG7qThnQc+wXgukj2FoFd+HaOSIgU2KE6Niu0coUd+vKj/kVoTv
ErhHyE7lApccAG5RwcCKSzlHh4fCBf52JPN1qd2gR8jOP+6mc7CI+AGNcr0eNmDPIjrKSVS5o82L
ST0MxY/uZFCpcqcqRNtVABOXT0nlKJJ8b1TBiaLlJii170HdbrVEuOacxH3IOVeNEoLN+evaRJ1y
kDMUjfLwYpYF+u55vp+7xgu18BHj8x9i3oFwy0rFbZYSzsAwjLZawWFSIARxfNP1LUg7t2y/6DFq
WJGc3E06oogLHty1OX/LzOqnFpWFE3SIa0XAA+E2QbSWJJZSrd3WsuIW03JT5tMxlAy/RfEVntCL
mbMSLPOqeh1Owyaa0JIcoj5HFHQpvLwgJqB9i8HIIn1VJFQ8VFm4bSPzGUqhwEhPyMiM6IxXt3g5
TnZClHKWoiad1M+vA8pITqiGkGrz8YUS2EE3JtlWmlWexgpit6/ZFslTsGzzcjZccJWzH1MI9/oh
fMGszxsh70DJrvdNo2xX7xOKpIN8nQLk/3oWcRsDp0sbp6yKpvB1MLNnXbduSTurYKCz2B3CHvcH
wZ1NqqNyRIUy6S5CNzySdAAGUlVYuVO4tFUdto2hBwhwzDOr0JIG23Quzri0OpPxZS7L1wa+Fed/
CqFBlN9aOqT+UDayW9nSBU+Rsnq7KqmjCB0ib7vqVsyImlZx7ul4qSJfhsEY+k5ahMdbKDQHMe5O
fQbMXErrn5PcPWIu5E2J/DKjeglhzOQsBGXP1mLDb8i1QKYmOc4iXbttlsM+oNKaxdOzolnf+pnT
5tQb19SCqD9QQGOALpU7hgPSVhb7xswgOxkAZnfwwfNmKINUvjT4ABR2Fqm5mi0mXhGE4U2pMLxh
JN9lJFIcC8rGZp713hY6TMlkES7FJJH2DRT4a5ivo9af1Q/CKD6narIK1MTKfaZUj5zJLLfqdbgZ
aXKDMuhduajPXVd8N5DGDSW8MXQFj2BpjgescuHCVgYKU/hH/zBE9ArNrgJCFyVeM+ZnfUaqcgpR
FSYhjVG4VFyoNKNDFcoBmjT5NmA0FzAAMT6aK2egOadYzRhHdVqZAbO0QXqMKhwkciSfBPS2EH2y
W7zmvLoWfiCRbdhyrFFwNrFIMBT0ffFjax344Kodyd2XVFZZ4RWO3Zx85Kp+xSoeVTEEBUieUfDN
A/bviKz7PYlSDouEO0t21RCQxwLEzqnAPHhREoA6SFBEnmcLYatKeDWSYSfU6U8TA0JRl24pIe4a
o38JTQgZ8qI8xoaMcbgSnVF7shsh8vupO2QtU26R6gmlSagNkAjEc1qWga+ZIn8rEtFDzwd9DESe
vEjEq8AiQeVoSak5GvR3x5jSKykJu++IN2q1w0ZZf4z65sAR6xtn53Ebi8dhGraR1dzGofowpbOK
wG+4ZoeD/cTGuc1+zlL8XUJNMtKGJ0yRbKl+gRX7xcz75wHngMe8a7CMMBZjL4msMaUa7LoanViV
4ONEc59uUxFcQo25o4t2iy+Zy3bq9EecNr51nfSYJm0EWEpy6S3TX9CSFcqfJvunCrEf+HsoSTXz
c9e0Oipc8hMHRcj8E8onQr2YNjms1O3CAmUV9mIIhO1bvfqOIcvoWpjW7bH9ilGvl7WdWo9wsAJL
83VpPEOFrV6SNacLpuIyI5SgNdm9OSoXsxKeNGQX7Qq9rY0sdtQhKrY5mrb8iMSuPgWDwHPon82y
REJt6PE2MFHtNKIg3USxhvSdMOuo/Js1VEi1OZA9P0zomQM3OmJbJTmxsXwtF2G0ZZBMMOZZA3Mj
x8orF+qfxjJOQDeaiLq4dlYNGRndIL1MfUfpRYVw1of3ZaDe5r16i9kk4ufptBla0dHMcfGLXDt3
JcS1QsO2oRUrfAwGfbYhsqxkSkhKwiq0ZcXswbRRugzI9tE4VgZIkINsal0Nnh2DC5xiUlkpkj/U
xScdPR3RbK1rRDaCNPZYnkuxptKJOOb/1YX/CwjCR3XhY/ztZxP/XhdeP/FPXVgw8FxmTwKZQ8Wm
yoRw8P8rw4IkUf+V0eWkBTAnlgRU8N/0EPNfGj6AcDVE8jsGJla/lIb/Be4ecDWoag3QiWT9r9gh
ivo78lUzdNGwuJ6lqarEV317/RcQNfKVai9BlWtaxSg9Q9CxVYQpiUlZ8GZY1skiisIyaDhMKQ2E
EO169TfDpYdqhfpme4b9IgrYb2ZowZsxGsgUZZVVXw3T0qWKJtcAZnQs3izV9NVdLZJznRP4P6Zr
yF4IaKXHzXZAvjzysLvBNJnTaGm5gzmgfRSsLm4Tm14LmBvebmXUALPtV8c3zpITksMc/1P+IK22
BW8GcbksWIdxdY3LFM7JoDfY8aurqxygq/ynXpSIN76ZzuXYz+UjPnSTskIqMNvA8+HNqG6uggQC
Oe51Y1y1Av6F5vi1SzN5P6QVSklITsNXKwNjeA5jtQ8ddQJ5DdmVOvwmeLPLo/ZjvQatMjxMb3Z6
ZT2qXj+uJnslig4cCt/M95o3I76OAvgdpYUYTN2bVZ+QK811TvHvK8Du7RBMxdSPLEL5kk6r1V+e
ZsKxeDMAjFYvwCnr42Ibt1iGOnMsIfqpvFkH9okyHMJ6NRTsVm/BRA5H0o2r4SD4MnNZqxjVLXwA
KO7lmz0h4mrJNqkM0sxVK7kIp43XYOlMNESM7mstKVXtJG92h60Zx2w2TA4ndv1miahUmnyigi3d
1FZsIL43W6wh6uqkqCtLpK1H2u6gpFL6ZMhFk7laRsp4jzizeNepORG07hROZv2bU6MUZZxnZLXC
wRENkYlcToRGtalh8ahP1ksxs8+xwzTpMMrQtRGtj9UUcnzzhwxWq8jJxDRyEOfpEqC83LORXV0l
47DCYVIe8S/VESZylKqh2KrCAFGugRYXP4t2Ln9EApkrOPaivkVQMcrJg8zJWdBLkjjNLDdAK0EN
yX6WZoofFNmqc4VM+klZqh6dSmQU5U2fhToJ+VGbUaIdNKQEqnguHFHKiy/setk9yLXAnk+O5PCh
BVrEmQMYx33e4W3kVdrUcAKdhPmrtJRYn4phWgk2CTHY/NjponOSlzxvsZDKs5YHEGbDokbLSosW
85kkJ9hJxnk6btBM14fTLA2rTBuJFNnuU2lu7aHua9PVG2R1PFYw9mnj2A+eCbG33Bi1hfYGYMkE
p1+g+qkTywMr35wsbMVFLKszF9F6zr9ibgT3E1q5r5KYyIoH0nyukdjrhacOdx90EicoyZwAO4Mc
T6/JpTcLo/VUyojjUN4reoD20igxDuv2WjazdGoKy/iK8hi70MKySBmKKZJRXhBU0yt+Ayjz5EtG
5gdtL448yO1Rt5fIH3RqqLX4CSPQyQm1lHS3WySQdBKlgpcEiJlT1HI3cjn4e86iZfrJrKkvuUHA
Zt2v0lQoKFNRaUZfq/eRpKOk3qh6ibvLuCC9NuvkyGe1rdq90kjJK8ANJH+B86jk1IJgRl0H39mr
JYfRixnIRB9bW7QVUYI7jeHqkgQMgN1Q3F6BP+CG3pVm1d8ihqDeYB2jGxdTTzF1QVKS44JBXDE3
g9oGXse5GSAbPFvRbqOMEjPy881TnocNFbkReZa6LMYzOvriTdwUDaBKISJ/tlhm/C3oq+7rMFkt
87Xn8fPUKFSnOtosdq+P4ndzmPFSYA9j1deYHGnjJuQJHiFbi095khFcwVNbiMpyIoo7JlpaJWeq
W8p8zoUum71srDnScehCd68DRrR4LXrQpjN1mXXmLGIkGiWDsGo34O3xMVIEIBxoFLVx5C6tAawT
UWrcmZdVhRSyRVOdqrYguxwyyZ7bkr5yOebg1Armk9LyHBU1+D+tGjxFUFp6pqxN5N0VsNukgpZG
yrHiEHLUTNA9mMHSIEazQ6C4Vz0QPy2b2rlLd2yWyq9kZMRLkCHefwCrU6C/28YNkzUw5fs5GfTc
T4hbp3kG2HNbUDlqtlY5pNuQ+g5Vo6pgzRPztAm9pkwnikfgW8lSQUhew/kYmAfoB/J0NrouEHci
CgQW27G2qM7asjQjPmWFCkDdTNtbgQeZOfpASJurBN3tCDXZfovK3fAPZP7/9m3/pXy4bbObFxw5
fkXzre//96ZNNv9FaUNXV3YjNDZVhxz8D5xPMOD0Io+DCh+8PR0nc176b07vyvE1LNM00IJfN1P/
jeejePAvQ5OgqIkQNUVVhoX7znTwIxPC3ykV2irnDgIfcp0hKzDNrJVb88ueTRHCghWcLEWtdfhs
LXB5m23fY/+3Dxct6bxfNrS3/7AS/zNBd22O6oUp0RREEomV5/fmKrZ9fdqBjUUvY6YWliH1m2EG
GFO0D1WrWb5/3N7vFJm39jSU69n+SvA+tbUff709MQbnNmf1ZNeCWFw75JDu61hPtp+0Ir5rx5B5
vBCPVJKA4hsT6fd2+JPE7ke6HHZn7+y7nmfb3uHkea7rnRx+P7n8v+s6ts9P7ung7ewd7zmd+HXv
urzmu3te2+z5kXd7u93Z9Xn1xId3vNVxdlzN29pcksuvb/FKPr+79867HVezuZy9WV/2dp7zzFv4
Craz/oWf+WVj247v+LTLe7ni7fbM5Q+uy6We+ctuY282XPHJPdm73b292zh8ZrPZOBvHcda3bfg8
11sv5hz54cSd8I2ua/Nb39k/bvbrWzf7nb1xbhyXn7lrf1ty8w7fztv4R8fxdidv/aJ8ty2fvDov
XNXnrfubO9+/W7uJjlo/7Z5Oub02e+fw548fmfzJE7PeEUtXIoGK7c7l5J2fd949N7VxXhx/79x9
0tI7bqn2fmy8n2Id/rwyefKL516evp1D+2xvvt44ov1JO8r6jf+HB/xnOwShX8d6W7cVZDDa4RE9
7a5XnrNDf/NI/MPJPTjOP660/5FO/Y5392eD73h+8PfrZKHBk/t8z2jhOX38jIhzn9zS+hB/iU6t
XFE1jGnhcvAO64D2Tm//5d/zs8fcODNWT88n7/l0rm0mzun5mWdpH7cMrN11u9tut5vt9mjfMML2
zsFnOH89Ht+G49F2bnyeNzOPaeE6l4NjMz83+4tzODD69v4/6+N/7q/P7uYdfU0Vh4Gqp3Rxn9x7
5g099tmo1t6F8z/G2voVfumwhUgOpoc45D2fww3Tkul+Xic83XblPzt7y0/rrA5t7nD/6uO4Zr+6
vu+/jvbl7rMh8qZO8NGgfBeA8w6BpnwdlOfd/dlzXv1dbHtbb+30k0eMc+9Oa5jkwfAgNjYx0Fl/
dc/evXu/u57cp5LYtrWfDt88LsCtnLf29v52oPtcosh1t2XcbfaM88re3Lwk9v6OR+26su1eGBDP
lv2wuSGSeK7tu5sLcWh/WgPMx0N11d/4cPKRZfm149NSmBSJkUrAPtlPxNzB5nt/3Xr29Z/IzO0R
RA+Oe/D4Ehvi7sffAJeoT77C+vqvz96YEW9Zu/qJ8H6iF05rXDvduWfXOex2RGv/mdlCsCbis0ps
N5ua8Op59DlLj7+uAu4TD8d7dnfnMwGbcXO+hrb9hVHk8UxYJTZ7ZuETUXtvv8Wy3XZ33l1/7kL7
53W96Lf783Ns3y/2t9DeEeyIQ+crv/78yWgk5vvOzR0xln8v/t3mzn91CPn+nX3PKjLZdmhvmapf
jjc3X272/uZht/d/3F1YKZwLy4Gz2dy59suRhci/HNw7pqi92e+PxOy9T9e79OpbN3Pnr3Q3iyst
srb4J9bl08HxNzdM9bc3Pt7x5zUo3LmHy9MTA9H58ckT+Xi+o27x+wMxQ2RPDJYYVskD/2Psbk8u
Sx5T33bc/T+LnPPJOFizdh8NRdhxvzebDoYxlDRLm3TH6cz8Z6qtra6rd20zi+xv61pPuGRe7Gze
SHTwruuqzIPmwfPTlQ/s7Bs2BB4/rZ/d7bY3/Ovf0Wnu3rm8bWzoVm9dNZlRN8zc3dt2wd/vmZDr
UPfWMXj21nAa2T5DiO4nWnsu8fiwPkbXfzqx03H9s8tnPn4A6+rwP7FHR5BFRbjzH5UW9GCM9fVf
JsSwLFYo9kULPphq/9yhMmooarf5uJXfn/K/W4GSDJ8e2Tr5Pd+/DNoKFUyE+DCOwNKnFzQbvf/s
GXR97QJ/Fz5RavnzrrQ1Y4sijKSaKgeE3+8K0io54ol8XN9Yqheb48RxDw7Lx3f1t1bgEhnQjDi6
oD3zeytSb8ZwZYMGtVsoJSj05zssEBf341b+7LvV7AqII4cQtufmu5DV1BnyrCB80WVTI2SaralE
37jRVp9ji7olRaYxuv+4zd+XyPV5aRL5btkUTc5R8hvv+5dRYRUKZRx4xXaJ5PxeFOoVrJgmJxF+
6ye395emOPlxzkGvaV2a33WiXOVimfcpTWUD+Q6rAN8Yg/xukzzbf3xXf+lJHfCJKht04yrh8/vz
AmyPAydQQLyB2mSHR64OhijpjmqpWOexKY1PNjN/GR+/tme8i21zV6KujJEBYx13RT+XgkrA4EGP
P2nnb12oAbqEIMftQZX9/b6C3FzmuAQabWU1JackQdrb7eJ+QSd/qD9p7G+dSBkDJzXO5aZmrq//
OjTqRjep2KJIPsup2w+NfBPpeuBoqjm7+mSqnwSov96cCZdOZp5pCKL83h667OS6Y6AoJBpRXLFw
RYqBC6FwA8P44/Hxt6YQxKJeqcsQ+OR3iwKq31oqTECGZxAqcHJxzGgTKA4W2b5PJti6pfs97HIr
vzT17hyCCGPVtBJ3pS3lOYqMcGumc/2IdhFm7GpaPzZm//Tx3f1tNP7a5B8dGQvTmEp0ZCSi3twE
mhe3XfjJdP5rKxIUSvSj4Ii/H4uUTbDpFCLwjLHV36YliAnBLJT/lbLSW3zSEXdFAVPVkTwy382s
QAsQc7KAgZdtDvt5KnUvHkr9k5TF34a6biqow4mrr+D74y9Y07iJa50ie2MpugOxOt0jOxC85kDO
76FZV90nk+uvIxChqrXOqKAm8u6+sFPKkEZQIIGRL9tmQ/+VOuI3uQbG/L8fDNRIsdpirJuysX6R
X2axDjo/HDVCRkSS2EHEF3vhDEbVx628O/2uz4mkjqWumnz6upC8i7iRYMY9Yq8NhnB4ma+seawN
omRTVVW4pTKuAHvFIihALANYPYA5rMUhl4hq9EkU+XNYYsyo6qIsaxCH2fT8fr9WnHOwHFhlpKLL
9EsBw6TdYdaXt588wTchqN9nNi3p7HUoNcPbfL/1mNDOAbRJuTSKwW2LmTwAqKmU+3JoTqEurA6s
FRSktJRshfYdSpiRs1ooSp2162eh/mQr9GekwYtJYkZaZFH/VJIaZ/ZHwjDBgxBBbOCWYsHApBgT
4pkmhlDK4mbQr23f5dMnT//PPqdlmRoMKoi467zfHs2yMuW9xEoBQNrEkzpJnUVBavrjMfbX+/ul
lXdDbB4qZFdqgjbHOjQ6wkx2xjoQtojbA678WiZj7X7c4l/viwdMx+mGJFrvYreJk6HCjhJI5IyW
sYATLhA8nKU+buXP4EPvoWSJADPSiaL2bp0tSiQhWoNCFk7l+rU053qDcjtq60DkvmETvHgft/e3
fmTIYrJIW+IfESFISxL4GiuSnozoXAygBw9ygHG8aebtSR5mhG6mkF3gJ/f5Wbvv7lPvw6muSxVr
7bxoDslYlrsq6pdT0gMJ7E2c2MQ0kT4Jf3/r3HW3KSqwIA04u7+HAxypgag1BZ0bS9pTJ/RTj6zs
kGzHwhIrykdC9+Xj7l2v+HtYsNaCBKIAeM6u+JTfW+yVcCy0NsT0L2gRv0Yfz1Xy/8fZmS3HqWzt
9omISHq4hWpUamzJlmXJN4Rbkp6kh6c/gxX/hapURxXaF2vHjvDyygKymTnnN7+BfpCGz4+HnYTS
RDDURIVwsCM9HgqZ6pKNDqyieezzrUA1v6Od6OPBNBoWnYCEQNBYizbHo0DYqCrLQGigufUIyc7C
zCV1H4QC+QTr7sLsPLPmjkZbZ9Gr82qMDaedHHYrkeQRCPcEO5MwwoF4vjAzPP5DJ98J/RCmZMwO
i7LS+uevBmIdJ7mUS73iEdtrCYl+X5WFuK4K29vS9zw8TqOmwZUijTR+fCngF0m1ivga21Tz5CHd
bPLwBuL0X7TO/5or2/isC6MPa8NWh6qBphLUEqzeh2emT96FE8Jw8XY0TuJC7iROZ9JXguMn5l21
iQVCraOrSAQeQ+8PdWatg2j+L7pGdMzxePxyvRqUgBUjJtdkNdw4veoPBRSF6wTh1hW48w5Ej0Ig
/v6oZz4pKQ7yDgQinm38V+V49UkbqYyl61YJO+28cYAhp7cZk4q2QjqJPk1rgR+z/RbHqyG5MPSb
abseug7en2jOAFT/l/l9NbQdjWWtFDtKnALLMURp7sjFDBfM9N7sLYzC8YqAbbXlfLO3NNFkNuPC
nF2SjlbZtk8XBNdtfmXWQJjff5nnnojdhfDTc1czwZN9LLMSK7FR8gQZpsUoVXsgWANd1O6FqXL2
mSyM5D1cR21aeY6nSrJAHx1Fj2WUns2blqaXG5H3xYGu7/bC3nJuKJf5L2C4c9C6J0MhOCrpTMGs
wFZ0s5H20PCEml9kJeYLweG5l0csxBLAM8bXT61KVeFJYEJ0gtIglmwbjVhXjlJtP/yJ1mOGo5GX
J1z35Brbxq70VZKwhdnLqqFuMZmEh3fhA515FgLqNZ/HGLgun4zCKtK9OI+wYsqwZKFUr/0aer/8
8J0ca0wylOgzOWI4Z052J9coFJ53GXo21SPHyTrkkia8S9IhF+owZx/o1Ujrn79aq2U1q2iZ0zrw
neHJc0sTulBUX5hr66l4dLzwOKQm172PPZfy/vEgejdBydXpEdCdStyqdFJfC3OsDn6M4Rlmo9O0
f38yrIZHb0fUDTySUJwy6snsXlSeohJiRCv2eYFKl5upLGl98EEQBPDB5FWJ/dV2hiq1p8nL+KcB
eW3tst5Jc8y+vP9zzr1kPiTeqjq5WeQUx88vBYU3b2LW0Er4w+3pJFfSGS7k+c4N4trkB1ybmyd5
iONBHDUuSVtj/wACBqTWPGLgsEGXVzsX1sC5r4lhPHkcWlrwN193lldTJrKyUmD+i0NRWk5gRUwU
daO20+3hquy0/8MB/H9ro+cey0MlgfM4blUs8ePRQE05UzFgXuh2dnSTDbM61Oygm49/IY9kh0X8
Qwx5emtz6Ysx55jdEBu45hajhGI72TCrPjwKr40LFLvhmsg5eXNZWdGLl8g1RnXlp3z0rVCnHeCj
aSK0P4LsA9sG9xrvv9L5q+/jYdrSaevczxITwug8GTSal96F/fZtlmMdBm0Q3tskla1VWP56GhTO
UtmoMfF9xKL0Vps9c4fl4XU14r7kiOGTN9pfanxhmetudEOu+9oBIXLhbHkTW/EjdBsLdfJheCqf
XjAWJXpsHjE2WZyB9vdukm15b022GG7tfhxNMGo+Tj8NbuGXUrRnlgE3AXRYBtA5QqyTj6lV0hYg
THA1KFIzwyfDmWnlSW7B/GGl2kb878dnz6qO4pOaqJZOT+yeblFcqtlFLCmBf7Vms3OL5dJKWH/2
8V69OsWRHWMG2aAFT64C5JvBy7h8VgfTszD33Oowl4t7sCJfXphCb98gQ3nYjXLvdg0c6I5nEHsl
1qc2b7DKbNr15ypXdJmiG/nmt6b9R47FGF1Y5+u+f/p0rLw1y8j2Bf7ieEiZKYh1yqRRsUSuafnK
flL9uPxSvZtvoCYav0iBTDe1NKurojHaH+9/wrfTFetrbi/ccogi2dWOhy9KhQ8J4KNAgLnb4ED6
J2/cH/ZqD6b8EvwWXgjvj/h2+1xH5MJKJY0Mq3myStuRfnBDV2BVNYMLq+oRGjtDeeFLvrls0Fdi
kbtlIRjr2XMyaYwUfxCr6qqgSTVsphHdJs9qmQu6L2s6kVQ2LCv4RpIvcvO8vXRGnJmzdJcQyhL/
kTk61Q42S+1mgC+qYDWB2tlxRuumH+nysWobM73wRs9sfJRJuCa7jk4OhfvA8Uc0DS2zxg5k9+y0
9+yL2aMe0Qc1WE2uw/qQ9teMxoIxmKIR0wOcJ8Amam2rvsnGwg32/e975s1Ti0Wf6RFar4LR4x9j
5G3XLIo2wAyTDDq5+u7X6BDLl2Lyg3yOsrvWe9JVLD98lPESKKGTNUOrCenheFyBDYKtamayPVt5
RQdmZC57f9BpDXv/Ac99Wy5d6E9x97ZBPRwPVNC/GaE6Be7Q9tG3YU6BxWEgEt10NMNc4racGwwT
XC7rJHj45+RtdvRQ0YuR0VRJVv0aB6b+01i62mZwqvHx/ec6s/nRz8EwFBPxIzqt8OmRZc8ApfBB
Tt3oT9rp8zevc4d9VuY5GvBFfn9/vDOPRn4exbFNNsBDJnD8HnNLSwowpWtDq+vhD0DxsmlwGKz4
Ox//ZB7lZo5EHo1M8cncSJyijtsOv1p/thqsVaa+jyj5leZBN0rygO8/2Jk9FcARD8Yuh9fKKaMC
72Mnp/0DbGZRgB2tJAJ9TVH0A0HaGn+6uRnEXnHWXLg5nRuXVCND0j1HXe5krmAaoueG6TLuWJK9
mXDh+oQZLmaBZSIxGLSqW2+Q2oXg7sxnRJxACAC+iZSdOFkOuAVZkEBpZ2Cawq0sWeXYfdFb6tL9
+v6LPTNDPfY5jMfJF6+IqeMZs5hj7w5jUeFSuUBB7xdjP2N1dAU1GdNJPFAuJFnOPRpX6rV0Qq6Y
y+LxeGp0Y0UXFc1hreUc6DwzNgX2p18WLL0uzNB1Bp6EAR5RFHUGFyk9B+TxUJZDY0484+An4iT/
hIX8skktW+7ef4FnR+HctQ2bSqD/30HyKhAXYAULx2Y3wQtebVUkvBsJZvfDeTBMfWmwJATFgtdw
16vwq1FaSdmNbndGye0Jy0gBp/3KSqmpbWb6wNX+/Yc6NyvITq33GIIKmpGPhxNicfDnZd/Suu7r
0C0PBd2GgUM8Fbgq/RiYiZolASj5vVU+RYqYe93xaJBAU8esWdwNiKtrIM6AWbPYPYhpqm+Wcekv
PN2ZT8aOTBbap2OVsunJLolVYz1ONAQE41DX1GSlMDD8qvToUhRxZrIzxJoUIz+Lc/P6Q159tQmP
etklrONpGNxiU6Ab2LhZ5SVBkkTN1w9/M14iZUkECgCnTgeLJn0qO1qhMGyhTWvDz1G/ywYXY7zX
SOKS9bfkx3dHTmwypcQkVIZPj+0FA5lJTqv7yJBEYYbVgmVAsmh7kPJWBAVkmvRx8/5jnnunBNX2
mn5e80zr1H31TmWXagASLWLMNr82qCRucYwHZW0Zl5Lrl0Zaz4ZXIzk1kjAUQWVQ910yHNiqu3xb
zrj1h0kGpP3Cg505aoDXcJdfYxPOlJMHwz/By2Wr4y86LR0sB1u7X2Ctb5Tdqi3Q6fnaVUn0/f23
eXZQZ91WWA7clk4GbQp/1BPPLIMW/ChGjXn2rZidb9Ipm51wlLkbW2ldGPPM9YyNn6gabSqShdM+
cVAFFRhN7Km5KdFuK8trv57y73Mk09+wJ4ofdiGaja2J5mCMU3HhVHgbS68VIbZQImp6rk4Xv7Aq
l+7sBJaCO+kPPZjNAJBp/FOLVH+3eFq0bbH2udPq9sLJ93bXWacrK4U4moTC6XFUdtAsOvKTQWQg
GqKcEWNLlBoP73/Qtzs3t04o0VgFcPYRnh1P2sEte5qoJQmbqJc/4kUOIBiqFrKtFU3VD5pl45/v
j/j2ha73XFJqtEQblGRPNjnZFZoUDRFE0SXFSON2ad/7/UIbb0NJZWebJc7ZAHOGIKIJ/pJi4dzo
/0Xxug3gkjj75Hk1qAW6RRgqaoxCNq7GwsRmsZJj6I85bdhJGS3jpp5EnWGOpul/33/6t5uEyRlC
jx4lCShU/3X/vN4kqEYQJrNJAOYxD/zzM6txVDFAYO0+PBIpUjJDlHH+S7AfPyl3B0zEck7JMvLd
EvdJb5wDP6Oev3MGe5YXtqO3q9RkHiGWXaVubAwnL7ZNtSydupbjBHflPxwgm2xcKR9wO7c4+1T7
uJjVSz269T6dTevp/Yd9u1gYnVS6R/Dtrgiqk4ftIdv2LaOjGktv9NoRgZ2WxoeX5DqKR5GfSg/y
0pNAgBXiodAeiRBHzcegz/o0eJN2+B8exTPWVY/S0z/V1LTo/DQUabzIcanvEaTTPJwIMVzSgZ1Z
+SS3DVKVro9s8LScRO3UBkzVr85EmEn7ijZHXy/iA1o//G+8TvtwSIrYDFMRamR0kb5Rg7Ux1oRq
/UQYuplYYXv5J5u817aIJ+v+/Vd4bi6iusThb01Yokk/ng1FmgjuWzNnvju2B5EqKySZACN5HvND
3TbiWlFrf7CbFAKNK+sLS+HMHkMYxysl64QY/lQXbOd4jzaC4DuaYs2gj99X95aX4w0kJrd5NAzN
Bv5sJerRSuK5ufDwb49oIizaVyn2kAF3TtVSlYanu036BQfsSrzwMRInKA0WY9jLOG+ROWbZF6y9
7P9hw2FgtAV8ZLad09x/lyStAq5ECkxX2ObyCw+Dt8hn3e2zC7HryXJn5fmoeXSXCwB7OJHd8QfG
DqMsfGtONmJs7Y3u5e2eBvX0wg56mtT7v2E89jOBEw6X+uNhSg4okZgm7BJqFJ2f91jGLdq2EqmG
K3orPlFPLK8zU8Oaa3ULo9qJ0Uf3wen85mecbG5WLUagTUaCky7Qtsl2mz2B4bivoANsMn/ZVg5w
NVYziTeEjNv3F9PJifXf6Ij7UKuAvkQfe7KxN1VSJanbJxsP+9hrWzkzvtmYdFTJcKnMcO6zvh5q
XdevD8fFdGe7GLD+8zEC7QCcbQwYVRc+68nG998DrbQc7pGr9MBf//zVKKDXM1smKZYbSYOXpUAB
G4XtXGfNAZC5L766dRd9MJpbB0VFT5WP/vK1F//kLZo41jY20GRoDDK+6yYNJ2Zm8IVg9cyjrdxS
ALAwsMC4r3vDq0fraRSJQOLgkIltR3HT69jbXuFo4xo4iXQYvyYu5jAXUkInG85/j0bpclVpMTaX
keNBMSGKJLaTyaaYRBpRAK5xBwvdpR3x8s0md/LDzpMDNE+QMdmFJ34zZajnM/fRRSC0Z689OZKb
oXMtDYvW0Aa3cSUgF4cOotcLo5zs6JZDFl0YhFF8QJNa8MkofZ7QvFIZehgnczxgnJpXn1MFrk1z
Jm3bzpzWRVmXO9NY4gvb+Zvlx9AexWe0cAbllFOcpp9WIspSMGS6qKR+b9j1oJ6SrjNA/KFvabsL
1ahz47EuVtMwLlv4TBx/TblYuRFptRHOGYa5eHx7Gywf8tDu8Zj94M6Cfx45fFL4iJtYhye7eE03
V5Mhp4EbN8htpMplM3Eus6Wp5sIHPIkI1g+ICoISO/+4NofT8VOB3lH61I88VSuqGxmV9V4DVhMa
mht/6QZq/NHYp9jrTubtiM3xhY/4Zl2uw1MaIahDucNMPR4eQzCfGBgCC5PU22ugSwLLaUhMC80k
PqjEw/tv9u2qWJHCvFYmD/Hif72/r/aBOp6yKIXjGGIPbF1lEO3BwGGg/f4ob5/qaBTjZFVkYFCx
pzRx59TAYcbwHsN8QnWnS/9hGEz7wj5zbjiys6swmyYKnu/4JdoluVOcouMNmxg2lrvawt4clqeN
F2wfeKUFeGKLGWhi7d5/znNv06QLEAks4kkSWMcDS1KN6PdxtDW9ynmRGWXMqv2gHIiPhNMJRwMZ
HSpArPjjQfJqzqXjCSuceZwXX1TlhipGfSED9/ZRaH7AK3RtyXCJxU/eYYqlQDym+EMbBlUf20uq
rYZ87fDRF8Yoa46IkiiJqdPUVFthC1l7GvwQyyAyo911l4j20nx4u1NhLIeACikcLaG6s/75q0lO
qj6aTeWl+EvP2FtJwfEGivNqiijWv/9Ab464VdFETIVlokuj0OkR11Rrh20CzQ0Lsfj3kvXFo23H
aqdSe9q0XqVdxyRRL8z3c8+HEsKkfossgLbX4+drFl5wrHiLaSIVJWNk7K0By2vS9PHCSj43FCuK
84X7CnmRk2lhwyFJaPuigrOY3edaVkVYYbH3YiEw/PBiWjv30CCRUV/TeifzXCwqmWuspjY1dmZ7
v83/NaZzSXrw9nsxHyhHoPlfj83T/bY1dVyD6GplArrzt75als2iWfKWntf2Tsg6vythy16qjb1d
XMejnuwTkYP3viVxrjb1Ybka6gTWZzsYV+/PxbexCEVNMmgcm7SfU988nhb2NCeZwrNyo3l9cl9k
wANmaA1hYdXGDabIoGSTMTKvLNlFP98f+twDcohxs8U2lBzIyQOCIqk1bYJdlzrOtHF6I7vNOnEp
k3R2FJLaVPfJ9tJCdvKAaY/UFh/EDdwAzNXqCu9zhZva+8/ydspzp2EjNFfXLGpxJ5eqyhVFqXe4
14p+ifp9NdatsVtSCMZXqjC67sKWuE7rV8VFHoPhaEbBPItbFLfJ44caMOFdoZHpJlqAucaZWh7w
2gV41qy5Kr8f/AvT5MwSIOuHBGfNmxMen3wr2VmWNrhjuvFcoo2u06lZuVrlXXFRgZCAphzKDJTr
7YdfK/sxohtGdTgzTz4eZCKCLwVTIObw2QFyXCDJ9KR0Ky7zlxrmz7xUgn+HkhwLT7xJlfmlmF0/
VkA2OmigtJ4R+oWoD4CwJLjJArawKvzbP/yEJFVIY3HAYRG2slNfHzsQbscWS7xiU1IMBUpgRY/O
2JlXi1kNv98f6sxKoHDFMidRvDo4ngzV9S5VADkUGzT0bjjo+M3ni//nfxmETDR5DtrATq/DQq9j
9HxdsUEAPW5lKcSmHP3lwgn6ZrmRPuEYo+5HzmYVuh6/tYnLG8XFtNrQV64e8HP0N6Jtxr2cdef7
+w/0ZoNkvuOuS+jB+ra4rx0PVeI9GZc5Vvg4mpuPEcqs6AAslQbXDch5cA6c3KMnQ2usVfYjBUBi
XpgilFDffDruT0glCZBXJQiN9Mc/gutcRsMnwNDZFhk94Npi5kZ+P+RLG2fwUqy2ANudYCKKoanX
tGmOHXghnCzUKd1FausnuLTqX5fCnOXPJEOLYR1GQA7ak3RLMhTfsalMy/TK1YZW+1MWqQaVWksE
4CwomkOZpVsxxiIyMVMvByUw2qXcm+47P23MR9hvPvgMR8px/feBJ5kvygUo80/vQLd9XwwQPp+a
wm2KPyqzOqCz/Zzo21SrEhAAqd6lxXVfp8k11DYnpTiWDvPzJMuOAjloqyZ1d4aVlD1cp2wY/YAK
m9fcCcAQIHFNmXtPpHcM68ahj1L88Vv6nr5lXAjNFNtUWellyJsp3M2Qaykovm6opui6btKiC6nc
luNXfdYcWiWrLoVxWlAkB7A6d37zbbLMJv0MLlwzr3KsW0kQ8iyV/aLyuTeXjanGybWvGvjmCyAj
ADMaTAcBORaWAjzZcd8VSK1AF3iD4W7oTEkSNyx85RdY89eRWBFS5vwFQ1y9/JPXpWMk+w6XwO+q
5To7bICZ1Non9LJV9KlL/AWxc6+3CRcVoECbwkFZ8owdO57wgbmU5fK1dmo0rX6MbcR2aoXqwt61
8/QBTHLN4tdMrfe/Y0vqtj/qvsllH5JkKvuvbZWSdA2GMs0bsJpa5EOWMY0OB9Bkwiz6xY+XXlGv
TIVmwW0wmn757oC8jL8ltjcobYd7wAiWPe+HXj64sq8HyKmSqO1hHN0Ken2Xx+OchmtVlhg7mZ2p
+t64dOtz7yprv3taZnOMpgBz4UV78Fozzn9bnNhGHBaaBhJrs4xNanhU/IXdf60cKey/xrJYcUZS
GiAOOJJ4gM8WJthtgxvHPrZquk3sV2O8wpvK3H9Mo7lAs97XDgyAObbL8sWzMwEdCL2EhCtU5b07
/mCvHAwRdL2VLfeqh/LZ7rUWh1czMNKyseMwizuzb4IEWGf0F+CxYTOVI6elbUGDAyGePWteWvrV
rWlphjBONTW/1BK8yfVo1NbyzSobsG2mH3XlI52tEwbSfqTh5gvBxwXW1UXlZqiSWdyBA4to9icZ
j4mthnqk21S9w+DNqNzbeU4d66lLvX7ZAQFgBwqR3bVSbNqo0mPtSs05ldegVMB6X0qrYKHuCjFj
0QDZVixIRMpUKxtxYzZGUfvhEuHHOe5LqdkuXsXSIw0IbQQLdOOmh9S1+KE+FP3yB9QXVaxNBGmH
RnG9giVs7ZAIAbkNWl1bZj1IxVKOLygstTQG7cJz3BpGrKFSxeMHWXIwV4CUf9qqmeokdGOxiC+O
rDFOoGtnjvw0WDokMn3ABmv3vwuYFlKCbYr9pg9XPUTbXrsgUazuU1YJIHCHBhBi3e+bibZguBpc
ClxnU5tOZN+WZuoUPb5FiSzlAT5XD1Qm1/2uDkz8a+zQsDStxhq6H73aOCxmwfb1Lcrtue+/wHGB
h7Zt8XIe9W8NGB7WOK1ntpmuNUnNvZu6ZZpuPERDrbGt48Uag9Gfe6CS7Ywl0MbXxrS5L1I1qyuF
lwf0Jx3qVpYGvm2M/h+vMKh57DpgXf+6OhndG11krfjhJkZbPYKtFQrVH2IlhIc0kVZ/DJM9OTAG
ogVcqWGW3ggH18LHmQty/yQ6rIH3Oa7dxk3r4UUVsn2JX25XYG6U4Ep+aKIl3492pGMQMapYD5x4
jO+cyJCffToPdkbuZ5+pq9XUewrXb+1HD3RJtiXd1EDXoehdyc8ObFkad2tTWdqzYZL7/s0zJeZz
56Q4Rds0I/l7fhYlB11mPdymqczN/QoHyG/auYzsjTMSpodZ6hvq2ewND+ivVhQKnq2d+fkXI0ty
EG2cwNG9spJpvmW/q58XS5/lU1zCNf/tLolXQMPVPPehU2Lxn9ECqWrXVloCqVOvh3lPrArVcpjg
SlhbpRXR38pv9eYe2SrsnClOJv8XU7ZizkU6cpeHxjHK8o8fWalDU2HDe9hWy9CYfxNrIDsNI6Qx
mNXMETE92GZBeUor5875Ws6LWq6lllq09VtTlGdPWP93oryyxtZp3Z2wm3jSr4Cp1tDIltFLm38D
IBbxd8gsVY6B7HSr18K20yzjl9FMU2/SPV9OzoJVuBjaHDBgFcdT4PvgPujVqOSqSm2kqSAAO3Op
yr9uXwiBr7+nWjplZWx0/k9lpfhNuwn+8BxKFRNdBijDFgeeczWbOGz3el/g1yxjb2r2njfk9J9T
91B3iWaP2L9HErsgr5rYz5EetP1LgS60CeihwrXcSPVMDzN0IGgs9UqjkDRVQHQCkSWW9zTFFE6f
olEr/sRlnXpkK/MBqklf60+6RsYsBO6smaGr4qb43faL9wWBFye2Xwg5PTjlOF3FrK/oNpOmLEN2
H/Xs6RR+A9AE2UuLqOdLPlfpHyexgY3U1WQ+1OPoPNB0GgOt41h4iT29wQNebx0M4pXsvxIpeKSk
JW76e7VgbLHHzCRa0YWRNWHz7TdQ81qBrAW5b/FU6S4fa160Q9PMQt+QG5UikDVuByFCPKwIbJXn
6S517OiW281cBHUBlTXROL8PdWcoC4ZwOyLB7rpi22BCvnO8Wbd2lijjPZcPHEPqOasForYVxVgX
JRg+/NUrsIfEK/uR53gx0WLmoYo4Y0I7G/goCTC/NISnbXTh3Ix9dmiTwZ0Da/DQjuEU54MzT6Zx
2CSz1k7XMZYXEFbS0r3KiqabsKsZPX0jNI6hQF+HCntM7dF86H1khY1eOdCVJ2PSEdnF8gvbnfG9
NSuw7sbst9+s1I2/2aBO/0kqOw96g/UJb0QDISqTijqScBvBeqhSfwx8ryVYxTSmdqBUFlP2UFXA
7/aG1ab1Yaro0dn1ZmdM3zK6zNXGUoAkgX61I2WgiqnptH5hQafwRBWm/J3P63cgEz5nEHE6QPRG
SIxSuRtrIRZBlzgXHCKpC/fcKXvjpz/axU1sVgtUD5cXFdCV05n7RFsUHeVLkv6o+DQJWPIc6BZd
3za/tkRSZNt1ieyvyIyQy06xS62c/0salhg8zrwSjk2qx09NhuH5lRVHowHuSyL4dFLPr0Jw8/Xn
LHc8IAVGip+N3/ZwsM2qFZT0/SWDxrO0kAXlgLI30GxdQhXAKsHeQtOtv4wuDPWvRRZDxRodIGMA
uNy6DTKppunOduOaNuvY9OOwjEdX31R8z/qTWoRxVcVpYR8q8CARf0mziC7dXl+gjvh8w87t2Mza
JbHyXVnAFzKQVlW/dGDJgeaxZwbKmfp4I2PFf9bMXD/bDv5AxOe4iR2jFIf96+epa+29nD28D3K/
zP5mC+jVvw6mK89FjkH951QmCYQ4GL0NGIBY8Cx6W4ZES/DzyhG5x3U0NfaTYc+td12CJsOczxzi
L4sbg7OrUd7fTANAz2AYR4K8YakBYDmVFU8hplM+lotySu5nZeC0b/nyNskrwAydMOOOzdBPkxAg
FRsjxFnrW2OI+YdWZZEfgHJL9C9G32FXYCNxKJ6zRg3kxrK268tPLEtoJ+jhOfmcKBHavSSufVx6
DVsXURnJTaXbvR9WuH4vMAmqLN5Ad/fMKz6VPeyWXo4tU7X0vwy0m6RbCGZdFMTUqOVVMkJL3WVI
daBU0sbk7qIuIh28aBEEEVlN+rM1aqsgim7OdEcSsoXKOqAGjSYZ7RdjEHgQ2XFc7DXi6fq7TM0x
qD03S8I27tm7qGy4KwSYFsniqqHf9Z7cm5FvqB8N+gHujE6HmMadhfXlJNqwt2wxpVdQZJr6hliF
W1vGZ0mvSDLw3xFpb4MdmCxa4Wlgkd8p6xd/DegUf2RdjX+wfpE/xzjLb0sbbd7O5JZ+D5w0eywj
LZ82ggn13JvAIvciM8vHJtMEe2ahL+bOnWA7bxwR+QDcCSjMvaNPenYw86J9pM5ux9BD2obb29KV
5peGHrt5SwdSvZFR6nAWaJxaITJevLGiHLwywWDJBXUAz3xPVR5jioVmJn+HRl80O81t3OlbWvpe
dugsWBJBNwh3u+QD51DQJqXZbaGwxEngaJp8SWM65wNEa6J4TPt5bDcDrAxzz1Zc3SGiiGjxNReH
tpved4DrghYLEFL4/0RjTP9Ep/n/WsvmZjukYPLCXvQ2RUuv5TxDYJcn3EMKYxvZXM/RvaxmkWDw
1M9xHOl0iaVZZEHrL+ZviiXcgTpfzwiRteabF7nVr6KcNfPapDt9rwvHS0LS2Y3Ch4Ms8I7OlawO
IQejPZFS6U9DFQ0sl2qJfzhlPX5yFiv66Xez9tCbRv/ga/6Y7WsiHuSTnU1XsVtQdNomaap2o1W0
ydbXJy8KZJ/MdyAzJrHLrXH65WJHmgW2Nne/UxOPBFxeStPZRJPh7sHVD4LETbz8bIU10Cpfe+V0
NWSt+Wscrd6lpwcwUM3msWzd3kvvjNQQ/4y+GD8NGnnwnala5+cQ5+mjtHHIoKUxb697JyZEsimm
wPBF4zNcQT1x540ak+LfpIT2q2xhHrK/zfPXpOqwZGmrJZef00RZlE2Lofyrw72ew3GGh7qdNSvP
UW7m0HuLqYZAVM7qX+xY0Y/ZrOOHniP83sll9yI72yuCgbf221VdczMVSifWL/nmAf4rkx7mmUYc
mOdybdu1WmQLAooQHAIp+09+wzU8AKzbcaua4aps6FtJ7nWjmMpdDbGXjDw0zGk3tPPQB6lKbHdP
5VJ/cUCIO3iTtNpnq7FZ7gZtly6JKu7wm4m29iawXPjCTEeDwjvI0tnfjuZEC0c2TdX1Qs3X2kGH
jZetoTrKnp3VdXs35V0HMKM7J6ygLMVB37pMsmiwrM+R8uQTyov8cTR68kBc/Po2MGtfAZHEgQE+
HiTzL1ke23+Hys/vxjZp4+tJaqa19T2CmF0D3boLs36tqIhIjw+6cvNuN02+/8iZXoHSBFt0k9Lh
3R2aKnd+VIOp3U2pttg73ZPye0zA2l+7cQMLzo9mWMJtRo9Ba052BO5Gqa2nT252pXSrTEGu1NYf
T5kTIqAyym+spVmerLGvu7CxWweOqQG/J5j5MvuCUuS4Gwa5PEfxNE+37BZ2sYPiZ2wLywO1szJa
CGfrmMtdxMPzdsBCPXPpNh/hecdfs4ZG3yDplG0EMdz5aGNks/iXJ2lxQ7vfuoWTvXJ2zZDUbkgX
TXfvdvOAcS/eDryAZQQqS1vWZzzdzAli0QLvcfA0R22BcxV2qOUrFX4YeUyfJgh8IIvRdQPWs/Wb
Cl/0TdRW+91CTv+DMsF8A3UX5lEnc3iJ41D9IROY3zd9XfxKQdQeKh6zCamSc/2dqBLhloHmHx3c
6EcHs4TBxbj9zIzSom7cRsIcjEC3IsWbZc8gD2LY7Zcccw8u+waqCHZPF+Yvt9QxwMQ31W/qWbN/
DHNr37lO2vzMk8z6Dr4dEnBr5d2vrMV1Kphy8p9hW1QO6FQ7zY2gAVP+kwozQXIv/RiYjpqaYOYl
3gHygCIq4qm/BaRGkCL0Hnhj5OYVbV1Kc4KZe8eLhjTrxQNjxu82alpCEG5Ue6tOI6BtQzNxBaKt
lMv/klRqHxXaeBd5KxTEoRTbBUoabhy2svL6LVETrCurXdJnZPrRvdE74xAU3I/Al8Vr1KaAbl+V
Dn6EwVA7bhXGJg37114zNz+NYbYencWH+dxqS/lQlZ333Y5NfT74WZw91l1a/e6QWN9hH1HNu8RJ
/CmA3ms+i4lEKkDZJqH5P1H6l3woOQIiiW0mW6zjPkylcL/3Zs1VDhWx9SSHgaNjBHNbbKBhTaDr
RWqC8uSSTOxrVv3GLHXtOfEqbOm4M0RcSD0LI6eWqOW2WMoO+LyVK6idSji/NG3M461UI8ZHKTfi
MI+z7HNpcp8gD0RNeZ+rKL1tFowS4Ib7+sFrM/dvXFjlNfp1ohgYw/pB77zpkcyyqzbIkKMxnDzN
kxvPrhHQ5yTEsMqkb/4O0rL1e8w739l1XWXsbGcgoi+7dElCo2naF6FG/95B3IfWvsSSJMjsIl8Z
U1l1QymzsgMKb8nXuMi6Oqy7EjR60g7EXh6mUWbQmXHxtfc1dwzB5ZlL2Fn6dGt58fz/ODuz5kpx
bQn/IkUgENMr7MHzVC6XXS+EXQMziFnw6++3z1OX21GOvnEi+uW0mw0Iaa3MXJkhRyFZygEuvMTa
6jH3D04wSRLAAd6o3Bh1ru1BvCAuYtydoXebqMrKHa4qpuOWsxKW6NEXS59d4BrJ4ZhRVmek7Rlx
RiYTGadWqn1/17sBU+ouWe/PBBn7F0R9bbfDWHXhfjNZebk2a+/SgLmrE4ViHW7zxeNUa/wUGrOa
+uYs9yGK9hvKw2c30dtrFxqr2/EOyytCW21JxvTA4q7KpP42ilK/hXWl0tijQvkBybBeF/4yZjt6
5uZmNKuo7iysGMb0IdSAwDvTOiOpPMmU9y/SIUgaU+BJTTeK2ESPnHMyPN9IyLaIhSpHvgIRjLwF
i1KdznBwSud4EgAw4pz34Q/PJb9r3/XDtrwsySS/BBCHZ+tsZXw42zw9t/US/qinltS2QDbNE8bp
6tvUCpLYF0fUL1bOqRtZdNxfN1EQN955YXuQvccqDb1pqfZimMJgb6ZE52c9WDehxqSUbldpFVKz
bLTFXzxFGiNsiI0zgAOAXe1yXQYmwqq0NfuAjLgSmMOpv5QG4wSs07dGRKbPzMuoCspQ25eNv68r
fsyunTsubYLOH3bWtppriueOXnat1i6uQfTyPdP5dQ2mprtXsc7k8v0g3g1IYbW67j4oRBDs7eCU
r7YsHfG7W+42IFP+NFqxWM3WcqhocuVbOO3f9upb2P7yHnL7zA0X/b1LJlxOE3/qnBiMmbZm9Z0J
pIc8P30xkJtdYdHpOKBDGOuBEvc6I3B429y7qVjKq9kSS7Mz40IrlG7I9uLM9JjIZ/2ol4NtU2Og
gEmRAde67ksIGtM8FP1kW/zrc3sjnYK6jeQ8qz5soL4qJqLau68rVAORWScN4lbW/g2WdI4fjdqb
fjIQb6YIMMTSO4/XrHc1EcMAVjpM7+YVYxxSrOvSOs6odpeda3DnjN06DHqWjq2uqyQZHiBVanr7
tW3kafuuXnOjJrZp5jv5c2LkaVQTOT/amwpvdW1Gc0SuX9wNDTmEOxePiPsxxLwRP+8Rx/fGWwi2
zWU2UQlYgy3FYQqBjJ7qrEjReBTpLOO2bfLtulQlrRpB4wRPB+Pkmr3eBMadgujO6jLvA3nWaz3O
kYb/f8xYVSPKmirIwCpUm7IZ53xQOVqZNDLIvWhEPTc9TqlDaCXGxBoqMynGlJS2Okhib0rMq2qq
0ToS2SfPwVSd29ZfvN+ZE6qJfSsd13hgAfnE1FebdSi3tNx2fWLPj8spJy6SMl8HvDFU5UPC5H4d
k0eM4HvFG8sEiC6cbQHmRQ9b3iz4p7kxPO3SUe0vwTUkUf81QSJnQfgDheBlu2ygfuQOBuhBuk3E
azKgH5U5Z1MlVfUmspx8xVWF5WMCQ6/3tS/ClVhOE9yFpqByYrqozyLLGjZw5rUqzxPHZq53JHaO
gwxnhmbnU7n28QTHV/Mmt5YGwCi3J05aqy9hL+mrJUOXD1A+EgijkxOF0DSV0VgGcFKrP+q7Kafk
3eHHXZ7XZUaNMadi7nbzks1vdrJaFfXeoq+Ksq7kuT0m4rHflHOP9nerI3dMQhBW6xQ4WMP2XW+t
CwCWpe749X8kQxTOof5lT725FU0yPomk7ap92HfFL9cpOU71bLa3ZRX9rbM22a+uxcKD5sBJbvXa
eGxBSWs/zYTVNvEM+nRG6Lb9I5nY8rhV1hi86DbtJtP03/1GAMxv24zj1hRkFSPJWLng11a4e845
dQuDNjzQqm46dlJ3fUYkLb43MBMcZGFGal81SVFc41YKn5SO3fxFr0G2ovffiD3Qtt//6i08W6jW
vV8CE0crphkNbmybZFPM2s3wVZiayjobJ+u6Kk47jcmy5L7h+BzjZZTzJeQI07cImX0RkdosvWvj
bsqDmqmre0MsZwMcQ7y9bYSHreHMeRf4M5tVT6TvQxc0RXc5JL5tIJjq2d2lfgVMiYV2YJ9NncIq
y8Vhxd2Nsll/84ROmxWlZhlr4NQnuWSApSX+eEvkKmCPFGsS94xDUIJr1wlEuL3V7X15cho4EDG/
XrHtOQ3tB+V95AWi/Z2IWhGkaTJCNoPZaR8KkiWXGL48Hw6hajB9sU0u73tKEItE3YwNhfK/ZzsI
MsgnxkcmJuON1VNkpwb396TWJM2z1zGeNOf+eq6YCPwVuEWholpOqo5ZJOvzPBXiMZVFn0MF9/1r
UyagtTNBckQAm1nfeViT/ug5eW5BmuUdfr2tfdehhU+A7OqS6I0TQ2yKRvbfEpA/61g463RXW3Ko
LxNv3Lao4/PyDgwjwv8V4mR4fPIa3tfDQC3vBHmYo+YZRB4jsc3emhJsliHKnoZW9GUJTaTL7M5m
GpaY2HHu92kyQPEbpHw839WmqOgry7snA7fseNQptUKLGvTNKiGm983AVhyvhWHFBq3l/x4da31Q
6zQPlzrwOHJWZm5k7M+ueQUH91U8IEI+etjeZue5Qh5/Oubww9S6dSj/2hTcDhsaO4mBdbfnwszy
ZSXnWUazXYpLht7bX56/ADxj8ozZagEF/G2q/NmPKquGw3dTvzuvB8F/ue7njpJW+ZUbd2Xg/ob3
cGE7UBGcyOKamatGDbRZmMZbP8BOgMUbNrU5LqEP7au1r62vlVCdvRfkFebxksPygyMnkPF+Bv67
w0uufSgXZ30zKLleuCESWmg2qmbvMx3ixaqbh/G44J1+AeBjEYLLEvpCtdRUu9RJhBW3wSac4ypH
58Vym/wJlWr2fQKbfcHKU2ZHeOr6qSty91e/tZmJKHosMH+4uTfddurahEG39Ht3DuUPhON6i+yk
wASAJApVnltltXxriO5yL+ysSfrdiBqEhcxg52++R9OBHnbwxPlMoCgTZ17Q7b1SZHo/9Lm6HHCb
gG4yjfqVODVIgGwDUj77xVsOfr6hJswn1xJ0DK0Y0uvULWruGWZAxIb1uh7aaSLFt+bdXZD7a8El
M5D5q9TLeK+bjaJWJEPixitwtbN3G9cUsbYqx7rckqpPIoyJ3BdhGxghgljJHi5oYB/8Ukgdh64Q
63neZ/YjclicASyZURv4LR4u7ShBZ9JTHRClxPDeVo2jKzb3pfkieugxTmnSPqJNav/eGrw5PSxi
rL/7muoozhvAaoK9U/JmLbvSj2Nn3J/MXIDPNOXU+lE/Mo+jnhVOhvLaWVd7uyp7lYvIKRPQpjl1
/Vu0urrcBZzD2y4bg45NSbgT43Uz7hCHlPCW6phUnV9c2mwfIM+ElMs9OZX5Y1GmK3CPu4h836JL
UsB5NrCyHr0tttcJ9bAst/KJuS6vjmr8LFL+vN92XmMTM8wRCccxcdL8GjDQVTsYH3nhLXVS4mEZ
ehdeGQgDoL+YLxmP8klvG0PGpgjzNhYle188Z3aG3XDTdvoAJJTeDdnJn6NaPPkkrGz6xrwHn18z
JQhQ1lqbYZepYFBxKjRSDEUY7flQ8P29ohNgg1R+A9FlO2y2JWUWH2dj9zqSORAD5iaII/FNHGhi
c68jsFfV0jlWI75vnAZ+sleGJiJSOKYemnkUxZW7Lgnh2sYyeZTOOBPFVQOgehasnvtLu132rWFL
IS4496fzVlIS7QI0UOphK6vpalVWm19RnXlXi7b85ujOzZzHrlsjqqFyAK2Rcpb9rp5tAQCzpSye
zHXbl3mduJHOydP7mqaLJPO1Y8RHtBgcbIFOvpZBqsnv3TYfGRBHR7GH6u0vtaZMOdRg6mVc6bWf
GJ91+hs5Le0PUQk3vzS2554xfT398ObK3Vt2NnU3QPdwXiNDkSubUuf9Duc6/7nCrf6qQF+flPaQ
TiQaR5/YKVOqN/Ljy3qXz1rdjsg9UIjBweKjNK8GymFWZbzaWJBjurn0r37RsglOGWg5J8no93FB
1DOvYvFZ+mOgGxU12aCeQqRHrwScmyer84Mpqu3GvDYYREuSl2dxTz2xoVDp+PF+UH9VauqfStNa
YcReLQtmoNCdoBxTPUXLmuocyyOv2ejdtmGMcgxggBpwjwfm0n4fRHIy6tWVo/rqWP50rwQNajQE
8/DDttKGeoQmSO8SaM3zmhukpEsm5zKnJPXiKp+HFs0KntWYfToY084akQWffq2PnIXZm68Wd8Ra
et0cfJ663NsplDD5LuEByhhZrs+3mrAOyBB3cmTLeIbBn2sEW+QnS8gWyQtWUU+k1FUTAHfCyJX6
CYOp6mdp5r5Fhb9Vt01F5blf51RDa0Hv1ruwmJU5mAJauzNe3cWrXyruLGFKdL8lHDBw44H5rkur
fKUhYI47r8X2aMvVYmpFdMujStfiwV5nCWgkF1g4jo9Wx+g1YKarYGxv5zHpbmplO1/7hk7/HtjJ
UXGH8ur7ymTdS9qu9ZfBKymxUYAXaMLyxHnK3LVlAn/NnRsBzZ2dtU3avWZze1Ig0oOU0YKN23ic
rKYU0TyFnBdinQroJMjER89D1FJk2FxGS9eMv2YGLr57tKAp9YbD9+lQJFBNwHGF+9Zb8jHuhi39
KkeJmEjD6JwSNTLoCrddeM55jfV0NE22vDfOYu5rgsk00KUqXlHU0YSs4/zToCyuo2w4reJhUHl7
tumyeW4hhFnQYWXyWAAMWBHcAVnwgE5AUZtXZtfZqBs/7pXdcw4v/NGhy9SUEe2RAY5XllirM1Un
CIeG1Iz36ZAgsShOQvtIqSVb0aORF09vXt06LlA3T74Qt7of0zvGaTDPTWSjzm05ggH3J4kSH5zr
YhBZtlOw8wHVngAV9YuVLra7960KXHbuc3mDZrLxYuZKAK7o1zxY6UL6a8w+i3iD0qu5XyfiYXai
c3jh2QiVvOMTYMojRbH3LDJHm52TrdbZIqDf2cNT8xpoN3l0qWJ4Tp6Y3qSzwfIzEJ8TMSPdlUZd
LNmTTHI3ucCSdbltOhxjDnwKbGxI8zgrW5ccZBjYuUup3J0evKnWHkfF2vZXQrG3RP6YjuVurFS3
RcJbk1vmLeaH2Q7Gt1mNqj+TeIZcNhVUPJVbm0BLKvcVHG9h+/P79Kx1mLAHi83bo7V0KHuMEvqS
Wx2QNvh2lsUrI1e/ctYPV8C//TBYtfdbq6zy9qKfm9fT9kCXBueBjzeVxLmfmBpbQ/jSly5YJPMO
mZM2nFCCxPoFjOKm6hkuQB7jJTebX5HmtwHEoUXItnbehQkx8JREKr/Y3AYEWyfo1AEwUH8cOrGW
N2XYcnjWXb3YLJ/euShdOCc8b6y2oofyygdrNMWPpd387xl6cASZmWN9G7aOpsitcN1RJkNtk9oW
M4bpZCWU5d7sfGMVFldI8X+YZKi62Gk01Z6fU5/7W2DjCNlU1llha/RMZoPkZMMuumxfBJTs0Szo
RKMCug6xUbjY54hysmCP0x25TF4jnNcGMRy7lcMxXDSzdZYNHZ8EwH94N9jaudMg0M0uWZzlpbM5
NVl8anmzG6KGoqIsvMt5QPsVNWGbPy0rdBmY1OJeM4O9sMIRV2b7CWFfjzeUVnTzfgmL4fXSuuDF
9Wg1SiMey9CkCNlOAsTWJW3oOHdzzoabNC89Q6TPizO0N42VG+esqLR1aIQZ1ZHNtStjf2zHTKGa
ABIkCgg8oZovygb+U56YRDR1QeQzUTqfmdCt4Rvq3BvYgWzAXkJSGHTAJx96e3ZKvideQtKjYxpd
D+JjDq7LJSfNbHCAx68ZKgM9aEzp+eTK9OhzgSVAKzg3snE/a79yDqQEAWkXk9M/t4W9/FoaziAc
uWCcd8W4dl/8UIrqCqFvflmwW9Sxv5y6KjhmfgRymTyNfGqvZ3xIxSVTi9DY/rYUrypTyy84Pq7a
l0MZ7sCtquC2VzWAMOmGG/0A/rewrk3g9t+Yg9PuZea2+VdEB+NIwTXrCclMLtCMGEZZyrjXKLDO
UiC14Ypx2uF6Rmg+xQFw13ZGOqLOs1u4VmM/orDY3ii8ZvTwxlfJ8DSmJaMg+x4LLv9cQOW/4vK9
PJvUMdMRTj5odyFdMRqLSeAOSX8NuJ36m3gJsUTDtivwwptsKsMMNVgWUFy37ZcBGh9hlZVbbwJ5
RLPb8tJN9ohDQqRRtKb1Tg1ohGC6Tx+AmlbMCu0mmLs44EzxqLB9lGYwfeHj2HbB/TY5iwVZuXGb
TCh3R5S2y/U2Dxvw28bOsIMYmR5SRNMT/JAsOzDNoHzKsUdwdlPb9rj+oAKkyCzrFax4cNlyelnS
9AcIQySSsXEc0aWIrIRiECwb+FtsHEu9+clZB7acY1JEgRu3lg1lCAXXeAdsxzTeTFipBQeQ+5Kz
ybGh5hQycjzj+o12uelnG9LKEekXisdl3mc4qF5gJiNBWKxGCJrjgeW7GAtXha6o1yQqV7Z3eEQA
n3NcwWmmEZz4aLu2Qr66pV0yP9xgo4nb6lyaXe3M6me2NeyBIieJJhJODUYbFmiAo4nN+qGvuuor
wkRH7+nqzdOcZnV2Lii84TZy7dz7qY3DlpGaFTl6zShhDaW8XihuXrtiDr5gFxwiPiKpKNlX4cZI
5+bY400f5Pb3rLV9d1cUxjrf3LTVt33Y9vfL2rgW2o0ABXt7Ku3rxCn7WFkTqjAqcsHkdeMN35qs
os8tsAVlk0fEmexAxtU92wEcEjNmSHKdphIC8ZuY7timtjl2ihKNoy5wNFq6/50DagznqLXa8Zqt
EZ4YHVHyzCRGdbbirGp2CB6gB5H5dC8r83HDrkPw1l2QmWL9Tk0TOEdLgPHFwASSo8TySI9kcxHB
Xi4O7SfG4+PPOrWHhYK6TJ/w2J3v16yfOWG0l75247r+Tn1kdoeyD8u3kEO633t8WDARXRF0WNAU
PrrQlZIzZsVDdqtM8N0wxUDhR+td/gCjb15b7edLJLGGf4LFBaNZhnG9btslfMX7BTUPjLHbwQJs
BZJlRwQ/q6Le3nJ6K+5KVmjaptqfVVzkhTue6Dx3jq3cr77neLsS2iM3xu0VSB2sZ36a6RjmELFo
02414hPL4uWn0HYXw7LaY2T59uLyHSiRoTIq0n4f6BDZNWcLcUpBqrY0hpDtbkgds9adb3nWlZs2
hA3kcqnaI/Vj+a1r2ZUp4pAeTbZm60fwWP9AblrcMdc6ojPM7VrsUYQndyP7UxZT5kvatLydvtho
xb9quJtH14NHUJyOV3VbOQ9F5ajmviuWCaudMJ/XMzuYzZchGwZsULfewQZIV2NyXFuneJi0M4A8
LStDK6u1gTZSu2CautlBGezpkoS3z1VLu2iGzut39shXs0/H3LA/hkvfnDfK2BPjuIsKQrBVl/3B
dUb+74xxnh8637SI8VprcTQo5Fq8BS3CiSMWGXNyPdPjIOgipf7BoJv7pWgNeNXyZObSpGDticqQ
k60oYJA3jFb1tvQmeUyo9H9iCnWCWVezKDYCasA9ozjOC/MgKD1qxoNeutxwkPejDI9dtZSwrEwI
1WcGfecDvYom1LiwB+TzLsNBi9w6GQ8Vk4hRadtVhcIEkGSXJIzJUEf6/h3YNNWmy1TAZdEjv9vl
xEsGkAcTxxPiGufJXrv8zQQoe+Oq8qlymf7ru7izguSuKRQ6Iyp/ilxo16w8tE7tfRG1jZBnwjTk
bhBy3OIuSKYlYvwNNZP2rfax9PP1ezB58osHoWXtZbJZYpeFIeQEuVBpHpd9TWlaCae5l8EYPJDc
2L5YYnARLLVtasfsh8CHJMM1V4ykiYa55t55xU8ewSdy3Pq8Z/Bq3kt838eY32M9Jsw8X2zb0qIR
AUD9OZR5+mKDpqGo7Uydw8SyxCLbqcWKUnA+6S4RuCEOQAL/LWnWTO1QJG3Q8H6gjyjs+UsHbV3L
uQf7RnGMJD+aHHzS9mk/+jdj4QrDVl1JF+yvKJ57XeaPYVKGd9CGIC5LkmziBHCZNgo8wWiLyRXl
/srO9krRQKtho7KMxpZhh4jBquTNy4AqDkPYFWq3ooUI0XmN64XavBqvC+t0whRWV+V7NWfAshWK
Dmcv68C/PfWdLpvKtJ0P7ZD2cTLNYHv4N9lXw7ypr2nJLhZhcJmTPkRbcgh6TTmDeXP/e2Hg7yrv
6tHezb0FX54HTBXwpFmQsTt2aRXN2yqeGUDkHZsVS/Qg3+SjY3ysWjp0lzbQGCUaCTqtzeBN2YT3
Y5lsbkSznlE0JFLyQVi2+LrkzvY1yedJIgg/4cyYwU2vqhicLt4WcJh4I4EiOfkKrhBuYEZ39apT
gXyWtjpaHV9eMy7W3wRhiuDYlzWVfar8kaCoUC+GnR563h5WqN7NlEtyQCiq0rNKDuG9aDJcNMIQ
xv7SmRfYDOjwYZew7Q+MWHDWn9uFCkU0jOQoj00v6EVHaPc9zWpTMIZYtO29vUpkAWjGBoZoEgu+
ixm5ad+ZbNW73jJSxcHGCHRsrGl6nZ1FLPtl6mVxCLOw5JvKQo9KCwHqhnwuTYudBBLMf5oUYGY/
bULOcd0yAE9htpZILsLOzi/wHwvr62XOgzs3L6tu58xbxZhWi8bulpEfSO2JOQUeRufUP2XZyOGw
ZltidqsBsjqkGYXxTvIU+93GJk5tUcBS8WArLSSokJ085J1PLdERfSEQes4UISvf6q+qMYSp58x9
PLTjisNLRwzANYEI4zOaWQUJ2Q7edefCO8fOtmqkxYEu8GJUiUR5y84VCYiUG5lIJC8GJBUl3oIs
e1cxP/SzTfT6ta1kcatQpVsnwSDYMWisTyPa6t9BMtP8geuCFYIeUnEVLoTN6FfWdyq+ZYxpURpK
0LkPbqV2OnlMVLB9T8ViXTNiOluXDJM5PxdXOidwpkKeSZZQeg4wnG3wo1Zzy3CBI9HwO1MGzU7A
QYwIiC/KN4V1nxF6UMatsnhhs2W5j9PQQyt3kwe9W1pDeL6KdFyOC+/7y8YJbs4UaMZ5AXpyPzoz
GBIeZ9MVgghOyRb1yQ3VAcdFZQ3tHG0DIMYxyLseAMtmmuALmGRFCdLONnqppgzuvbpFDMtxk952
FUriaOYpf0OhPt+eGj2kOFbFPJgQ7XDHnGTyo9QgyPHsGDoMZYIKmQiRKi9htvIxpzpbffRZFXBF
XWCsu8cNT/2oANtwhrV19pipZqTztcLuBZ8hrwJka6ofqex6VBBJCaTENHel0aQ3+lG2KADYZNFf
KBfP4ygfCCTf8RWv38PV22bqeActyAJU66LCoWxEJ62qB5UzyxDDQnlvbtD795xBg3NokxSem6Xb
760x7Snxe+3o+LQ7rwe7ANzZF2YExnaDDWFkFtS3Jw3qustMZ66pXJrBO0thtNd9pmTQYS3Xieth
5tQ8K9vWOQ/AROwowGCeFr41Wt4ODAP+7BNru/XyoBqjBWHFdDZu4G93zJ4leJsKv+XZZMpt96R4
jf7VNnqVfqIvEE8iBBiFBtIW+nyvoModFy1fqmZTFjUg7dGPMC1mEdF+oVFMJENTR92hGv/mkxga
QrmEjcsm4QCNobNNAeERAOXrV9SlM3kbIaNLB0czyxO100oO7d8nrk9eAv80NyA8AOtP7BosTM5A
Id8Nd1dydcMO4Q+EsLK/i6lNoqnspqNfLuZOiAqzV5GkvLpx2lXlJI9/v/z7ge/T5clpZRw/wMYW
FuzPWWtmWPsR2UodMXpFO1QhZZ7OLFSCDtOd+haOIow2V6WXvamQBf/94u9TxQiX4+q2ZcE6Ot7J
P+XPq5MT5rlQd01UJhy5+14mfEg1kYD7kq4iR9YEipYymQ1/ntNRMSO6LxvUJhQxAN6dNz5/8ove
z56//0XvLFYQPCddX/M60laxD0Nh7oo0tGNKpaeOUpiNBy68ZxptX42Li79XsB6bBgTAXlKk4SuQ
A3qS8JMn9d4C4H8/iwDDk+utdP7lLNYZduhJ0RI3dQrcyuxcirCjAo0sh9Zrd39/Cu+9IU5XOzl8
+Cd3UzQx72xS9KIaIt5RgiAHDt5U7jvI4xiXoiw0rnkj5Nf+xFHko2WI5Z703NMalO476wsEkkNb
DvDwjAPadx4yE8pciRZ3tMw56rnwqBtmt1vH+2/xD6d4Qw+lsXdagVxfvluBQcsEIvoX6D6M8Bi5
Av7N9ddacRacgwRBbf/90f77Rv+83rv1tXqCwRStGTxsrOVkqrper1z3Ej2Gg1a8G3dd0HUPoVul
h79f+d8rmytjPuNiauyTR3X6Zf+wfBpWt5W5YmWTkGRdpGhbOXh1+x+9Wv73PAkJZNkwkQGI8+dV
uHTuhB1ftLPI8cI9Sd+CWl5Ayi9ffPTWn6ybf38XuG+zfcAeQwjyNv+8XKDCJKwFK7UfOc1GoOEY
xPEbwzXy7O+P79/fhMJnwyeJHLoHf9/T4/3H42OUq+9NztmQdHZ3TgXDLBbjw3mMwJOp5B4495PI
9Q+v6GDExAQ8ownv3QslHXZXT3zzOhPLj2QF6ArH4oQk9ll5h1tj8InPyEcrhOiEgEGIAPun9+7i
C4kQCuaW3bif6FfCTQ96p/1hbv4fS5EIIjzhpVK8tXfPMkdMTkXBs9w6v0PrPIZojkz3yVU+en7Y
lUvEU6SgoIn/840tPjrdMuMqIwoBj9HCcDsrMrvfGzBWGHywsL8vkY8WY2iFqAcoy9jN3n1hXtu7
6Rqcloicw/ulwRgkNmnqi/1UUdR8spO8Nyk6fWmh41s8RYVrxPuYkjacKmpgJo97mdavOYQe+tAS
6cqmr4KhOcURi3F++vstfrB9cTBgQibZK0l5tv98plsSbI6LSDTCU4CJTuknx2EFb3Xq4tBVSQAK
4aijchA8fnK7H7xNTGBhm/FkYnNR7wqV2c7bLOj40odkCl5sBq8LzmI5nxFWNh1S5qP3f7/VD76G
U0FGNIsjOZLeby3DEo5o7Cq4LOShOxdny8MknM8SyT94i76No5sncSnC+vndbWFXkxbN6ZtL7FIa
VO/lUBydYZDWQY6nXkIOjERlcirCT+7vwytzEDDCRlggful/vsoE3b8ZSQODLJmtZ6atSvCdMslv
V5Ix3tja0bouTHImn2ykH3wlXM6iuMDrGnnb6Xf9YyPtmXj3GTDluZbaXAyNNe8xghX3IQDKJxva
B7eI+59Dfglfyikp/M9LdZVlb4tbc4uM/u1Ej7LMuD1ztzn80b1GpfxcyvAzu+IPbjA8WcMTH+QC
oFjvXinz0lgwz3wjOe9uZ/WokZhsSY6pxZDCf16jIZKPkJANUm/wwPzzBgtmzoGTuMEEP6BdOCJj
Wjr3M7u3f38Jp8AFi4xVF8M3770joDUHhHh0xMAI/ANuy6VEzpcV8yeV2AdXOVnj8T82Txz03+2e
E+MqdeOGcNE+ElEtGxexTuZ9suo/uApxhljLY6FoW5if/fnEjJXNhuodjQWakfq2x1un3bW9GLNP
lvlHF6KgxMze4oxjJfx5IQgllTbAp9G2YEya13Yfo1f8xHD435vi/xJFscsiHZ7q593d2NQri2nA
OLnd8oK9M1/3+YD8QxuG/vcMWOv15b8uObx4yWpEoe6eklXebRs5qm7gAwpmx9F0bFmgD3o1Zvf3
q3xwY37AtqgszjaPNu/Pp7dg35r2ZUcnHnYwhlXmX5ElMxwCf8pibdLPsnk+vh4dADmmlHfvTfFn
25p8H1gHBYIYoP9IE4VcTVIGbQqraO8n0zs//n6LHywQbpEUMw4ZLP//1Xljj8/QCg9yzZqcwd0W
cqEdt/++3rHkARdzndOuG77zGQ4HjxF3Zg6iqbKSu8Aw7zQU5fpJeOW/ywKQKJeTxOeoZCL+3beb
eBluUyf3TIdkO4TamLIwNLN8QbEfHsMlYAS3TA0M3jDWx78/xg/eHNUWdoEuUYUSKOXPlTLnVt51
5JVErafSZyaA3Gcm89RwqFpcOyKvRFF0+Psl/32skEvBozwRORye78/sbLGbcCFEO0qcZju6iLK+
VwJC8krYdOd3CQO8Mmq7DDj37xf+YMkEuHoGfIAB3997q1liL6lfsRuM5mwUN4Wr6mjQevnPZSy3
F2J7aTNvheP3u/Or1YZR/gDdV1gFzZGxxgSPN9H4fApVVbufLNCPlg5HM2Dg6Ymimfvz/U0OiVjI
VGlLA5MfsfZCWlflAlP6xC+usSNcr10wu6NDbf343x+nz2MkbCRg+binpfWPSsTPga5Tz0X8j5bp
TmL5tG+xVPykRf1ogfo2LTElpEun+q5kxvJJOxjOI0z2Sj8a0Ct8dwymnshvuzPGRIazv9/Vv8sP
9mU6aXxu6XrYqv+8qw03lZYJQaZ76sxFGqlSKEkPdhapF0ZZnyzJD++OTv9UgfDP4F2/jzsV0lBc
GnBxSZgjIB0Y0mRoQ1OdlbVrDQ8b0z+foWEfXPQUlELvwxPlHH93Omw2UmW9MWuzktoGT8UY14oW
vsXbJq3r3X9+nkgTsCulV+VocN5tMPVSMmmLtQ5jUSMDRnG+ma56Zv7L7wxT4utif9bZ/S8b5U9M
+BSbQncV8FwpId69QlOHWepBT0Qh3169z+fRul4MLmJhPjZnSQB9JPNuOGaoI8kBFFBUUbr6kII1
PnmfrN8PNp0Q8xP2dcdjg39fY2YL6kwSolr0NX26J0wXGV+KW/zfn/LH9/yPy5yW9T8+xsIbq9lK
SMD5P+rOazly5FrXr6KYe8yGNye2dAGgUIamyKZpc4PgdLPhvcfTnw/doyMWyGBt7rujkSamxWFl
JZC5cuVav/HnedTtulsEtrCLVDUnU6z2yGoW9uJAj81MUa0tU9rRiJebOPPE4hmvqrfWF2/8t7kC
4WG1ZQsE5XxDZcoB+HFHBbH6rNRVAixMDA59wz3t/cm/9YgpgHOgcHwuxm6nc1f1GX8KpBltQ1Mq
tNdgERlTNpyZ1RuBgbSNdggC+Qrvcpn1iycMOlhNx47LAjJ61Vc/DuglVnLwhPn2uXzgzQlx8VpU
ysH3iqsHiEIyIAGJrKPGSNz1a1CBNGvCM1nHm6NALCHwUP8giJ9OCG6TX8pYp2IVHESmh1SR2rlc
t2BBv/9+3npyWPhwvlJ8pwCxyuVrMnwTYisDCa3oCaDTXaPojdsS1vDd/2YoxJ+tJbvGB/x0Tlkz
Nq0l8JLKsS2Ppt+GdDlNoLwgiob44X8xGI5XlOHIs6X1VRxJmxCFaLLeniaM13Ut5pegxN2+TTPv
/aHeelfkaZyCSDJzzK/mBY5J1ZuM8o2iaNktchbmtW725plYtXzKOnAilGwsJSJOiLUec572+hTN
rLu8ATtpd+BF9wTH4TGkSuWVHYyf96f11sqg4AdMEcQSfazV8ae0EMcznfYZmlq5E89Q5OoYozCS
+/DMy3o9N0omKouCg49yxnpugypZaQOuemFU19vQr24Lsz4Al9N3Yh31Zyb2xmgm2stYKOD7skDO
Ttfh0CkCjuO02LVB0A9BZgn32DtB35G6+QaZPv9M0vl6fVBdlzDPIY+QYbuu9nIk6oD2hQJiO332
r6U0T9Td5OHT+6/rzVFwOmQbU8+g73k6K0Ho9XFGoQlUGyqsah/U18A4z/kqvfHsllyIZgs3BArP
y89fBFpK9jCkTLD1eT/1N5LkL7AJmL8HNRv0z3Llpz8/PC2WIJUmGcV6ujyraSl6WkdByL0AlTEy
9kz+EeXGB32qqS5wKVAJSwR0Do91XikLCE7kc88dr1BQ0m3Qj6HCrOYOcAxIaiLv7Mxufv22iOsa
FpxcLEkx103Bqi9h4fQWmL606i6NOfavxG5Qhg9Hd2gVooF7uUF0l81VdDczMD+AQBLUMdpikyXZ
87zAzWo9PmeF9WpCuiJxDTdE7skyDuarTYXaby10ImREqZqir1khlJukDT9co2cU7qekE4thAhM6
XX6AQUF8G0gO18mgVHaSm8jhDNOQKFd9VwLdixsLIB1ceTY/apfV2V7ZW/NcwgbXciIIXcfTb5By
3VlIvyCY6hS8TFQr4aUaadlHz3+Ok8Vni4OZk5nQeDqMiER8py61PKhhpmspw3MO0Hj3/t5acu2T
I4Wy52IZsvTDreW/p4PUUd7UbaN/6+AJl4Vwq0e7TDS8QpJtXG9IcCB+4dlwZk2+KjEso0I4orar
LqJBq3cInhDF3lH/NnYHKzQvs34jF76T6rE7z1/en+B6KArIIh0IjHIou8KCXgWPCG2JGXgozGB9
DK5RPPGdbsj6CwHN9Y2Z+QDKOE3d9wddr5Bfg9Lnp68pk2Ks63sxykPaUIyhjYZHcgtHIN3M5mSe
GWV9Ov8exSTnVZTFXG+132hEB0gCM7UQqtMAsERY6rEoKTlwy8+BJt4YbDEMgYtG1xubjFXUr4sC
qzJtQSSGPmMNpfmJA40Tc2z9Dy585nUy1Grha7rvG3PFUPATB4gMmb9FYOWjKdsyCuUf/DEorhFJ
VnGx66QQ9D0KjQQZbTvQOabhNhveR1cCHVqYEMQpSk4USU73F6yDOdZ0CIp+VJbcYpsQlcX0o5GX
9s/JKKtdzIUEXYCRyyOioL6NdtZXMZG+vj+T1wuAcgTyrCbSLhSVjNVbGVOhlYMZOTWMi/Qf0oim
QwpJd9GWMM7ZJf1aui/DEgkGg1EioGVCk2ntUjegk6BOPa0sOukoyZAzChC2jeayFrLqGgBu4bV6
1+0QgJWdMYrlPUq56ZnY+GoXc0fG90QCwWUuPM7VjLMKlfUsNL5YESyACqlFZ9STc9nUm4OA8uCZ
0rbRxfUgSL8gJRx8TaYqszZKpWiHHL86a/uht7egYlQuQvRRGAgPlFWs6NJ0tEJ9HGwM8ULQy6X5
gHYKNFI1Ds/c8VYz+j0UWS52rfSxsTQ8XfKKb0RJTnJr6xkE8IYJul0qSB8LEr9Gof/zazLYYK7R
CHNRICWVh7BtQqw4aljRl4o4n+varSF8v4ehxbAY8HFd1VbPDe2cniaaAJS+1+pdPFbTJUpy3bXW
Bdo25MIMu2vUIGPC4RoSjFQgS3fBXkO7xeGVntvoq0346+vo9AOWLUhC/KoeaeYyMnrIRRTTmNqN
mqQXI5IGXgS/7Ywp9y9s2Is9+GssoHIyC4cGPrnx6XtU1Qz554n3GMb1fQfBB/ksZTv7yQ7Z4p1W
1N+6aPjWSVjoqP5drnVfRtrQE1lf1SZ7tOnP1SmWWLn6QhzkJge6JQOlWyOGoFnAzDWRyRel2lKe
MzRgk0Pe0Oq8QT8zT7wkmjP5E7pw0fc5QpH6DGLpjYe/WNmKwJUATSDAd/pA/HqWOyRAext4GDq+
elG4YIhLtwrj1H1/u76xh06GWr7KiztWJU1yOC3LLmx1YZ+wIC5JRruP71RGsdijoNmWs/B0lBpq
q5+n7KFuDkJPtkbBK2X0pv4Xc+FaJdEHpBOhr9aRhdNCivwa66iI428wo5troRf0T++P8tbiAO7B
lqA+QgN3FXVAXQRln8GsTiIp3mLbGhqwQqRgE6hBeymWKDvIXVkelD7uHz4+NGcUyDIAH683CvTq
XBoy6IUKxbmrUdKGJ7wRhD10b+0mQ1kO+TRdvyH2n8MHvl4mgOe5bwFZIpkmJJy+QGGgvyPUMRoe
plpdxUle7EKrOddyef1oTdqAvDrRFLngrev1oVj1ulhmkw0175Ooa0+9at77s37oUXFBt7XdGWr9
MWwLwYeKpIxiAGVWGZju6liEgzRw7c4n2KcIFnyxSsTBd6WkRLqDzGwZotvYBDRhkOmMH99/nctK
OQ0zpsS5BaiB9gu4mtXQIGgglCUMbeqAspXRjzdFGVYb/I4gPLT1ucrDG4+X8VRaIeCSAbCuVu4k
zb4ayGjiIIScOGNe6Dsr6wR3LJNyB+HzHsG/cocm8TkfwNfxbOkLglUCXsrqWVfMQzwHIUijs4iw
keAkYiG4idpYXonO1pl49uZQ3Nshg6JpyKl9ulCRExqMTEArJ0/pzzshGgfJMSp7dNLaRfDj/Tf4
altgvQeoQldZtUvPfnVoCyMUalODiKGNSHgINTJXZYJ/2vujvFonC2CdIQiggBW5XJ7OyfLBnc1I
UaGXl5nNZhrCOHdTPdR+QBEzkUQr43N2w68e42rI1WNUUniAJsYGDozP0pXU5Dk2pNbNqrQ/M7lX
j/AXGh+oAwkW/Wt9dTSE8xSKKCMhKTpV3R7JksyBIpSfWRavR6G0QTeeXienKhLup48QcdE+NirI
ylbSaJsq7GeEm/T5TO67fMrLDU36wsZia7HIZRNB0tNRIGhJWD+BeOl8X/w0Wj3eSUG3nxSjt/Eh
Gj/1xbkO0asheWLcXRb09gLeXl/7UslQRqWBTxE1teSOyJhrjlW0wo2EwNLRMttFtm5qN++vyOX1
n0yUuxmZ2gI/ZFAwl6cTTceh68UEP6jWi+zOGTbFVrmS3fDMMOtmJjHjdJzVsUPC2OlVyjil++0x
d7HgsH8cbp7en8yvK8l7s1FOZzPqTQgBkFHkLcACG0uPjXSN2ouLDYqjbei+2Re1fUBF354+vz/2
+v75aobLwn2Rf3GDTtV6cdYSdqozOGDh7e/GlXH46NG6fpLLhn8xzpjmyELkjKPe+tsKdv0juOaD
f+aFrU+Y9SirEwZWfpwKy2xmD4sQB/1AJ3fKM3v51VVpPcqyJ17MRYlqSY2X93VVbf5KnPtnbfv0
eHfOQPOXx+97y2IVdsEzp5MUMUy1AX7qIENgP6K5eZwd4wEZz/2ZlbCs5feGW4VcC+NKwgfDDc5f
aL/a33P78NO5ezwzzBsB4+XWXd/PsyZvDBRBl1khhOVQL3KwDnJMV3eftl8b9wHJoHMv7Ey4WPOg
WlMprXAZs3e527HBos3n2f7+cB3aN437xLXARnPzzMFy7v2tMfYKWh1yury/yflr9sQtxlibxguv
o71vp9vOPvNgl7P+nfcnr6JIokKlhGW4TDJ0Mv5SbYQ/HTTazjzOZau+N9AqZKgCjkQhzUtbylH4
7n0YEUXdHfrEODenc2tlFTRMI27MfNlopval83cRksmljOdZnqBIcq7n/KvU9t68VsEjNgVZQ3fs
9wNMj9g1uIaHFZzzELmR+xPuPYFYtH+em+Wv9PO9gVfxZAgyLAUqBlbu5EPzWFxXB+Uv/4aKI+rb
5dN0nx+io3Kj3Z9ZMece7yrABO0Y6cWyYhTWDAIMrM9+R5bn+LbhlJt8E7imYzrnoNuv6i2r+Cmv
Is0k50naLBuDHqQX7ST3PnNm+9m3Sx5v4cn22XP8rQBATxAw/0Kag2dzGrGbxMxycVmyeBFvJPaH
4lpkDqpjXWQOTn63zQ3C1tt6q15a+zNP+a24+nLs1VNGVmZK6ZGQq7jDRn9MvdAbvMlNvGYv786V
zd56pbQU6FuAq6MvvroQxOhVx1NdNnaNCLwoQcJFpUqdnru8duP59v2prQMBaT+lT+odigLYH9zC
6VPV20j2w1SdHUFpFQ+ZJMSVpTrCam2az8ScJaa83CIMBcKTXj9UJNNAHut0qNSU9VHuMdDyIatf
FFaegwtW0jMxdP30llFUmljcBhbS7Lq0omJWjS0kqkct5Nwj2pPGoe7TxhEnOTvGZZY9wGiSbj78
FCnicK0iaacPqi/r50U2UaCXUDcllo34TpYb5FmJqWqb3aJan55bi+ubHBPkDkftBkC+BgtrtQ8w
5alnyxAmx8j73HKQwGge0IBDSqnWCiW5T6W+Rfc1M5CvpbjdCDYSidlNGk/+o9bmbYGOQN/3+yrT
5VsAJRVWQ3VUmnYpYp/0/nN5lXzTdqU9pktUm4CG0b46fTAqXhp5axh4WUp9j/WIkAYT0RDp2tAd
G+xeUYPW+jH2MDrtn2qaj9+DxgpMV6JBOHtxqejniO7r/HL5Sgrrgw4Xiq/YGZ1+JQGtpgiz+NHB
aSFBb1iRbTwpsq/U/tEkGMrePEylzLEb9eOZ1Pb1ZlN4aSDUKAlTpFdWpxOCrsIwwRJx6tb8VoHf
eGjRIDoivHkOKPrGSAujRqcTT1UBOM/pJINmcb6z5BlVvVgHTQHnyS2mGNFQWlXP77/k1/uaKiZl
L9QD4GyI6658YIhjVqBo5Rgo4mzaesTnqQrOdFBeXXJ4bZArFVCZ9JA5ApYZv9hiAf0JJZ673vGF
0LdHjEXtOAsUmwWVHaJuLjZG6qcbWYzVKxr66bOWTdKZCPZ66/EdgN4srCWQZuti2zT3Q1BU7C4T
SWd9ExS+cKcmIrBAq0USZ4+KMYouH366SxyD6APaR6JYfzrvTAszpUh9+PZNgRDOpCZelhnK7uOj
gG9e+gXADiDMno4SDD3tqSnuUXvB1hNBJMSG8dT+8PNTRYWJSBTWaFf+escv3mEyKYnRgg1xoqHM
r1K1kdxIQIRmQETUzbrR9z46qwW2AaiSJggrR12tGXkSmxRLWmTi5yg4xIUw732sWc5cEl4HFFPW
oG4yKbpur3CHkH/p6k1m42ATm7uiiAxOilb7TjQ1AdCGNiAQOzb93heav1FZ//V9/D/Bc3Hz+/Rs
/vXf/Pl7gebTghxb/fFfV9H3mnf/s/3v5df+3792+kv/OvbPddvVz/+4eiqbf3hd/uOpjYp8/Tsn
H8FIf38T96l9OvnDJm+jdrrtnuvp03PTpe2v4fjOy7/5P/3hP55/fcr9VD7/84/vRZe3y6cFfK0/
/v7R/sc//+Cge/HWl8//+4fXTxm/t2kGZpJHr37l+alp//mHIv8JQ9oC4cW+ZTUsN7jh+ddPxD8B
BNLlAUYPa5Nl8sc/8qJuw3/+wSXhTyqxyzmLCAYQu6XMzfb6/TPjz+U9y2xGsjOYKvIf/578yQv7
zwv8R95lN0WEd9k//6Alwdb6T1q0dGnJiBbNC3RnAMquWWFK0CtyOfoc02KwrcryXh3B0jsc7sK0
rTWcNIgMxsYKUDzvwDMeyyaPLoa4Sr6kYmJ9G2Vz+o6lOz6PlSWDhjaTSt4XZXTsu8WNrogaJ8mx
PUD+8jNdArfso78W3ISnxeohb3GzU3xzk/Vkl612z1gaIn7xXp5qr9N9HGFy6yKWuy9dXd0swvQI
HYchorTyuJH77F7pfNFRxlp9zBanwFAkV0YsrM3EjY8DVbdVkP4O72P08n4gIw0dLVLbtLhbahVo
6Et6j3UyPhp3RZaGiCai54xvcDBhNSRW10GOf9AY1e2NoGV9YsvTmMlb0x+Q4x57rQoe5ULJu3tJ
aIbUQTpqwmtxCKX+h1pVHSWxhrzDXTZW7iAFI6APPvoS7salRHXTndpBuipCqbpsdYQr6f3rSf+5
gzRvbfTY0LcRPiepXZaBmG9ksknIHWUX3KJ/NFyFTRIinmourgulMmC3qExmtinRCLqf8S3vriEX
dVvZN2oBpVUzuFKLYXyU/R5yk6UjYpZKW8a+7bRitg0UpsHciJjpIgG4kyEhXrJ0NkPi8xbLGFWr
orb2gtj5ii036LjisToMJCpx5OKzu1OjSfVCA2eHAfHqC0sLaSTgWSLGF22d3CPvECBSWt9hoFN6
SBPMt3hrYggqRJ9nzQqv0LCOtzWtaMHBK0PO3RYzAvSm0AWVPiNla2UPlNllEzXnLIQhaQRWi6xo
riooHv/awh+Ka8fyOb9r6+fnlpD1/0OcWiA3//XvUPAqTt2HT1H6lP84iVPLr/yOU3AX/4TUQ9tS
of4PNY1T5necsog3y5VCNzkwgRkt1Iq/45Qs/qkCMCV4kcgq0K8Ibn+HKT6NTgK4ajBwNAd1+v//
/mr/kyi1ZBn/CVLAqJbeJnjE5fst5NVVfiCWXWnNAEh2SRxNN5rcd1eChhqyw6ktKm5Zogi8bbGV
RKlZE8GYqGqvZVt10deHuTOZiou4lVmfSSiWK+Pp1+KavHAYltOXtGV1F9KSMuzBBPC1MtolF3IU
zpKrdyHce3nKwkssGMsr8sUI0dNKSW5yGe32zYvX+PezehnBlyTi5XfgyJdFUMu/zgSQN6tHA/mk
M9D2G7eBkCn6NlCCBms0PcW7fCrZXPb7w60S4eXGgiOZCbtP4w2T1CzpyMskCnwoSuehsVVR2Ok2
vaF8SWSUDd00ksRvi+LqMfUtWPs5lqtY0STE1xbO9DnA2ao2+uuLLOgFelR0xbhtrC5SZULbciJT
36ZBi7FnbIzyjSpOwQ+0EKVrCKu4TSlxkFR2JM7jN1Eo87tUmQMkWDCKxGrV6gPf1eMKf4v3n9Hy
yE9eCacXOT5HNNg/2nWr1lJQgSkrzAQjcdNC+FINQ13d1XGd+2dexnr9ceWBIsbiowEJhnz97iUL
b2ncS7utlDLgJqiAb3ptacqf52rQfsoJqNoubrGuL2Cd+lhZY3R0Zv2dXkp4DUQA0BhcSPCnB+q4
/PzFepDRCvbbMe+3xYLaxWpLjjcGhvFI/le1whkyRPKZ53uasvweEr0goIYqeByKEadDDlpYy10o
dtuoScuv8ZBmkZsZY0ILoFC1C/6Xhi5quvXHNBaWgYlkOm9U5payYMFPB56iDDvUqau3CukFYpql
SMBJsHdjpeHTCEkw8uf+zEt+PVteLhcWsLdApEnXTgfNC2NWUc2ut5g0hLsGM0AUQ/tk+JFjoP0D
01yEgpOkTz90rfg1V8C8OrxT/sNdcwnJL95rQCNa6tq43QaT2iqOn3X1TyNjRW2nGM+ZrdGUhuVM
HXrtnmW0sr59fxOBCTrdR6YKcWE5OsiaWd9gS1ahBropnsvIsm2nHHAJ/NcvEjQdUEmFiE2Jdl8O
lWfMBfKXyCfsxphbvxn6SzoyaeNFXQeVzZUzd+V4VG7Vumr2QStZOzxj0/skTKRjPcnlthmS75kR
BwijK9EO5fdhI+uobvp+hPFlneJ1mYTFMUDbqEbUL9MOAkqpsYukVLULJwGBs14sLeqkYSQ8zRa2
yH01sBnn6qdcFdR0pPkih3K5b6RgOhi01O0gCeAOjIl/0VC3d4s2z76E5Rju5VH5Wc2FdIlTYWyH
CTuqjWPzLhH12dMrLTymIxMX0RYIFO3YsR/3kRlYB3x+kYcUhSr/JiXWl3bMVLcJdPmSlmmNw6We
L5ILWOXoSn9RVF27s3CrxAYiQ5nUHETk7o1kAdYoVnxHRczA1C4Se1fuChwM8LPdwKKb0bzuIm80
OAE8Ye7z6C5vywCngUYCaDEbvYYud8Clw8LCNm8rI4QdMSAy4Vh5QQDq1UGyLvrWnC1vMqsOCGhq
YsRm4dpVLkd1zM6KXT/O0aPHbQwLB3XT1Vgt3JhCPU3gRmMzbE2+R2tqjm5UM19Hk3ENHv2q/Jrw
ieWlqA5ygv1wSz/mCnFmn2axyAVmvimykQBYFlqffJ6agbCcWkkGQEqdxpsm6yV9izcWfx+MMo5u
Va3ln+VcDsaHVOK2dohCtUgwqR456OXO7OOYBwr/s7Z1cW6jZdCJ513h7qi4v0/kUYJou9VqtF9+
tpgeRrcSkvz9J1+Q+JDZGsuvwQRm3VY6Q+0QKs0007/QMGLgTA0a4kzsx6KE/7HFtw6oIeNfLOf8
vRbjgEVS4UzlCKwh6LUZMum4PQ4iX6yycsQisemp8+x6zjFbckzcuGN8/qLYdHx9NPLDKFW9+lXR
M+4kvqw0Ew5ZRbHDXb3tLtWpriq3rAXNvFaLjo8eBKBPXlWLdX3RBNnYHBBtYi2LWW1OlylV6K9V
l5jSHqhHNTgK+40HRbpQuFgHXua52Hl6DsBxqdbVjStJUz3tNSlOP0nZqKQu6b9mXHKV63xv0NJW
PkpBNQp3gQX94DZSYfl4U51k+fdIkJ5xaJ0CB96A+kPqo9G6GhMNpVJocSA6VIMVp89+a7lmEUAk
n7RJ/E6jQbzsEXF1K7UJf7YNz8rWoe4ErlaopYYRaD1rn/D8BCAoBBOG4lliIoMuRor/JZMLJGb1
OL/AZASJbR2o/6aa5hp8R6Ut8SjUxeYJEnIpXkhFbUy7VBTHe0MPLRkYrNX7Xi1q9Duq1pTcXi5i
4yYB++hqehYEx7HoI/QvLGmOdkbcEcsafK4jbkQdutIYvXSellp145TmPCJEUCX6MG5j32KxtBZu
eQ6u0zlXpFLD881H3/1GEXOs6hKlq0qXAsD0bS6COd+hLCsEbgIvrHNKpePYwklRdkoVd57E1sKJ
iK61ooWAehNZ2zzLSGW6RDP8CyxLFCA6te8HLntT3tRGllbbwjQQuZIWsj6Oy5xS2O9dUX7Pd72I
WMEl4vq6Jwmm/ymxRMGztCI/ShKU0n5Mh9hpNSn7CeQtdCoghUe5UYfL2RIb02bnhj966szSQ1H6
Vuzy0HwnDyIBL4Ze4vFEWHnuCr0Mjn6Qhgq6NpEFd8kMuUZjHcarp4te24LhY4NWNIOymFppf+HY
seylKhs9a85o63W+ehwHK7hI8xrHUi3aG6VcX2Mib23HclYiWxYCYUerpfMR0fexo1BD5aFTZHwQ
NHm+5RxtdqY6xFvc+CoPF0w/xWoy1PZZaS7iX3O8s/RcOKQUbBwKM4XXp8OwbxKcxaNwUjw1txYX
nDy4KqT5s4j9CuXdru6cSMEH3dZQ5d7OWTnc9Rly7/7EvcnBv1Jst2bfdjaF4METpJjMj4oEbqBm
U6Fj3gp9vif2odeVDDpeM2Yrqs8dFxZKFLrxRBvi8+L2eK2Wc7UPNSzptTmw9mPVmZtZKDGBaWq1
FZ5SwSdE4aF60WQS5gzmhGm5lwaK5V8jKWre5UKl3STBTEhXk3Jj9r5ab6AB6N2FEkicoGmS3kxW
jTc0xi7WlwU5FB5wKApyp8FOIndyRJovhwGDtqvRbKzvU6N1zyVp18b0g4iWb4v+TCk0kocdfbLX
2lg3eeNlxdmVTvuskBr0zwV05e3IxK3Ph1x5O3QxEit+JV1OSnnwLRED7NAU42u09dujFcNtEouZ
U6uPtRueYexC5g42HeZDuyyO8jtUXbLNLHb6YdJL8S9FGyxgICGzt0kZBNcyUulGob/1PJTyhLcd
doP4HCAxt8HqJpOd1IKBnuCddxeFQ+oNURleReB297IKyhM3aos8ok1jG7TCpZXQnt0QpsxncPzK
vqkaiZDdYCSB+nJzRJZzwLVzESEp9SqwZWB5SIt1YfmQpIqwC3BwcUR6Lzc1JnfRxm/U8FHEiWWn
5SOYpioOtlpDnqDOChaazY8Boqs7szuPYhuPx96UbzW9iJwCL8ztmI3ahgAsL2Lis0u2M+fUp5L8
OprAbhsYdrv6kInfSQaby5Gkx+1EIh6tVgNe39QrRwmCemg0+UGizsNJg11Ga2JSYwYU7O285XU7
Vdknj+qkoeaSW2FxbchJcsRKIpdBhwQ90t5aM3h4RFjJZlLTCvFwMn8r9KX9mCsYRk90qtsy4laa
d72HoyEaBhksvD45qn4ifQZsK22EarxHM/0hTYf71tQRH+xpBtuYnmoIi/vN9Yxp6UEcK+Wgif4j
1/efMRUzpDV/GPRf8LeVr7rOSHY1gXETmdPV2IdPGg5y3HtwSUfs7QFPAQ2vhpL9as4PetUdTSSx
XLES2ZB1eR3nqnzVjLhih/W46zUrRca/u1dxl/ICKt/YtPY0zJCBl3At9uShS392SYtH8hhvqrkN
N9liP4ssUmgbUHs2+LjgMqC3eyssRf5/PETUuJ6vowY/2tiqRAe8aPyIMdbPtjOjfZ2mXwVNEw5t
3rm5jjFsZNQswD7EXC1/sioVo0FkFZw5HBpXt7LhcSzSvwjBV0T1m0ypRDc2AdN0VocOjjVNLMFc
82YlfYaM8TlK+9jT8mFyOeWvZpyPkPFG8wgHa9j85BZeqKlensw15ZlgW9c1foK6Ee3maPxe+m3h
6JQZ7I7451pTG28A8tB2Q0XVn/zWRVvMcBFcsLY6SZA9zE1wPXJF2RUYDrmG5d9lHSYIQmTthmLx
PBNnG5O4yME0L9v5HU6eZhUnz1YkVFhQ032mjlEQntX5S9KIGnbYjXE1UrfYQb27HSe/vCB4Kogr
aiADs168JyY+xJPqb0JEwT0zoeosWr2Z2ITN8UGraHTrgFrpF6JLZKlp7GSUeN0JeK0ztsZTZdWa
O8fCfkxKICsDlnd1YXyXE/lGy4U7bcK3ujC7mJePwYwV+49hL0o2WwI6TaHpN8Yw7hTcf8TSGHZ9
SWiFnwznSKhLz5zGwB6h+e0VXTlMJCU7SS+TvYCykd20+kODCyJYCDybqyrcIfIPANzyRctF177D
Q76w9rNfXhsDesZFgxtIhZ2SaguRPHLRgUVk5zTsdspsHIOsuesnxb+W534+lFWrOh3J6GU89/Fm
7JTSq3XtUQIo/6NXhnov1KLyyeAU+DS0mB8ncSh5VFMSTzDH4D6s8vwuj+d5E6Sy8qUv4/p7JBbU
uAXQvLYW9PNnqMTitsmQ2sjU/K9pTPDKQdM6eMpy/THjZDmOIiakkozlspiZ/UWWjsFV3OimI86y
7HU4d1KyLqrMG3CPtKs6+DJpRrYUEVSnrAfKGBjXurqe4bk+hOIuwWFrE8j1F3lIles8k8pPDbZC
rhZWWzWvGjfDW/mz0Ys4jTUZVfpBVrNrSkD5MZc6r60E5RoJw8CRu9Y0XTEU9f04xMPkpJ2J5WxN
3i9KyJTMmXTrd4WrplYH9DnGllpMfmK+hIFxvRnChBRAMYz0yLUZd0PASni3R5VEDYDWyIbreUPi
rwQh+BMcX2xlCvKGuk8k4ZPVdDL8iOZKHbLKQxpyOiC+ii1YbXJvkaz6Ahd3/XrEA+miiOLmLqAx
GuP9BHtkMa3MDmFSBGjAV6rbIguXOdTOxs4R0Lzf+HNt7OOAMqhTaPOEheZU6E7bzAToAWm1JaPE
kmyOInghSYyc41hY6haVFnXXj2P2La2yuXGAqwq+a1WoCbu4vlgddVvURw5LW6jy8kqUr0RMqA5C
Ug8sxEiJbnttMEh7Mb1C5LIr7nsxi/OtPylQfHHRI40bQ/x7c7MZtC2tLu1GKBXaB0qY7Mge69AJ
8QNTbUg9+dHHCucmEUe0LKZQs7g/sKo3XKRU5FR9oXI76Ka1N/X645Bii+7EZdAcxFqvvkDBrWZn
7IPKs8jVcGmmUKE5vlIaIi2LQt7jfWMOW38e4T/6dTkwmjl5tVbR4jGsxLiERxA8mRJMD6uD7j9m
pgXQH1ZGKcM8IX7NF36vm5d+I0AalHoeQZIgCkaa/rOdMCvyJ6vBiLuI9lwEubNNwD1cPdVmYV8D
OY4dthjm7IMvDl4p9OazpibRQR6j7KsZ1D/KxmiemJa5J6XCcwh1McuRan23LFUWudmIOyGUNYeF
KB5bSDpQtlrjMqJo/8VM8djEtD7XjyQv4Z6ruXqFbZXMNxWE7UJuuK1R+Ehs/I+Jk0k+m52XTSmo
EL1rODAxW2h22G63ijsCpniMgnj0CnmMv86iP244l0evCmZ1sTOy5JtYNucrHR0uG2eb4EHK6ALa
HUg5XCYb6TLzy8KF7d19EkZz+JFAoHjiFnlUqWvdVk3e7/BVw2mpT2uesFT2LEH1HmeS+A6u7nww
O0V7SCJjuhdHM99gsgbDukXlnWLr6ODVE28aUc7urGIUDzF2wej4I0QWi82AZRUCgINTUT1KNhrd
stCei3pGnE6O9kllaQdIWyZ28SLeaMJM3qnjnAU0NA01BFXmvJRdYhbG4INlcLJmOATW2vehNz9F
cmlSqpFkG5/rknuLdVOmE54hSkHlU7VSu8Vcivpn78fUI427cRixcarF6q/Sr7nkVpjCXEj4Yd1q
gm4eMmKIPQTxU9Ti8aJkCDGZXFztBlX5bDtWGhd2qwy7TY7C3hE3GJyr836RiGjpCEdI0dxXGtZ4
2Vz1jtUZQru1lMb/YWAcd/RLQz2g/vxXW0v4WYHACz0ly5SNFYuTlwRNtOtjPRsvLH0KPUmpZR7E
hKOYaT6iOL9rO+z2UinfIheU7vJWlm0lbPFAlHD/iocbWpUc/CN+g2p32QuGU4zpTU3yMwSdumvb
/0vdmS1Hjlxp+okgw+oAboHYI7gF18wbGMnMdGyO3bE9fX8hjaxbNTbTrbsZM92osrJIBgH3c/51
+LnUq4YeruwzyO3U0nosYG4R+VOlgyyvngK5WU23WuIg9/RrGliHvDWTrz4g+Q20yXoZaVLNVTbH
ZI42U1wHpiz3dMRlE2PI4vf3nTQDit2xHFLjW41omUtBHxKraJ/ARJWFgfK+I7skLlaehE29gpg/
Zj0jd0SEZxieFtmqZGOV5hDuILGKdF+bkzUeXXwd5UNam32x6RGvqPOaNro4Zk4e/EFBPU6nGtlK
vAYeUCeW3ygs+s3adeyBlX/W3owUPyvep8pFf2x4BxVOWTy7/dltnK/CWtOBMrTWHOONdtQlBbNa
Zvs0z8amyeZd5vlvRl4ci3X66NdRnN3VReGrvf6yqbKpj+ea+MFhdAX51uqh5xqF8ICuzhb/kg+J
jB1zSDdJyEocEFrup8vvZQjvHDs58+i/UVa5H6f00tWU7JHHkeyo/qjj1FMM0PM1aZ0qplxql9jd
s6P6LoLZ+CxU3rKoiEdV80tzZ/e5X8Mjdd3VFom+wRBU4oAZEhGvifDYAMczc3pJuJP4qptgn88Y
kNPQzfdmm1+RxL0MHknWZnE3Bepi97QxJiJc39t0OfqFJFPSyk5YDn4toqtBWlJ9qYNwx4IEzZZb
NqM6fi9KyCkX6LnRWlWfew6crdkRhdlqghIzbhasnwmtccvyQWd0ELmtaHaSHIpyV9HbOZ3oTPvO
LPKAcvBec4tQoeFSDpKLX3bilHvgf+6QRWEG0JOYfKA2FVa+zxzdWO+U5z3LRtpw/dJ+k71LMagv
7sbVG64aDeR5dEwmfMXZUnmi+GxUQ6XumgaG2KDCoN+2JNrW2I5pNa9nwJP8HXC7Xv5Q6tqGr0uS
J99UTw9yw7Dap/dTz64RFZpOrzOpOLNmdw75xCmI65ed5Sv5KzeocNz5bl3rR7fK/OGzdFCPbLxq
LY3z0rigFRF98POwx5TLByA9KzXiIWcrilplJvXWZOJujsU4v3b9dK1SDGGBfgPGj+uOnCKSp2ll
n9CCcMvxvXvBS9qMAjeB7+9MnTcfDD/BTprTGyMiWukOpHGs/atvGGB2rtndEfBMya/0HsW0EKkp
12E0o5C8nShRXHPRILV66iRDOHmCVrjV9mS+A+HyxlHs68YWPcb5Qaqku5DAWx5bDMEdQI3Mr9Kv
bj9fav+UfJT0sxfkwFMX7w9Xb+wJ8JmkG55sszdQUxQ47EyM8SkHDtNmX4JJRBjO24OrxPtgL2I5
6yJJ7VM4KPfVzJLfgM7jfeLP/ol+Js+NScy0250lpa62DQs9e5IvwXLN6SMwG8qQOQyvvqNv/QhD
c2zmzuN3RLMM8Ex+v5b+ePWrTl9zQuN3PXqzuLC770Xl+ihKI/2RcN7DKhoUzRa66Iaob0ygabPw
gr2pQvlQNsOpLbsFePfvPdhDXwjaLGt1n8kMUYmXe7wIozpo3Rc/oJbXva/xY6brVG2svqwpV61/
cD7OJ4Md6aC4sSJjudXyrdYgL8hWbBHTLagiDUv2UEkZxgh6LFKRLCCFsiP8hPox2shD3exG5XjH
xOO3TFjrlMRq8cUrIWzuG0kl+a4JEtI1UwZfq1QMHbRkxNS9tvuBHwgasSTBz66JP8zstdjkYR/w
gKbTyeGGQ2dT3ZQuGtyi8SGFDFUS2CltOVTbPKM+XjqIn41sFBcvGdWPOVv1c9vOn+1cD1tDJt6T
dsKFCWiRL/OUpXSb51fa/cqLs1YzVayK1r6wGby4Q2Wx72dFa948lydK4G2eKh7ddeRPybtudhMm
zVNpZtVOZ1L+6QVF8tjkmk+Du48cgXG+GL3+HgFAnwhquyv86mxQ/VKgGi0YBhEQpleXQ3pnQoZs
SppaD4FiVyrEgBpoqW2flDJmZLyZVv5G+dw6AZrmzha91rIvuUvvCbvx35DJ8ci3RbPxl5TAVsLG
IkWrJNfEkH3MuCfogU5NoIvQ2lpl8VulytpmnkiPbj+90PVtHhrRiafMCJe9Pazhr4n2p3c7bIyz
4VUkG5VeGCvSaUEkAE2bxqfx2mAsPPudI74MIecnytLMmGLr7BVmwdulY83vo66HOEhp38NvIKI1
0901TKjV5gJ0/3R2G2yDtF3ivPfcDQnN05HxKKAKWqk3bx2be+2t9Jw05RynYe3u03HMNrQs3kiG
oXhtBcowi27qj3R01v0YzvXGUe4UB02q7nysupfC6oor2XXP9ijSvR5EHnt+LrbCIZDAYMD7WdGb
8sBve7oGonVeJqzf/Gx08L6OEDluTH2m4VMR7WXbtssAwGCiUMoSlBupKplLrvWVzcOx629RaNbl
rqGwpMWWTBV3VtJPrFmUN0TYsGzUFJNHanG7eZM7Y/9tQhyZsdEl4n5q2hmcpjGar9kxyvfKDrN7
rqgKXD5V30tr2x2UZmhfm7F25SZUjaXoPpsJ9NRekx/1CGQKnSe3NGIPu6RoafAyx+ShBB+m7ZBZ
ybN64xgWotZU/GbZj9FuQudstHIyognuRG2mEqFxObfiqSnmhReKDMOZUfUu4+dWx6mV4iykoffF
Wvu0FFWB3leLJV+5poxNNlUlmZFwr4vXtm8wGsvV6l3UsQa1iEACw2tOo+7RFNq4w1GR73KhUd+3
mQ52iHn9eFa9z226fC32wobsD1hNQT0vTYPC2pkWZ0+98rpzgn6JrYaMGXty6UzJ6JW16c49FiVz
VIDjHeARxrRqtPXc86HHhTL8B7Bkd+vn47CD+swO7q0x2vVSiGszMba8wf5Gd+p9DvLs2+Qpz2j2
BCBLp8bllCRGd0KXeVRJKR+JIKl3YhRbsvvGAyQdAGOVOIyIUh9Aa8RmZiCK2apBRccw22VGGcS5
lY8fTVfpO5G55qlc1bwHUDBim/VpQyRgcchCdri1KtjhpA/ANSbBE0qoNXb9MbvAHKR3t2iRTZmM
y3ufmvV+DgRN5n0a1B/+KEI+e/3NXEU7Mh6xj9zrewu2d3gImtW6Z730/uTpMsRVJrxNYGUkYyDy
iWH+gk9t1QgwF/2WT76/rYJUkDnNk7AvE2fgpQteysAEig3UD0f51m5BlrnPFvELIouWYta8aA5F
E4dLTcHxopCFGemL69ETPnhtsO+CGkFpL9knIYbPpc1YvA5cOLB7+UvqzCGMaglqpkpH/aEWdo5q
WtP3feaVxz43GTq8eapZTaxqh/7DiYuAIjzGnU4f53XNX0tgknXTWkqyZor2QF/h8rhoxDSUPAxj
yw+R91uXIC61tVJKe+O16cg6G4uqOupENT/ngUCteECUkm19Ur9Hephzxlc1pfENarsovaKKmKeJ
N81KP5Sr++PQ97SChRTLP2TqVp3c6eXJA/g5mk0/vDUFmZMRTTiUS7CQZUMEASAi1Urb3AjJkv8n
z2UgD6EOPEnQW2NxydYJNdEgWm48jPV01o6TngeyhX6VUx8CPLWFcwx4jup4EiuV6lIv3Epz8Mc0
JY2yKckIjvasE72zN756cN1jZvBLiYgTNz8GRHHJdmhL+VkXChCd5umHiiSXJ7Lkk203hEV9XkQh
N4Ns1msopnWgGIbPP7KaVPBa9L1NoF/pc8D2MPE0+vKyOD2a1JlH9IPkuvSbZOtma8OOR5D/n6mf
fi++BRa9yDR/9L2cultHcHXbkjSR3NGSYiBjPk0dRg8GAa/dU9Bnn2VRhK+Vmyc1cnvH+1FZTfBI
3Go/nZu0cU9jvbrnpET4nKXK/3JUBUirpHe4mepY50c93E2cMBQbpHQc2eRyHUwJ1TqUEpLCaVOD
X08t3v22Nymdn4lRwT6WPFutP7w4FAI/msVc7jtbFkO0VGpAVzz4tE0TSb9Z+ezSqDAqWp3TGxQ0
97lzsGpjBFwlR4F/gX+/5hA8SnpbFDBeGZ67wErjrpysLnYZtd6zPAkw6iy+eqh6iXthWcjFFcXS
ycNs1RUGci+czhYRsJvEDzYVBbaUBSuL7lyQkz0FQsqOGlhdZ7sWhuNGrd0Xb35+m6rkje1jr/EP
XcnvsRX2eGBON3DIERQFErQIm3lovJWfWmINEAhDdO5dnT+YKZU2ZRWMm0QG5dZN1hvGnTbPQRAy
4VKaa61R36rgaQ2llvcgYMa5961uBHD1nGdNRd/eVqpjvM9MHWul1UtPZQFeVddNd8CQ84a+hI56
+EY2fsSNHK4P6AN40bNBLBF6vhWUwm/bXZORG8nsMcyvY+Y7mF8rb1mgKdrshFOjXPYOJCLMeCWr
05DAMuKjXOy478vweRxh1tLWBqTuLI6oDQl+6thw2PQbs68dePYWUkTa9bGuXNHtqDQLrOuobf1l
VF32lM/CXzZshv5tCBx8KiQmJ3uoqbilVb1etwasAeolY4Qo75LKnuKlHdaUeYCmnnxF0EWFPRVY
c79eDZLGDyI0ZozKpeTTH5cKj0xl2nuMp+JoszhNu9IR5MfVTrtBK8RbVubGUAAbDJIdXWf3/YhU
wGwzWuCKgZ+rMMs7yx/ei2nyfqhwFhQ6+xNrGHEsB0aV9ZyGSpqxW6ar2ORk/OcwTtXAmwBqIp3V
/litJd+utnMX3ArneeyruJi87L5lo2ET5S4B9Bj9dguVQl80EheayoVzpaW931T8LG9+IspdATWw
QzaA5qS2lidlrulunZxfKhMD2O+QwivV/QaTDMHnPJ1OGjzngZUc5mUEv3FQY5GotGuH7tufTbaB
Rj17hIu/Ngy7T7kDJWdajr7abgBXnxaCUmxLtUa2X2VJnj4L799TwbWYT4oqI2fLHgDCF40lLZXQ
RKOLBqOrGAoO4ewhUCrTDulKGYwZDqXWT6brZGX8Ey9offeoq9qYXuepW4r3f/wTlS7AXVZfmNWr
DImgeiSs0a3LaGbcBD+k/QwVjlnwnzbGHhmqUWY35WIxh90WNkv8ttyk4cxIqPjmg1TA5sfmpomi
WyKvT4vH+xjNBfHxe3PhVI5077bzT95tp/0ycPIXO+EbzY/ALoyOYmaVzq8GLwvpZdBDczxRIO+d
m7HnpFudRiTnf+hJyjD33UOvmQg2/tyixhhNgjJVbHl5NWZktyNwPWa3IJ+rlRctk2eVBAN10Tcx
kjmLkYzrW4127N/kedvKClCRKd/o+BWE86KPBsRy+6C4k+yHxPBTuDSd280PvClcWu3Ax4A8yQSD
DtTMY7vaN2RcVijNe2HS8NnJyzR43nfNQA7mYc3hQToGpyj2A5//7987U6OgSZpBb7u1B/5DtWjf
J7ozr6nghkQhlk5HloTKihpcEN8WdcEvbJN3A6wKRJAu8mnbdcJGJocBi86/yvxoMju89tOQ3Wc5
d1/C2PJSZ3VxdD0m3DFY03urn2/pRozXQZOVvxs6HzHhZNYwRhMZ9JGSlnnMxmbZoQZwPyftFV81
k+2rVhnKu972b6tnBT0CL7a6X1Nu548JaQwPNHFJRr4lPxe5Pd2LkUCzIRjmdzlVuyYJLB3VLq8H
cYd8VK02rikV3ashoPt9K2+P7DsryK0cmjdCSz8GBTicuXN7GQcQYWyEzsOQGJyPiwUylHcfeA+S
vT+q4GWiL21j+GPxskyTeIPstrcsnS6KFL85ZEyVP7Vt+9tSMLkMjeXVG07O/mIPARomW2SnLDPq
OzWzuGd1eC1S34Q7QIEWzEP3A4T2s9RanduiLC4lb/YPct+fAia7CxLVjz6Rq9y6zHhxv9rlBoMl
EqgZeZzIap/MZYY0U9/Q67A5izK3NsR7ujtvLO1LbqsuTs2QjGSjNuZ/lHb8W66Ul1rxv7/aUf7F
ePc/M+Ttf9c3A1v/1//U/4MOvL9XQP+fnS13n0s9DL//q7Hl73/jH8YW1/sbPjoaz8StycqiSuef
xhb+hGQzqGKU3HStuzYK538a8Cz75oYhTC8klyr4F2eLwZ/djHkYqbHA86em9+9YW/5VPn/7wgJn
sU0qIVYBvu+/SMoNWDymwTmIaidM9+C8zkWLtNh5hfOdDIE6/N9V1X+RVPPlAjquCbgnMZA+FnFz
k/wXVbcLa+ElmGnAqhM7LpAyRYmXdf+NdvwvJpHbT8WX8W6mFGIQOKL/8mXS0gAqLAc0YG0otv6I
MrtIwH/wo2SnUsvpkPSk+ETW4lj3JFenUT27/51N4O9f5T99GP/4Log+JcqXYGIrdP+inKdC24TO
RVysmq7+yktTPq3Fnu6A/E9d196vXrPXGHXZn25+s2i10nGXM19xj4A8P1Z41N7zViAFXwv+YmVZ
xZ/Ct5trCyF3HcYij9d6KC5ZD3QBBF5aZ8vA5Rz7mCHRHibBDuOLe5TjODtxRwI4EIqZFPQIqipW
Q2n+CrqkcMFnUFRHk+h37D76Z1pV08+1Wx7dsEnuRVNaOL7TegflPr34hl2xznc5YGeg1tjyJyjs
vz8l/9ZJ8z87Rv5/c8nhl/0vL8z/5pK7+yw/p3/x8v79L/wvL6/3t3/UOWPKZf30TeefR4nDcUGQ
CRoEx7wZsW5OhX8eJeHfsNVxkFAYhlkHJzBv+D+9vJb/Nzy3RIUI/hKvJfkV/4ZL7pbry+v7n088
Jgmedh/LOQ2gJv7uvzomVJLn+WqvcxTOCKbiJKzb9dJjpAGGS+q3lKJ5Uq1Nb9oy4XW7uQy8Y1qp
/jELtdhUga3Ovd2VL+SyBLuZWe7U0j2+qWRjXfqQLBgPkCCWK9VEkTu2w0nOZQ0OixGTbFFsBu25
E9MZLbP92w6XH7h6UQ4l1wG9IN8c9Z31SEzXZJeROTdv7mAufCdIiuzWPZV8dXCymKjtB7w73oYS
zvZohGB5skTaSvpbuJuW8Wyi/46EZfwx7PD9NgjKVW/ZK6zjApEQzVMf6QaskUa95tRME9FceVZv
15DNbuyDzVJ0yUvbfi6Lw1ZBPrO2ERpIV/D1W+tZKiT0Tn0/uIa7Q/b0MotyL5tqk87roUnaA66Y
Tdgth9oiJ1Njgt6OU08wUJo+VAbFd0m/blIYFJ2JO9coXm+YXo8wUJXhg1Vm76lZxESkx1OZbWte
fyman4lYBpStbEn0Ef82+z79YUoBYgnGflg8y9iAs66xbkuwPTST+B3CeKaTFE2iOiwKbVpWpcW1
6tKzW+PZNx11RsmBBJKdJkbAQgmINr+dwUUp7v1KG3FKTeOpUS8eYSg0BoyFvguHekMu8PTZeZPe
g4zKa2B1923Rn5rhvSpOCExYgPpCxqbj5aCe9XEarA+eKAQzUK12OFwru7o0U4KVZLTtPc3kj2u1
/O58hNtMtkDr80gi9vwF3HQoBpTFflKcJp2ucbeqX1mmv6XrPayCZ6mDpVAslSAhxo3Dmf54PFtx
7lZH5SVICaYl6s3V2dUABIe5JLEPLGfb5WDGVFmbwBBVlz/kJj1QWo7lqezXi1357r6apmw3Ocm1
Y0PsmczLnIIUPD+Igpr+vp9QsSMx/U609V2xoetlOTqFPmHKpmI5RC7cWUjukgHvVyPzR10Uv0EH
n5h7/9hToiNfDvO2trLfbufsQtR95rqEsdfA+1R99hq4wysrxr1szGfi0HahCqgiGhb2NNY1RlVn
6yfpsV7bUyqqr15n69Zfpfgc3e7LHcePkZoaEnBzXExTtsEL9hLWzsYJssgySg/Cxo7zZPiFEz62
fYOXXjxn3Vw9tpJFm2A5SuFNjdhB2t9F6tinlOjXTTUjKmvqhoXcKE9t4X3ak7OlwI1nxwISOoZr
G43Z4yrPnsy459izsyBarEOCfLkLrV9i8U6w0PtGn5DgrvTjjbMnN/oWtlazkYoMq4xSxwoTHT0F
au2oXE52y9z9tByemSlAy6Z4F6Zy3MyOeanKd6d/rmdy65UV5ZRnUv+OsgVZR9F+Tu6+p4XQb97H
QPxKS0JfafhGcGVn8DxNG7sSDivUtd/8nDDbg1F0rM9WVCSrDdpUdLlsUVyDH9At5KTLNTAXYzmN
3VqCITpL5n17+egCnLucOnlBzxGlx8cwoT76p5lXyJ5j8JCiejIFDMODbzWq/UH8gbIOKVnv2Sns
QIHrqPdV4x8S+IQl1oOTFOe1XNgoUQtJdNWMmi1HakphnRik89U1Cil2mGbdBvXU+DSk2gWe99zm
OOd1FUYOe7sHXz6nEjE/rqh92rrOO7rKGcvZYjbdvm8d8U2sg5mBLuSrs+3zceR0zlf23kjgjwvh
fHJXgKqV0OpC0tS76cfFUNtBG2W+W7lvPMg+PWNvaWRCR9CAFRFQpKwfV5zfCMu7YE+Cl/yh+gw7
QskLjzPLtFIpI+GO1V3S9ceSt9xbBiIjVq/87MH/q5wtM8iNu7qvnJc6cSSVOklOFoNYnh2rQerp
+sOPuguqzZwkb0540yhP+hfFVOiCmlk9sOfy6iCD6DycTeF8qOzuBPQQntp1tyBPGebiTLfMnZuN
CCfwG8AICM0hOvbIjvKtLEAGzfpxcgjsC8N94fB7N6zYaBK15aRdDnI9WfjYiMDdVb6h7qD28k3R
DC9ZBiiB1OAW24QyvvEv08g/0P3v1S0P8BJoh0R6UJl/mFDjtPScbeYciRXSrR22HjSaLqiiMQ3b
iS66k5GWdCNOe0eP3k8/IFgIJ2CGUEkMO7w081FI/SbSOiY7CwomO/Vk6U8FGN888koCYVxFltwF
jdzRsvqcmB6hjX7gvMglVZd5Yf60TSO6EaRlbaijW5Zn1QEhs5QnsYCmjsYp2fPb3OsaWX6z9L+T
svwTFDDRTmdhjBwX0mTDojw4cinjHl6mK705mptl28y8e+tUYtBI1eOk0ICM6k+njQt58vtE9Jui
M++D9IfjLv1O1tlZ9c3jQK07VEKMNSlasnyv5QOxRuOWBq43LPRwbetVlODAzBfjpusUl47AytIU
e9Z22KLuj7kMj76jyoeKL7yBAd33Vhdsrdm4jJ6+97shj7siXLxIY2Z4Cd35M0F2WeAO9HIj3E/K
2qWZimH2OqGIGhk3YFQmV2kw/qq94c3N8yxuAJeOw2ylW0PZwy6dHWxeFTqLpX0d/Pm0oq2/Twx1
ECZokXCWnZfZj8QRpPgYsCQYs3rEX1fsRzd/WdNPrEFblenduE5HwD1rs+DLTBpsKUgd1WrGixNg
6MPGlbQabdOQnzE2L1t0NXwv2bUHee70Xvicy7OpDj32tjhrRHjGqfoH5+i2dI0vKN9DUPMgNdaW
xtgNet94CFsVdy0PADLvYl9kyxvS0t1CnIY0rYP01Q+ZdHd4IA8tUe7SpBfAqH7no4wnpbYlaQeM
MWsEDvXueMNBeLyLSfVACByvoYncJvDm6uh4895p68PSz7spDb+Gwt+42WOfXNKMZws7prEUHPUc
xuFLPzcXqH/mm9cROX1iQoZM763TH8xFlG+6MbkFH8LVDPdqqI9tYhxs24hmI4wRhUGji3ez/RyV
8R0WtNDnF+gq83eGDAstfez2wKbzAE0Z7nVmvCoLTknmvr2vikC9sR2+W5NZPvNOYjRDkRLVcryr
PXMvS/FHoHIwEc5UbThx+rKnclXOcZV21yzt2wV3XlpHXvNutEFHTbWFH2rC7Fm7CTN0ReUFR2Gw
EIBWJFFv3KucmrDwJ8Yiuzj32ZPKvG0+ovTvszWNa/oqH6emBtXN7nUO1OwN7p5HzY9kCjWaJRrv
LFeGWX/ObnNuhuA+LDDgtFmDKSDvDgVRGmssiS8DbecE2+LI3CmS6z8mED9u2p9NGdLE0dL1gCx7
q/297LnIR/MecxdqO9sJDphzktd8Sg5Q0001f6xKPCFdnsG03B9h+zWSlqXt9IDlaNguif/kN2gh
TcfkZOiRBLmoXYdC95Dqib9JKc6hlgA7Cs/PYkeiFvfgNHsJOrzJPLNlJlLda13ddHtI/NfvJrj5
cXjpxoszj/lGt/O6CwZ72li2Udz11VRu2sZ9weAtI6vxcPUu84/V7tc/WcZ/U8NDWE56l/MMbTv9
GA7T67qgTc7DE11Zx9JLWoDCDnFNAS2SbfCQXpzS342N2HXVhER22CLnGmIDJPlpXcQQhYpuPpiK
FwJo0Cou53aY+i1pCgSjpWWcZNa7kYhz5yfQfeOxG7pNGRiIEPzwEszpBT9ilIb5vVEF71phcenz
+7R6CrX3lWToA3zjo51JFVXBNtF6mwdcT1PSiRfPqozDiqkzosrhaMjuIIb6bOXrnZ1Li9N/4ucA
ysnQfY2e+WwJ+0HhQ52TarOi8okwa4sIm0B3oIeSMYT9LpY5dLrnPzaBsU9d9+aw+cY+Lg5sD8Ce
A6k7Qh76PscOWk/x2PDh9djBIjkWy8EK5lfH1CxzCnW9ORQv4S2NCJaus5OjM+lXBsGTJhYWPSd2
47ZdThnpSKb13gY6jCHjIHh79xsg+zRxftFa9hVWfrrVZbJfbwlK3hPXyovHX+pcPW1xJ6KH61zQ
Gg9se0z0qZn1e+EYscj0/dqgbPc668/UZb/lbO60zN8wJl0IicBKZmUfbj/f0ZHFux0eFn4tIjkM
5cLE8TPxd/DqF/LVUGjngvvV3A6lbSGREMW2LKv3ttbhGy0Pw8VxAwR5pEm2pd5RBPSwZtzImX/T
5ufshNKZ3tEC/KxKFzoD2UyJYRIZ/Baq9TVtZwRGNz19Zv3SQxiXTktG+vjQAvsT0XRoO1xaJhYD
VB6PgZ92z61b7XKI2Wi1mU4bv3kq22A3rT5Ox2z6I9eOHzGxa46ItYgGrDzY3DmxQj1CMdmfQE0a
lY/zC5liB++doieb1cEo5grXQbFxkgG1Xk0XS8Dy4YC+n8nHYkp0P12/4hwhex/Z2/IcrM6X7OoX
1nvLVUbsjzPYwm5ATYjxF21y4e/cWl4nhHdeYl8n0hRGIHoPBrTWzi96Ew/BND+LpPloGNxLq2RU
YkeqSqzy57B0d91Qvib1hRKxJ9JO2iuFEagXxwOm09uIEzXpl17LfTa9a534d13bIs9cRf6zoBJ5
S3HhXEdG2l6lGCl+Vo/aD9NvScv9yLFdpr8lypC7HOL+BtRV1pEnyqi3Q675BTOQoJObnGM6JuF2
yQL7pbfs5tG0VvNSFDx7bdIisTQz/a6qUsek0pjH0hfLpltYnqkpv2sVI67b+FSueHW9Y56HUC5u
mWC2JBPIn/r9uhII5uHYmkLzK3HTJY0QSFjHQiGyoNhhPhBFA7U/Jj8NO61eAfkMFjppf5Vz2b7D
ZPt7iMFxF0o/21cJrjXXDfoj+t36kRUW55BjgKwiez4k7Zjy2avW2aVp4LxCIONHMKingSiXi331
1gS/I9Mva44B0PSScJWdmsoPo5VMLcSB0uaYL8eEqb7wFi4Nit8vXC1Fu/fztcREAswB16vv0ia1
HiqRTCdVBZnamVOx/KJB1o+7pZ2PnED1UfboqcdaGifKadg9cInVCMYBDDJ7t5ih3pqpP78X+LCP
XmHPH33j42Fbx5oLgG/zKuZ5+pMwT22y0PP3lTMmBzOb5gd8f8uvAgslPw4e7qWuyibuKxmEsZ+z
BdX8ZPWlyGW6tcgJ3WNymmO/k8He4Hn4lLoX+9BboMbSkgRyQuCIRjUPRCAN84abav7t4qX/GEZs
mrFdCLR5AofmrCv34jizibY3cZPDGNTEIOCb3ChW9f7Wl9x7o1PEmDnYf1v1EnAfwg8jr9hpPvw7
OrnIVpdGE2tiWAGRiM+ghgWosOEoEc4zIExSYBrw7oU9+F+zrfIXE9f3DtO3nf8He2eyHDeaZtl3
qT3C8GPGFoDP7iSddI4bGEWKmOcZT18HoahKkZEldfSu22qTlhaSCDocwzfce+7Glsslg0r2L4jo
MX/EpXpksZd4mZAPiRRBPpoNuHGqhPnVRQTXnk2tlF8CPeyeEZLKPFPbFgwbO97IsYYs/RZEOcXG
2JBuo1Ddbs2qBd8aT+oWAxRNLI54/T2XU4QzUaUiRPL9Jb6MDcKhTppkrzPjPsaUR09tMky7GAvN
gZF/UDuL8x4KnaL4e5WjOjNyFHzjRa1TrheV+kj/hJ5R4iXjy+YuivJV68873TbObPhiL6/t27Er
XhUfEE7t74ekDoDXKT0APGQGFBysjXetD/jPmZqOCUBhFpblppk+HQi04jGCVIBWaVTDeMYxb6NW
GXqPRr6/GNKgeDVhagRc0tdjtkNSQe+BI8FucW9otNMb0m1M1YsN07/Fkhwui3AGc1PvldwDm8Rv
g9Trko5mBxmjv5E4zrpGQOURrU4MuGUOr1ZbPCLCEzcSDjPqgPyQqsOplFAwKgmgmcS247OYZ/Mk
aeZtoWXrzMrP09j0m1adW+ytVdUjDBk6zKlmW2VenTbdXZCXL0kuljt1CNtdhndPc1VlQsIilXV0
wDWnQ8ZNeKSm1lxvWBR/0/0W1aJg+HoK9NweISRkBrI+SWD0kZi2ZiqMdSeCYrAXJStmPJ0+blt7
TFy1zMv3VJmZec6mEfCNjux24IOfB5lSG4GokVGMdP1zWGYTi5UunXn64XZD0DpWvhexaHXnKq/v
paYqJ8fk5+79oI5XkWSmx9nU+m2sBLsW6q9DcGt3GnA9rVR2ZRdVm5fSY7b63aCJlJmi6WNkZFDB
6xV3wmn0tWaNNUE/KiXOER4hwl6r6Abo+SCuMFRpsUnX1SrKaAPzDpt90Mmb2uy7b6LqIG4MdMOx
wWqsrYqVbSCeCtVNVw3HAgPArdJmdPedKo9vZlrIaGaoQ2iYE32mv4ZJF/MS39FeVd/1CEnJbDVx
ym8R1KiIdDLPEEccZqNhXKIoIUrAEj/q3piKG93SS4ofNCLnFCHvS0APZjtVhyWWHlLjbouDgyp4
YsdJ3V8rZvCgddU9ITYMFtvgLHqBnFJSDA+EEBoJGnrGHRqnNyYEUdRc3epdq2zm2h+ebV8qjqnK
pC01UyyAwdLaRC+qkMLtkNbPeMJvxNheel988BhxB04lZSl9uHTV10jCM5ThvIAGr5KbJ0Zg/JXJ
f4K9lq6M1BpcJY65lgrcrhhBJS2nDeseEeXMXKV+dqzMZ6XQ7pgkiY1fV5pjp+rNMJqTIw/FJtNN
FyGTtGVf+dBUmF7w/bVn5kw3+E3WEbPVWL6oszCPBaqGkeefSGvmvZKuVccOCMVZkhimN7oUsfzn
iwRChyuAO8kCwilM5nUhqqZQ8ZUXElJDh5cBtrG5N++j2lhZDSFfnXyZmM87o2Vdj+gCHN3O3lJN
uZK1onSpsAF24t4lMmZal7pcvOlcKyVPZU/t0ms56ZtVWPkweKEPmsNdamjtZpbzEiGXbK0UbTxW
ifKYz+obluzXNr5vfJQYOF+iucc+aj6iOdVYIfrMnNosdYOknDyhv862wUmMzPtBtk8oX/EaMAAA
s+AyRZydSibUr4sh0rSDVzAb04PiBpPWqsdRN5blio+61nki+GxfslZe0zc/jBMKazPTAFxX8d6G
SI4AcoQ0pmm3ZFn5jE3ry9B11z52AThNDLxmdROhhHWjVMGwNGH8b/qaWaR522Ot2ibUaUfmDdvC
CqJTIijyYGuv0c74NyrpNwh06u9oLrMt+aT5DQPi25GqHzkUvbI/6HdsmEGhM9yuItNetZjfm2jY
stPRnrqipysoH0gQW9MXVR6b8u9DFA+bNCzBAxAvJl9HcS7ds6nOdwPmpGyjGtIzk4NDlzOrFtbw
YOFNmM1xxAbcnKupeC+7Dh2wP1CiFdlHg/2U+crHmItHq+pwSqgYoTUt7p0o0CNExOzpmajcDxFT
czmozgFOmz3j5/kkRX61zoagWWtpVrqmYXZe1ahHokhfjDTd2QGeFd4r+POy4sI0XnKaTN77RtRu
6hGlbTM1LI9YZuz0KXMLranQcfl6cSrQEHto5725wXmj+rIni4ozh++6VxB/CgTcgTxiaEc1lPf2
Melm5SQ1YBISyRrOYwczpJXpYkN7Wk9zoa3oDCZn7JDzFeps8c5F516lZ7hD1moMlIuJQcIRcay8
dKiWtjIYkSsV/w1CY3uKr40Y1WGvopay2KwBN2Cr3ei7WUqaO5jlyTMv8vFQFOG3WfKjZ20OrCsf
gCyMDugPkkF7Ui3rkThwg7La0xX5VeKvIh/ArOjQlqqJyj2B1P5o2Im0VlUFf3xxhF+26eYSs6j9
OlYM7Bh7SIykWIzZ6nRqdYFuZ/iu8Fyu0uQpZA9TsB5y+zHZzkxxeKKRo64U8ioMOx0AB/dpOYpV
oyXvShwCGuFTU+Y5JuSjVMXnUbcGJu7S1QSDaoGQb5AkviSFmpo+zlfvI0kanQ4NF/Po9iNuqqc5
scOjbcbeFJjCyVC4tlQYjkoowkaBatdq8R5bO2w4nak2j+iQDjcSc/+CDa1e9X4zOH5u3SNYfOvN
6CDF8V7E5jZOk40NCsJMGkYqOJiGzNETvzpGUlBdDbKATwRHxykX944tQ21hpTE5YR4UKEZtHmox
H5LZFVnARHnvlAZJbRN3+lbYx1zTs61WpgmqDQmkQanBWisRZPnZo6SOH2yx+LjzNaqJgkf7UiGE
TzYDpq5LR6wvi9FukO+iOLofa0l1yxyLTzXvptE/+Lk46bWxiVliOWz9DpE27HkxknFEGKm87DXX
ra6WXqzRiphsN+JEZeIo24dUKAHqaP2xmVuunGGwHGtEV8465AIe2O27snErqXpebP8e0lftlPBJ
1oChwORkIJrAAXHPPBTxczN8VA3LDolLPxRzTJUS6d/bwHipW0gcqBKLTBUssHIGvqgp7wtdzfY6
sSjsa67UfkaMF70Wcv2MChFEmF+uOrwgQ3CFm5+vtUIuPKPxXiOntzybDtMWSLvVDvEx5RllQyBW
BYfVG3HuK7gxGechjoY1cXsOIyq3kuVDG2jZtmx5OswWo4akkGkgJM3RchnN/3owAF/EMxGYeIUA
OkB5kaGj0PZfZWOGZVQXbLqicT8SgbcJM826NxPmywNSF6iGZnMN3/cNtwGvBmmzrDh7aZF6k8lC
UK/IvaacX/S4OMcAmZJxlcWl7M2pRgOTFpeKs3CcE8EDXBgXAX4zmfA0hLNcQxBBnc6J5rrTe/nD
kN/ivh6+QWqr1joGFim5kQ0Jo27h21emuZABAjcxVSJSmAMhqHxIFDjTmj1Tcfd3WNmU7Yzjw7a7
15rrC0qSPTyoDGTjymJI3RpnWQm2M5JM/tqGmSpLjVBjQ86rfeQ5LotbGdwOAg0ILXV8X82gfKJB
/YCrmDd8Yiy5ReLlYfCk1PF6AB+7aRQEQxnLxnEUe8ADtz4liCYvFnZWJEH2ERipy0SbEBF5HjZ6
R9nKq+a64iFvlvkGCIBXdcCL7DFw8xhw2pAdVGhjrjkbnUf+/DbO1Z1d8q5OyAp444WC3N/WynUu
NRtcB+UWQ3SNwhBhMd0JxUGWX3NrIbwu5lt6IdcwWMr5uA68ttYKr0hTmC4m8lI9ZNzVwYALWQaL
dwr/bRZKJyg4NHRm+h40w8lI60fN9rn1VNvtwxs2Qm7PlZwIHshFA8Fwqo45RWH2mA7dTvgsUsj7
oH/voodMpGt1njCZtsK/tZLybVBTFKvcZbIh7zSjZfgYHZDme7EInhI4jG4pyo+sQI4wLbxmXiGu
ACvJqmxi6A90HdRBdMpC8a3DHHZSuhoTQKMd5KDrPLBWqJdDYBzD9GLIWf0Y4dfdDIAYXJOhkEfN
uG0n6RkZ7CoPK0Z0+uChAxncOsYYYCZ7LXtPY/+qzSEV4MbI+/ESYmGz5OGuEMWqVtoPZp3sM2Wf
G8uf7gcrjl5gSt5MNKtDzYC67FdJDzSos6qD1bYHpexu8vk5kGe3RK0nlwJHqXlmbLdRQ23T+dFq
UcYoXIu+Wm9GwfCuMCeezg1Ws3TYpS3PJHWha/TRVdtb4Kj6BbXRXjUlr+YCKpGpXbMe2JWxWI+F
+iZVPPeDuj3lvXysecbbGJa75twrDXUmko486K5VeJ+9+pBhZAlY/NnaXW4W+3aS9yGIfCfR8MTy
zqYDlD0LzubWkp6kKmOvLHpMEwPqn2kj1JFKqTnGhb/mLetZPRYjsjxdqd/KVkYRybUXWZt2wk4D
U6ktiN8i6Tvl9JFEQziKeWmY5SeFT1qdpq8BXLnsEG+VpnoMp8ptkwB+EvQlQDoeL8jwQw14ygZq
4Y4G4AEEO3VmrOYZSROcqF1tTCf8+NxZygD7MHiUpX6fCEYr2ZlyE9QVW2IM/hKMqVe9xpSr4e/P
mhWQylXps9qd6Rvw9zW1YG2gHDrkeaUxY52RVKa4Gb5mfs1MqTOcIEiA9T7a5nAaVLThVjNvhI9Y
MEZZhfbYT7NXPdUee3O6ZuaWeiOzfSM/9HW1zW1eXnoVniXk9hL7n2lcmTL+jygup+9YBBd0n/ZB
CIGbzpwovbyV7eRu1vdYILwpVe6ivL/CI4ayvKnpqMpmNdpRu4qTBFlEsWHVGNKdS/TRFlc2sAp7
lVfJlZpW831DecoDMmTgyjhFC7S9PuUrq0vpQ8X81lA4RXVyB6r2DioOoXgWe/LMPsWzVR0rvPNX
SJLma6zDh1GZKXX8959UdTc/FGk/Q8u/CET/FKopAl+6Re6FIltf84BLu5/9JOfS8AtTv57IGFhA
Sl3ynpt1+liNA4PUKAcjMfawXYB+TK2ygr2Upavf/CYLLPrHL7ike+gG2TY6sW7M8OQ/RbhfpKpR
RKGdtSJ3kO81r3bq800LZoKpk2Z5cltlkvTO2B7HYVc0d1arDmsWlw1U4NlIvv/5y/yv7vI/lliR
/1nCvYm+1a9p+1r/LOJe/skP4aWk/wFASLdsU5ORWArzX+kEyx8ZmCZtyNwEA/wQZf4lvVSNP4Su
M7Uj6kqVZXPhhP+lvFz+SLYsQ5bFD1n4PxJeCv7V16sIySU/kd8QCaZiyF9o2VjRwlgviw/qLVyz
u/KS3YonEHA2vnO0M56xek/2ALTc+Si2XeUUm2GTbM2DfZi+68f+vd2VN81VfmHFd52+x+/C07cp
WoGV+TY8tPB7XnmGuflucnE7bcG07jBRrezDvOvfQ4LW8C67wZ696LnaG6/hjfYRbYsTI7BXO2SK
vxVUBQ/1pT02e2ndrOxrNuJrFI1uukselHN5HFb+Od7RId0qrrJKb6ZVdeYJA1jfukCY2mqBa6/z
6+I83C8BYkxWzvPR2ozH7qHdVbfStfqm7DWXYMJNezQ2yZW+rja+RzTCSt6b69A1PuKbYs9veaUe
0EE9ZLeS7dhv1ofEWhEUUu8G285Ac4cn0Ekbz9pXjARdmyH1NVScrXwfjNfVvrRvvnUniCz82OAq
vJn29vX0wCk88hk+lFW+9nd0C3vIbyv9gB7LMZ1yjSLmQijNhl+QfGKyIgG3rgBF79UjliNXJlLV
uvj7fJ2smOd4KDE3w3emv3W3Cp/0bbEHUbeWVu22O/nnmrZJOvgv5hZf4h2bkPGMp77VHZ88SIyM
ZetGhpfIq5y/H54q5KvfkIYDs0F7tetcw83X40Hl9xqP00DKqvXc3k25p5KeDCftCWfvNjqXh2qD
zDXeVVvdM9yYz8WojtMS78KduWassmF7ss8vzQu6gpN1wxEe7bXwHfrZnQzgkNOebKKN4Zm3zO8b
J36HmCE9Jof+ethYH9OpBtfwaN/ionxUD+1dfW0t9cBmJu5RxgFMBe1IW/kqWouV7JWbzhXr7pV4
OqCRroeun3XhtXTH9Ym3J8wxHG/NtXCKE/+enGvFCdbGATuUDKTdiTYoUJ5R/DvVub+JKmzAjnrF
SUMJj0d9CzCilj1xIYQrxFLNEgndzbFfQz2mNfqme6NXbVCuxm5wuslch/XRLfo0J12b2/R93V4W
udkDqTFBDMiH0/RSrBBBsE53O7dZKSvJheEcbaqX7ASOfd1eF1RGmZPwI95jLiOojGyqHE1cLzzV
JD8irqT66NbCeOrwO9LPSwqdhv2RQudGf6y7I9B59dQ6N2/NGmTAuEoPDFtdx2+g9rnqfX+e7vR7
3uDgf8rswH/DRcTauUA+9dZ5NCb3SKaEu60RJwPHAH7FtZges4rSlLC1FlqPg6JisOF7OO20ld9g
N7kR1y7hRhutdqbXaj8/5vIibQhWlcfaOt7D6rl0NyOxe0Baez7GvtqB/TVfUzJg9Uv1ESnGdjLv
/CuT5xI47X1+1DbtWpW/6/fViiqyue7uSi8HG6Cum+v+BHeUrumkP2hrQbYrsNeRhoXLuBBIF0jC
ww6KvjjCt/Vnd8H7GoOxO7R84JMxwzU1vX6jXuo9t7Bj3MsKgx2nL85975m41ahLaOLiU3GjvVtI
RFbjumlcZV9FiK12ZnpKX6M7aceeTlkzCgcF8QFJ05Wr1SO8KGpQCtqztOKm3kGC0ZtVq75yfuWn
pvYU7dFgy+Nm38v6UVoht042DOsh7TjzlqGoYp3UdJV/Az0RGVsiDVKw//WB0WfzPLqjk62GWwD3
3rLFDZm+b+0ZFD7UVafl9PUM3B6nTKc1f2FHLxaHKuXvmx/RHK3Vu27pum7wlbf9Hj7hA9s08awd
AFnk91W2yx47uhgdy7xjbYGLIa0cNvKptgz3hfQnrPzNQxKuDeOhRZMuPzJ/LLYDe+OWIc6qATmK
yuOps4E1b5iyJ7vJfuVco6DEgLId7oY784Frys25uq/aW5bhDetew6n37Tnx7syd0N2F1ALVDMXk
e2gdA/scSN7w2DzKZzio/VpWVp20jp12A+h1q0KLvZdurNtm+257UBwz2QMxT8qN9mqeZAlX9VN1
3bHKa1ACDCcR3OZr9boLXEJ58hezw3s4sDsErgECpegld3yL3WmTs1t0WPt5qdt60e1Axi4gONc8
xR4b6/DCz3mi1z6HWJ2LYc3NITwp3Nerrjwp9sn4ljn8WC9e9QDwwh3PDfoFNzce1Shy1A3my5Wo
VsXkINy2TgPhCDzfssoxe09iiuxkz4zE0Pko2Sl6kvMnVNXtiwh2Zut2wbH5UBkKVeWbXt/b13py
6PaZfdTkjVetOoebqvNQRNz3q9XwRrNhMMbiTnTwNWiPwfzen3B8OiVMP2R64ao8wdjj4Q4dCXUO
D9aEPzhDCWWoOPVIgqNIvuGNRZv91lhMfvIHLdLWRsLwDTnVibVDcufHyFQdu1/lGywH8b7b0eu6
1Tfr1royY05FeyIWC5Ky8o3/aU/pfjr617qbedU3ACw7DsWXih52lR6thB6DR325gzS2017CXfet
JBbx0H1jJbPVDjr4h94BzJXcFEer8qqnQb8RW8PrPGXNZwX0L9bmuOH/hCiCtrhvfYTMUrHOwy3X
Kl0fcnpz2LLsNZNNVe7iaM9oqCu2rf4ILjF473Z+7Y3k0kurPNv7ipeAfjQ3+3DPRcbV3J9QfuM4
AGrivVrbcHQE3BPUMMbeb2/kYp8OTJ69d/hbsvYjiuQfleX/B8bL/5cslb8ONTy9dnXURl3zcz0u
ln/zoyA31D/IoSEZhmEPriWAsP/lhNKNP9hSKoqsqj/clj+bKuWljF/CZEjRNj87oRT5D13R8Udh
hYLeBc7xnzih8E393NRZCqYqGfcTtAmFAxHDxJ//ZHOc4yrNkwSlVp6YYi+Bqb03qrhm5NONBIW3
Q8cLpsLlUC16gbaY49dBHswPYMjT7qdO5t+0uktIzb/6yz9/Fajiy6cSGCFpIj//Krk9NZJlRpOr
FEGz1RVj9gjq7LZmmZpI0rWQJ7EV+G8V6mXn14f+6i3VEIkQ5KMstldTGBp+tZ/PAnWMNDTqXAD0
CR+sFjqGn4/f49FaI/1Xf3Owr85SDqbbZEBBVFE0lbTlzwcjPdTQpcQqPXaWUL/D7lUtpeQ3oUD/
/iAWUd18rKWv+3wQ0tbqINUlgiyySOwQm/QgTVT17tfn7XOslkWMMD+fb8pePooNPeTzUcqmb5GI
degxKFF0aUaHH1QX25y/B2J+TuZyZ/UkWtf26tfH1ZYu8edrhQNbMpt90qWwieI9/nzgwrBrKWgZ
Dac6kBa3RMZ91PsKMrU1RMG9byFjgYaJWtqNCvlVXYRno1TYTDF9DGBVXwCZ75gZ4Rmp5xEwomSz
fYG+8RipfQmgSpFYPkmZkGagPwpGe1bJtKjNqF7axuIH1SHw6q5HP1AnRuLvKrCvV9NITOlOQYCn
oFlolAIe/1IM96Q/2Tu7qSnwVZSahIJkkfRA9s1DzSkLtuCHloqn7Uyx0mMSJRyV+FDQUIbOC/U3
Z+9vJ08lQ96wbSGT8w6M9cvJo/2WEqQcHrqq5CTJAK9IkzR/c5S/3VMEHdo63mKV+xlX55crsI1G
ci9auIWDDE/HbmuFhYM/AiLtZQT9eHN//akW//fnS0I1uKlUoZs8cPWvkWOGlJV6F9atR6g931yX
g1I0AHAHJUVGlRQErkxsZ3990H/zIUmExRKGLYX53NeMctsOMcAabJLMpLtp6jLZtmGDJUu1b/Ip
+l3S2N9u6uU1ossmViKe2Mri0P/5MSWXLKEDUPeez6/kYqzqV4E26utffyax3DyfzqRtyHhtdZ7B
Gi8t4+s3J0qFfY9me5EZTw9GPGcRZLESLUBVRNbF6stjnffoH4mOsYVXSDJrAsVUzIsBB+Y6alDJ
/vhy/1Fh8f+pz9rmQv6fB35nYpTrT8XF8vd/FBe68geWfWMZyXI9EDnKn/yIItXlP0zqjiUSWWZe
y9/4b5u1wkCPiwdew/Id8xzlH/0161O0PzTc2rCZUP0b5Cpb/6S0+HyxmqqpcfdTv3Bj8I7gN/l8
sZrInwdR0uFzW2gAjrJ4H8nK+aeTcfPjovx5PP63g1C96MB0NJngVcFT7fNBumJCqqGrNRhESd+j
bNe3iOj931Qmn+9yPgpHMZiCcjI5BAT9z0eJ0TgVcFiJGCBn70AYySXU64BoXildF7IkfoOe+FwI
/XU4Xm+cOgvjwfIN/XybNxr2lbGdas9f0oT8KcG/LBNbKIUok2MgEHs9QSHod2q++fXp/Pw+/68j
a5ogERQ70JJg+/ORES7KU4lt0fPTPj0SE2jv2qSeVkoLt2sGxoVqTN3y4ECxqrPE//XRP4+Gfxwd
Z79l24ZmUFV8ee70k0j8LOXodsXMbxj6zOtLuXFDqw32//RQS6nJ/Hm5zpdr6PMHjQIfwXbDkzRA
zUTkc1CuK97OiAOnyfv1oYTx9+9ziR0VChfiMnf/889/qrHBb8PwiLBnpuhJYd0XXbaP0CTeRQLH
8kry8/oFVjpmfKTCAoSlxQqZ/MAl6sFXN6z8GMHEKULoaur9B0qysEBPn0QfVmqpzogS+WnkDYeq
HksH3FCQZczSoxqWtYNXFDjiXDbN0zSnwaPW+/2LJMLo4sNbUZk7zZAEUCe3sqekjQbGG3yyvgo1
sI1rsg5mN6NqPobwVPE/EhJ3JN8Ma7fWVczVRCzND7Q54o1ci05jqhAh4UX1M+JnDhX7YywiaJlG
1UwMKKomaBm2QbUyY2G6ZW9bJ3wYwSsMKPuhbRT/AzAfl3qXlvk7JolK7AZYs8JrYYffR2HKENkS
uYGpvJvvGQhZF5TF2n1YF2pK8KVBLElrKuwcA6FJz8DJpjdl6gWxp1gsxLaAVHcVGYO0ZOuQqo0e
IkzzVWBIlEO61SMByH1ccKwxW3oihLst1jLDZFBrzPgw5F6OXhtz7mTPN/AIOPpgoJODN1J7OXCH
t9LIg++yKVUnoCfkzcp1FT7JehxdiHclb1itdeMCVW5AEbmIC5BWkyauGbZ8GmKpulLiaV61pszA
NQDy5s4zrATIjvI+KxUNpz1IbpKtamuk2ddJZ2QSDk3KIaxvWPdT56cQUAWxeX09eZ2uStsqS40r
oTYNEzo7tt9tEFDnSJajciMrIYLbIq0rspdn6tkgnfPODUsCkHxigeIVnwmjxxBjd3IasiZfyzLR
FgzmqB8StcWPLiYoy+6Ul+O10vRms+oxvjD3C5R5GxoILQK/MjHEIfPdtsM4v0PKzhmRTDPar06k
eDumwRg/eqsuHki3m16brO4fJbmGEJvns644PJmbyh1FaTyB71eYsdZkObux2SuPpE+myKxhU6+j
AtFZX+Kyxs3Sf+vYQN7WIApgW839R9s2JJUNiCQQ7OTyWelEk//gTgGNCr4X/+ZtpCxPqH9VTssT
DO4Jj222abrA9/C1H+pmstjQKnoTAScxQLNqsjYDHMyA0KAOJS4e7AZxucT+psvvygolyAEQmlvZ
V7p9xKo9wOyf4Pj5lxaEoyKtxyb98ZD/31rqP7Ds/fRs/jfMmmVY88pV+qmgWv7RX+tT7Q8WoMCF
l103ZgjLpDX6UVFJEGh4crMbpZWhHkBP/6+SiuB3QR9PF/xX6fTfJZXQ/qD95j/DWVOWLln5vy+p
dFMVdFKaZeHloNdRlC/1v2K0Nhd+9BJZAygGk7SSbqTD/emc/JuL+PNb+K+DmGQIL2QcdrRfagAt
y0xUscHLYCXhNieFAjGxJO3lkpXbr4/0uXj760g2edygvWyyyb/0oYFOBLA92c9iShPA6YPd35IJ
i7bsnx6G8HVVtzTDUAy+uS+H6QakKU2hPw0yiJ5VLmfdZSQ0VvvNeftcOy2fhsPYJm6t5e6nbfpc
UiiRRXpFpT7NIXusWPfVx4AoO6o0BfBdKLUMadHx9BmaZnVKy998yM81xo+jL+WFroIRYyjypaAB
tiWj0JGfeL/5nioyEjAkfDeepktEMyWZ4pVERl5NUlRd//r0fhkh/tehuVAYSTK0/Fodg1qUlFrM
TxVY//h+RJ0J969vBIpuwnPgFxEIyDjfTpLXljwAhZ2Yb1I461i1VoVVDuVvrqu/X8EKPjyFL4Sr
mPnDl/oZ4GiZzqXy1MUE0jDbu1RwKmF4ZuIfHwg1BRMH2aBgZQ7w5StH0xySGKc+gdao1n6nVytc
v2zixyD4TQfCNPLTq4WzDPnK4j/TfZgGQ70viLbckCQu4JDMRZWF4aRFIfJVf+TGsQowq1E9JMKp
w8TWQJP3/t60g6nFJp6hXyctdFYx6iyy96YdwtHLIYh8802E605XG+prNrQobAPR1pQcOS4Gz5iJ
iSdXs8JS2k+zYjlKTUioKxHqY6DNzGXTsXxSJiCBZqyoMTmKN0uxNN5y/RzajubDZ0Ikl1DySVrQ
Z05OWS9twImqzcFXxXyy9Lk7RvM8jWuoDxaYoYroKStjanpqJNvPzxYD2UfVSGYTF/AoF1u83ASI
A5vobRaKan9dVkZXgZwZqHhnVO9c95bQ7mCIoh5VFK0tV+VEeetmAwpzlsZZ8c4IiYyNVI7Tfudr
Sn2ZUIpCHy1raqt0Ac9viX1pdqVfhrJLeVXgZK71Es3BjHcxCAKN/qTzkar1OnDPiykns3qYcwO5
bZZE/Uso5eF7Lec6bVodKQkqZsGc6BXmhhx869Ci3s69LrVXfWf45D6MLDJDVxgjseTyRpaIgdxX
raKGMI+sOFRlz6Bnl854GhrU2Zh488ZmSm3W1ZzcACYk5Y3cRClNoXs72JVbgl6msqz70tHKIYeo
IM26VNfPZUlinXqGqPynCnPQs+Y25hbFcZsiB/SNuwFQfjtuMH7VcDBU0jShkJDKUMlrzCi9wmwy
0cOSatlRpYCAbgxO5tyifkmZZIbAAJjzCXmN95Yv35WEHo5kdyF7TlUIfkpgVo9+36sdoVia2bHR
Tasi0HxqN8OyQ6dj/dFeUirEhAQB5Ksfc00mMyAC2ahQ38ImLX2CqYO8m250hZAuGTJKqdbxxogn
fZH3ZzJRe/dNiAAFnA5DKpVlaFWilQdSHGiAbyMMFDu7ajDpdW0lZ1ehLSfyoe99gxgRNao/hqkY
ZofZAi1KaATlrhCZ9ajWSzp4qxnp9zgtlOCDfJhOu2qmFGZ0XcG3uVaCXrpuLbbjm7FTWChMVqhU
rrAWTrRZj9l844NWP/Oe0IPrsQwYMYsqj5/Hoo3NDeW0pQ8Lbl5wMpRhLB5DRZTdJpwNSz225J8Z
mL3sGrmDvqxC4pygnYNAyPtkJPALHOIB82glZsBvbivsXGHxOZrltyBMRnzsgTrOKDANwV/V8CPC
wGMYHDwNPspzbDrIMO+noe3VC+YKHzx+S5lOUCY0vKcY8556mYxMDmkk0O6/kb2josVNs0kITNsd
ud+AAISN02XkdkcqKVcGq1q/je0WLBD2LBWKRjv4llM1dR/fJ3NUYxWP6hA19qQWOdqPguRt8hJl
pjFksgQINcMw0NxcxMYNQeO0bJYhMQPJhz49A1xIcGhisSKXVV8CAIXUazitABOX0D1K5TjAwQkR
VdfpWRjheNPVYAicsW4C22tTIrx4UfqoYGI9Eh9dxQldN1EcWm7e9NrSYCwWdrCkRKJlQx+eMp4s
jTuJLok2ZdTwto3wESQbZTT8c6Cm40MzVhNagnwZ5UPZJQsa2yivISAiKDhyPB0XPzD1+wIAaO5p
QbYkhJCrTBcXG5GxViRfB0eRd6Rf+3odnoLCjJ6bacBCWYfxeCO0UFf/k70z6Y4aSbvwf/n2qiOF
QtM2J6dHbIwNZqODGTQPERpC0q//HiVV3WAoOOx71VVN4bSUGiLee+9ztxGj/AyLdIx5O6uTkWhR
7bGNcDEQAw3NvMeaGMb7sB8I1HiFFT/R59x8HEp7ZBVksOzT0pt/TuVioFp3Wffet2z7ulWENXdO
nxXJZhh6m6QBdJanhq9P75SXB+02ddcmwoAC1PdeVGckAqSuL7G59z6oZNO97Qxovjn0qudUmJbi
D12rZ+odrQkWBTi8dqqb7Cz1wSbXk0OavbAkpfchZY4jxQJL9uwFlUfkYy5J+A/uh7yyJoqNwrnG
fN+r7N6BpvM+nRz5MNiW+cgTChhIM1DIseM1xyQlD7QoGDOEPjhEe4GMuKTBlymZwmWz8DG4IxRo
u11ra8MVWEa1xURgsF8vQtYTH6LJGVEb7SEjeUuJVcTEjnXgoMnIVktU9EC82HuCnFhDwjm1htx+
g5glPS+uckgvFebGXjpDjlX49FrgifwyZAX2Qmq370u+AbPzebFC3ygGUV5z68Q3DWhKtfNlGC90
fC8TGDqUWbStUOP+WnhLRpuGqo2PLrVKxVaOE94NKM7JxzkP6IDuo9TF6jhbPAsFWUrQTrPX3NCO
wCCDAEb7rI3XYbZ2Rr6XXs/VBz8EvrZrfJYZB3euiVYJFdBWuthkKYmUgik847/WWEvCbiz2RdUM
V2nhjf62yjp6opQVF++4ZWrnzIDRp3kj7ihjpNfRFNtAtN5rt8vA05wWn//by/4fs+Zv1uE/7GVf
mw/1p+/2sae/8HUf69p/sU212Y0wgUffc5lTfN3GivCv0AdNtD7dEaxCyYf8w191/rJBr0pMBy5/
gyEuO5x/+KuCjTE/LUJP9llpMGz/o31s8GKzxPrVR5dgyswTHA+D4Nf4btA8pjE7y+C+L1LybFlU
hmvtX3SuWqMfhejlvot8qgj9sLmrlxkjkuNNz3ZNldeYx+4uAKJDMbFLp2Q/Tk9iis39LGzxxmuo
UR6o3Tv3yjJ/pF/3jeXw/nAMTb90/iZ3cTksl7K3GXHO1sQaZkyoYlP8e50X/TnLkgBsS19ekZmi
9LOHkbXpaQFIIB5r5n6t8OK9SvvxXRGqWW5ySIQQWOrAe+9VpCB3iVzoXyt9t3sldBNe5ooUH8DM
rrrwB4PrSiuoCeDg2iU8VBgTAP7QJwYr0HSY9RILOoYkH0u/nosPC7JVe1e5NeVfvT0Mj51Pw8FG
yVneVaYIzvhVuusqJniomti5le0csD6hzbaZPXxKE22WmDR7EJzKnigKyKmHaZ2Lbmjo/nWzG8kc
8zKHw1PZ7XRrgneRO9z2Wb6ZqXXZ+Ep9Ue57L7XMHTnCC4bmz7qYr9y1yZiWzSa7MGP/ENDVjShB
8TLOUNvW93Yaf7Ji+taUNu/WGfT5QKXrKy1DapGgCWi3ox4u958FnbFXHewETtWrMJX3U6TavRzp
a1QGSEmcJs95TmYkbcOPnsjBxnvB9MGu+k++3/FwryLnafK6p0xF50ZYF5VO8MElMa3ZtGKceVRI
AOLw7/1af2FN9bDuDmLPPjIV3hdaHzrMArAA+CfKV8CXZi4rWpnxo5e40Ye8DVuosbHYa0u+9qHA
QtdUAOzNB8+dZ17u8VGNM+eU5JXRBa1m7F/EpTuAwGT4/aajEdhsXOEleIYNJsHYaPtLY/i+gLNJ
P8gLlJ0pxc1ZuvSQFc2ZZ8FuGYdz5fb5o5FQGyZSHkWKeXR8N5alP3zCGHOvk2CX1E/K6/ET9GNH
YXnFOLWZw07sVcvqZbIkVp44XW0HnqdZcnmWS4Iji+fhoo4swQuQmN14RSdW98Gyg/q2o4J6H1Lr
c+6x7IRV1zp4QPuJMhti4jtgbtUjwVlIimwtvJQckEqGGxYa/FsQ3Qa5ioBqdkcju7cskvbarV5T
A7arEnGfL2SRSl6OvWjvhqTMDvSusjWii5WuJMiLdEE92XN+QG4f2NemWKL96KIrOZ6hHWAepemx
HbIrNiUV+fmF6isZXhU+u9NuhOVF2vOQdl53UxXavljcgm4+kdAxx+nf4KEkNBsQImLVjH+5aIOz
SnSvlFN0goVAfEXxHnnyqryy+gVne62rbWdV4z6w6gji2DBv8ia5r9IsPK+pf31jVV5yZ1N+vW0L
TiU66HyIAkM7ZdQPn8oseVtl1LiXX/qZ6BXBQrWvlI/tw5ekw1R0TFv1tmUkcmBtyOMJz2xR0Wjm
09FGLZS7tXPjkTVuWYr42uzijnULQdzVmGV3aoOARXmrK4+gKcODUxvnzO1k8OywsjwMqRm3ul3E
0zxhXS/qY4xQD1YpP6Y1TOGquGtS2rx929+l+S5Pm/6+GyHvgkgeN7MdQnGARE0aLcH2kn+MOXU7
uuTpf4m9j+mIhRagVZmmj0nbfZTM95+LujvmWqqNxqk4qWEbV9TpyhWEIvAFyOGmdrzXltW14LtG
QJtyOE6h/c7W3I521BwzMFyN4DsAV4SniExWTcdijSRzg1jS3nI4xOapBb6pPBf4GwWjR0vCPWtC
9yLp5wQvrDkGiRMcZZo92ljIml6IpygThm88SBmr10tygTMlPVQZ1X6Iuc1mpIH3gR7tt7nC3m2n
0IH9p2BFfRknlPURP4Qb73nYyrcp789bl93mQ2sY4sdh8uxkgnsX6MhczQQyVK42zRKMZxL2wbYq
R0kbNcSrxcGWInrPOm+jNao/pdali5400CPeV5cSGxWdI76BpMAG+GMtgEsBfJbG3TmZxwY2pGJ2
LY8OzjInG28agmnhtaBt8mEoAvQRmdO7VtneDV0xxJpxgKXgo2L3dtLQTljKOjue3NEhsWZ9brSX
XwbOSppRLvjNJurKG10bYik13GgLIBc3JvUcuQW9YBojsrFelh0XCFf018ngbZtQ/lFVNzLuj3qA
Y0zQYhoJ0Ii8PrpLyeJ65BHod8kIzsocXSiRFpj1S+Y49g4cOpZw6n+HQ6akdQx7k6OlF/Eh4Fg6
Um+XulLObcduIfEBGmYcwzj5jz01bvxCWft66TxqZ7oP45Jnh3hsgwdrmOPDFNBp1Nt9v8NGaI45
XMs9DZb+Y2IXzQfLLZc3CTbD/UTh6LWrivzRykx6Phe1dSbdLLkweZNeFHT83Vi0tN5BMW6faMxL
WC+zFOHtOYfxeSFp7pKm91/32qqhSdn1Y0/l13NKF9d9NrGpsP0J6LOM7UNYhfEtJRPEAWo7hmAw
Lx//tw7u5zV36KwazL/7Y26y4fN3as76n/+t5mAM/GsVciTaAqPp1c/yHzWHP0KOCTxshAGTVYcF
6n/WweFfERZb1DvsAXhL1ojaP+tgJ1qTchJHJb5deXLP/FEPwYuhboQzk5lo4PlMztEo1mXyN84A
EM9BUkZW+2BbbYV1OyWrugdBQM9kSBVyDMDwps/YTm0qwQW6GUaGf7UWPOexIxpAEFOuqKtekiuj
o4RN21iZT3OBJ22T5u0DCvVKvQyBPbWdDVZkqYrr/115X688sWZx//3Ku/9cf04+lN9efKe/8c/F
5/yFIEBSFtI4/iy+4f9efAEWbvZeNrI+sBfX4wL7++Jz/L+Q+oERBljwQoQxLtm/rz3adFaVEecW
Tid8lbb7J1uwVQP5r1K9ygnkL7n0BRcxrvSXxqkmrrOJVe2dD8fsna/d8sGNbGJIbGAydyv7cOJl
FMRfped/FcjXbd3LTyWDSgqVE2Cztfn+egfXPWeqju6y2FF0hnvqtdFQbL75Gn4iYP70Q9jD+oHN
FpOA+/cfokSswqQP74pEyncU8HVvigSk6G+0n1XbeXkogW2TysZnx0PkxaEM1GIz+A3vqiHF6xuK
RN7JMMOQGRn7aNfB+18f1A+aFt8X+QEuqUgELrb97w8KuLjBdRLcORAnLu3JvcfK4F11A2ToX3/Q
z87eNx/kvtCZ/DoSAwb/O8hmUHahJKPfWcVvtNKfXX0BvlnsgZjNgpO9+5vnnp90Y5Wm/l0Vh9Fr
/iOC65NZFh57gBrnKKeoQPpJuvv1oZ0k2B++s0BQcCQJQYcvs8dlvmRzWoZ3XbU6BtkaeRvVQ/WF
/OEelgasADakeF8HEMW8sPMPkGyS5yzxgxhNBbS/V1JamoshvDB0ZMe7sq7YF/36t/zpuUHix7OP
JuTaLy8srQcV5QFSj+oONFcschvmzCQqSFRfhLtEty3K/fHXH/qTb51UPyYFl9cekZAX98y8pF3a
TOLO1QZatmDTmMH6+I095qcfgvU88kOeicFLIV5beqR+0b6D9F5se0/bm2UMzdmvjwSfzQ935uq5
ZrTEnRKusvz3t0qbJrnWbXY1LWPg7bXnmXdRHpbNhWYd1nBgEZvHEjQUWTThDPneqYGnQrVxnYFt
iK2+ENyJk91S1aOBhoJQRpkiX8mZXuim2JGOia98tYD5MM1kUbYAZu51YeYSKkvkxrcwknqLkpse
H1kUZe1D4INs17LyDR0fSn9Jxw5upJeE9rhuyDt611FbqdS1WvftNGoqBydBvXLf4lJADnXObUwU
PZT5ARC3DbsbEZ18zJ65CYUs3LHTFQkW966dQgJhjNWLD55DJy6zliV3tg1LoDO8Ce5DbGRNCwlh
h9faVS7p0bolM6YdXd3lFrfgWcH/QeTN6NXxZTzz3nfaFSKELsmGQLUVPUUd0uG2mVFsuH/i/rNM
awUF0Omtj7RHTl8QV+R5WPfAvDyDSW0baiu95zxG52KqK0D9S4VOzS2WXPqqaarzhqrnN7ZbiPyQ
1H18jroMRr7twGZhmEpVso+LxqSkH51xBex2xReqHyr6zi1QV/uMytbmim5ql2EijzAAKym1K5uk
09ZnPY1zsdM8E46RX+RA0wZpKG0infUex2C2+uImsj9SWWBeVlYdtr6+ju5dyoxvkypRN03FJwDN
DMo3de5H3YbC3PCBlwqIUeIMpKdb3zyFlhmuwtWTuVNuoW+XsfMuFbXZH9II+/MmP03HfT0V7+rT
zDw7zc87OaGCn6bqzFTWCftp2g7xmMk7WHRT7NLIgPlKbSZT7WlEH5zG9Z6f1B+y0xDftTIG+s46
269OY/5unfhjgWX4T2seId3hJAosJ4EAaTX56J1kA3mSEJJazx/tk7BAn3u2dyd4i0E7UPWwIDah
Ep3EiAa1RO30SaMoTnKFMSBZ8VYiY4RFaO5RjPor5TbuFzITCB6F55hLKpgNosYqiNQncaQ4CSV4
/1jDVicBpT6JKTU4L4YnJ5GFEAyCSySNBMN1EmLo1kSIh+5qv1ZOhVSjTrKNMxoR78bVGkVJ9Srt
JBCSvxj0VvpEVu0Hph/3TYeMk/FewaazK09SUewO08ds1Y+AynbU3qApBSaokJdyQEtbsapOZtWf
5KpEQVfLnqNplacyiVt4l0e0jDYn7Qrs/XSjTopWVsvmfDjpXAhB7TOzB1SWZRXCbDtOnvgNurfk
J9DJ/HoJLkZRMUgBOR+9h+xJpS+OSkBp7Ulrk8swP8V1D+BCnNS4PsFIQzAOka4sbP0+Oyl39VTl
n9G+0fNiejvfsAlvPvqr3BfW606iWUXAtnPk43RSBosor18hHDPbhqaDdgiKGx1RnDTFbpUXQ8tj
PGnViI6xlabXhJlA8LgnVTIwS+ofYGmhVhrI2cmuqUHd7qyToLlKm3a5Sk2TPTxSrI3qOXd2RPw1
a1FD+5MyCqXUPDqrXKpm+Hln6qSiLidFtUKi6OhIQ2i13QzNNcDkP8MZWrXYIoZYvR1PGm2xyrVG
A1tku6PxtcwnRVdQ9ITPWAhz27dJeWeaeYa+6VnOFX6edVI5Us6zH05a8WRFCR43YpCgX1c5ueC6
B8h1Upl1L73bzlSg+aAqISMkspYXY26K83EhV3k98SRv31eDbtCXpchi64CI6PAEUg1oo2DrN16V
XYVUMHQb8nRLTb4Z08WwbGAlGPfeqzSFGI3diZteyz7h4ezS0GLR7SIurMhLu+uuLHJrV/c1+0Cv
FS24bv6ZgRR3xbShWBJwWAAvbn3ZJZrHpmDeGpolK/ejFYhLx82CLzVwfrkvpxzAsEtrN9U4dDlD
I1Dtlp4ABjdeNtqXVo11e2O7if+kvXK+kq2Nz8Ne8NNsB7ign8bC6h6BnUfeoVtNvKD5bMhfVQWn
ri7Hz4QUnM+svzEmMDPmq29pSjDnQwz3BRtwV057KkDkXStSqAsu0z7beQyzzn6jZpWDvphRyI8q
nJJ+v+Brsbet2yAYWKmep82KSS53/VRSVB1QRPbJo9drpstMFzRzewBmtxMDdbFdTGxPzJzawtqj
bQaIn1MC9Sykh3Y/U7kCPwIaWLYf22I1JFRSvcUSEEw70UfV2xi1G+ZHkA/9ZRxx+ewsHIx0Wsn1
ypIowoDoq5bKaOmmsb9j8oXXqa79DxNGrHofM2+Efll0UIujxAz41f0eb7Y3M20/THKFPU995zAH
9IvW2tu5TBmnDYPPpWhPUCPCFDiCC+B00zOKqzdprLl3QBMreo5C6Ev7GfggxAyUI3dLhwLlSzL3
1or2ykVw8DJD50sxLkzzaPUanU3GtgKfVpYYtTUZVz0Jc9yJ9JF4hdykq3tnmwO+t9epYaeubTGZ
/tA5JhypO2pQeqEVz/mReYRvXdllM6YXE6+CCCxqkU/nVde4bzGvhec+IsG4o7NZv7NZKiAx23MS
IxCRzNuNSdbFCC6xjt5UzFjq9tXiKGgD9M17UASd4L1QBnEhjtTM+mTprW1IMgRw41pgxIqJNicE
MAWNiuE3W4YNAzXrlfBLwNZh5zJ/JYLLwsElQcLpjPGCHJKhd6otb6OBatGhBqsCubJmmu4a4CUB
DSFmp10IztPgDsMR8ZoZ7USm40zMsTXdZrNL8yFb9nQhrT+11tE4eXXvW+4QHml9p6FNYezgL3VR
I8YLTTwrfYjnte1NYnStzqj6SGjU4iVSH8peDz1fMfN3vAc9b7UOD0D2EW9D02SgC2LR7o0TdfYZ
GHMlwSPhnYtAevbtRC0Wwc7i1ZwXV81U1Bdj0ljj+bRIOlaiqKqoIEoEEB2ZJ+3njhNd8CukGgVk
qD1qOKyp1TzqPdpS3WF2rlanP3R4VioDeIJhoFiSGvBqs1iKjRjge/9V7vB+3VTxUmLXIUWwoeHR
4rmMJTY9m2DF7qcwtXCUOL6+rPxxBNOUR7SGLWWWvxuyMSjPT+v8/yn//0c095stzw/K/0WjP32o
vx07nf7C38p/tJY4YxJdw9F/zzW/Kv+u/ItYp493Hc4XNvZ1W/QP/sv9yz3txpE00ORPY8i/h06C
eSeW+DUtSPYtgtz/J0MncTKP/3cHTtjQJp20fj5bTAZjL6NtrDgjUj5DT3376JDxr4arfGlEvpdK
RzyeMWD2XL02cI2uSJeDxX6LGPusuUFkf5ksgWF87j6aSqhzk4XTnVD908A9Q4YeH9GYzQ90Eblv
hKVJzzTDZM7a9c7tF3u5mhis4YZt+1u23eq68yq/u3C5zxJejB2/hbD8Sh+i1q3ci4CVrDiEhVu1
kDp8ulG2oAS768H2h37Yhn4N/oZKhbj4XHrE0D/EYSfpTEWBi2DYJmkIJwd0erIH5iugyfR55dMc
2cgEy90cyI7KExjnPKZkcGnUSI0nSNdwv7DfsoknMSJjNUjdsa2rKkbNSJB2tDHnYVMLvJOr19Wh
L/Y64+dWW8rWsmFfFwgl0xag+eLfYHun3NKetKLEa5h8+Tq2ND2fm9zGV5HEc3be9ZNE8liy1Q24
pLh1wh3lKgAk3TZ643ZDbJttwXmSLP5wpV56xdrT5ljVE3jWKbgqVVvfKDWFuyLplhH8O36ffO7N
Q2hXTn4to3wakKRafq7pcQe4lCh4HxCYNceQTap8Y/szJBNiTIMbbxYnZ8uFiqtXpH861FXLQoMF
SrqvijCPdhqzx4Ojk9TjERPGVC8JDNPWRVREHe8Ce+LdeGDnH3ykhwV+UtPkXnBpUwFdbQUXEfs4
7bMKGcKBrTBZ2RX8xIdilA2pezp4sJ0Pbd2TakJpX6oPyzACTtUOnlU2wOXsfq7pt9r4rEUS1hmz
o3mdepT9mIKWsk2bYZ1DeV8+9rgV5t00LbCD6ljaT5PxsmRfBUVm31MezO7RD2T82Icjg2a5zAtL
/wgIN8ueSOLwShlIJcbrN144l3JTTgHgYtsJhgZ8cR5ybG0zXIb+ZPhKhiF4RelliU0Mh/WrLqGY
iLgYdS8bZ1SdggJUZeexCeUXpIgKb+Ech5fxHDS8KRuq4LayaQsiX5YMriwLm8tKH4qOJa/YfJMW
ZnldLew7QLpLTtY8yei6sEOAsYTy6nNWIZk6iCUnFFg2y/xGY1pEmzDF8BxmbU/4SsvgUxp0mNfI
rtjv9NLPD27bCORzlzKabYplgmGc7YLkhjFcFRTQjnZzPcypG1EV11jUpaVxXV8mdKhgPLAa9RkX
Ns0Bo6zydIuRN6NSoEr6mpCq51zLERd3zpb80rGYRx2sdpDQ6YUcccAWM1RYZjCw/2OsiesJ8dvm
sKRai71EtwPXNJIr2dV+hCGjC9szpxC4H7QHSx2Fl6sNS3n1xu6jbOcPobyhRAbfyOgv2YF+GJTb
PPPxTvppqilY9WwGuEsbTCUipds+Uq3TfR6iOnIP3mJN7zJdFa9D1O2Np1cvAEyFoKJvaZwg7/KD
goMKgumVpxFYR89OnZ0z4wTfCzzkuT7zYuxdhyWeuuLgiiusqMXGGxq4sD34n5mYGfHFQCb7/72I
/5Ye16TuvwtA183yoXrO1AsBcv1LX1/GEhueGwjoEKRQmKz+N5+PQU8QFyL6hISIULFm+v8jP9pr
Cp8XONoQIRa5Ijz/kR8J74e8UlbLHBVqDiOrP3kdf68p8GNgDBF9Jp9PNA0VCpfgt+qjTQjCSjy2
vZMNcT2xGu+qGsL8TvkdftRvTs1PRJnv5ZKvn+UE5K/IJsGydV5MtQtwEWNXMgcJI57l21iH7EgS
KoY+AjYfL92w4Jny64/8ftx8+sh1hO6gtDHVxvT4/eERKIE/zFYCjJvpd6M7A8wC2vJ1HfqvktZP
Duw0aiZ8tQozJ37vN1JGycJKxR4brjSJgPcHrIBZJ4Qe/jVRhx4e/br+HerkJ18cQUP4DQA6ZMDl
8P2RreXNgdcH9B0McwS5GSFvyyuJRXwf4MT49Wn82QFGLBhZTkacxPUi/vYqwW2pHMFobzMyK6bN
IvI+ycaoo7LG9mLINPzmX3/g+r38d42IYodPDD18JVOhf/C/338gF6Q9NkVDftykl3Y301kTt5fD
4D12OSHZqvYvU9V9fYr969f48mJZP5RQFZ8oTyCCF/dC2lOL509rjQnzhI1d+WzJyubvTcsffAoq
C4QND/QAN/7LfPDI+JxwTAkhz2nHmyxos2vVBc+/Pn8vrw5eST663Coew/f5ugb/5oqc5jpcWk0/
TOs5+oHxMVNY4Tesm4fq+McfFeCUIPonsFL8cDydTPIUixq+uKSA6062yrBqYPzwjmKZYfnNd7Re
ad9fGNg4eF5RwoVsyBPy+wvDZI2qKMFmwVFk8qykq4jarHF4KwvLf7UMhQNrNP9tHvbl9c/pDNHp
V+8zJ1W+DPkRZ1CqDVnwlY7fo1zT0JKHUX3lkq7aznMN+/HXJ/XHSxGQFrYBvj7avaS3/vm3318e
KpbODSRYhOx9hPXsGAbz9Jvb+uefsiaJeT4Sy3txW5eug0xQQLoaGIOxN3GSnemE8xuh9ycnb4XJ
kL8FfsG7Tnx/LHFJL8lid8vGaKHOmsKzbmJKii5EFqgvLO7V7a/P3Y/PDgzvq0ViTRWTxX9x7hj/
+lXTqjW3tRw5y+MmXMgLNv3wrq2cV3kIH6rXzm8cBz+541aUG555BzMA9933R+lLW1S6nhYsqTNl
34PXEPb1IwyXy/Dw6wP84Wtbn1ECNwnDZTwgwfqrfHNxKApaBrrIoOeGbndtliQ/q2uV/+klGErs
GXgnAqoycf6/OI0MfhhIOpW7KeZsrsCgWdOuJVN4/4cHsz6lWM5zlX/Vnb8/GApJiOr08NjWhffG
N1HIG1p0f3owEQuPFW64vqAxhazX6DenLBIUbRWyhcCgGKOLMYZs3dTB7tfH8sM1sNK/mLB465MQ
U8iLT5k9R4w4RvliZGhd4ANfbjE/TNvc7/LDrz/qh2vg9FErCIAFlRAv+W2E87MZJIfcaC+l8Geu
Bluez20WiP2vP2h9oH73wKUflAUL0W54B/jdXrwU9RjSZSjwSjMhjB2e6XMfHDNZUfkmgtks2x5X
2gzcJYDaauHzxbRtyCX98fEiFXJngeyx+QqDF6eW+9XNk4yCw3xiK3Qxx21knwnmMs1vjvfH79AX
WAF5erBQ5XNe3MdWnNMo6EUBO+2mPqQRTWLLsAzHxG3Fm1+f2h+/Q9xPZGBsYuqscl4OwnxmAkpX
0+pbX9pXAa1/x6agEvGPP0VGsJTgjzoOz/r1gL+59Oc68amaoZ0rD+tk3xTI4/Vg0t+ctugF1J+Z
4Wq2WrejrGxZ2bwkOXhZnmO2MMmW7lgKB0veX1D4Tao+BWEf6yeLMCW8a0pSMV30WQt6aEM3qUwo
VS/S+t7XGCsOYlKKxyeEGzatYrKcnYirwr7Kimr5FHgjEiMNq4X+HMdlk28l9ZVUmCId6fvE7cbg
EPM21nuYppgMNk7iFPrCnuIlJhiRukgMF/iKAzoCZmecPRLcTVrIiGD0kMzhuRJ5lN3l6SRhIndh
Qnkc7zM13nlTTCF2zh/L/VLXg3MXBBkgF6fNh3ETwMVDC8q9OThDI9DpJYWC7SNt9/aZ24wFbBeO
rn0Vy8gKnlKNTeTaxkbPbGZNXG3H0Y8Z6sxNHx2LLHLq2yXymvl86hDp76wYme7g4IKerlhvzxUp
+mCYoBSZvI3OxtpUgICw98W8UwuvCfb9JDLvddNNccoQrQ/l1iX4Le+KytPZjq4odZdT7okqkcFI
QE/sSDkXHYurzQCU1DsMHq6LdyKJE/ui6b3CfRDMMBaEvEln5QeaunzIzGHtupslcaGIQ6Ybql2P
zowRXI6MLJTTNAGKl0neF7kJgT/oSdC2OznZg51m1nIeRq1FN92M7LXVpKSy22BO/QeC0uV8pLKU
up9RB+6XpRsnuNluu0TExING862Ns9a7LqvStVlySO8S7O/NtiISBni8KUqKYip++l1qjcQiLVw3
5CcrrFvbtGRUtvGHquxvinSNltStKG8HhbL5ZpYhqbGOQacX8zCrTFTtCXvn5HJnu0x60j1Tl1rP
YY7vz0V5sifSZ7ms9CVqmufuW4v89KesmheGp3jESQ2XHVAq+kEJFPGsbqgnz0jnHbAQ9Pq+7elQ
fZ6114Lhqms7BJPquW3vdseCiZNIdl3c2Mx/60olAc5CRZMXoSmV2OOnyG3s/kqGqmSEBLC3rbek
UaMlOcjZdW5s6nDTi65NUhAF2nfUkV+i+8i8rvbO4ijIbsMKo5PV+ZiP6FzrLSq3omAiftHVVXOr
HMvpJVs+1x0/Lnmc860O2oqsc6wy/vhsM4Cvz5IhootXRJRzbqyCafqmbnLGaVGuc6KfNv2FW41Y
OJ3rMSuDLYgpldxNpQuu3emjMbqe+rTtztIEKAOefEqqUggwNmhwKqG2ITCEy35J7PmqnGJYeyZs
x/DcTQs4LjM3DwD51BtveuMmyeUE8Kl8jc/LpyO9yoXYp5ZSYu+41FjjYoEFgKQYh6TD42Kkuiv3
ZbTHqFNRY5XHdE/yJOUNNg0tp8GaI/hTfhP7r6bCOI8zBbYj9fGWkntJBAdzVJCmxT4EZwqbW5AP
hJVgM5mVXatiLHsjMbSYLq3PSx9kLICxiaaUGzQS3WMwtXlCdVXdecqOJzpmlq7cy7arEnk7IBj7
4Pqp2Hxt7KgmxIenaDkTjaGjahFwffEY9NFbgl/Ztd1GVrIXZd58tp2hS+gYVzO3Zi9hABRx2yAk
JjIs75UOS7RLu0HpJCBiPkjC+AG4iiZ905i8jLa1DijgIgxV3xRTjXF8cMJsJk7TuPnW6SD2wRBh
w380Rep4O9JYQD0i7sZ3TWABR7NoRr7rBg1Dv5hK66aYC0W1IdsC4B0hPWauGHlq1HXXa/RmahLh
G7bOViThpM+SKfY6pO0wb1/NsWBsCjTH78jha6/aZq4VhvvWyyGk9zW4jIN0WoVxYsp1/C5hVcPW
vaGK78qliFrfOCbKzmmEW+sJHY8eqjkQWf3UJwNt7/WwRE9+yYtzK8LQ+F+UmlOS8w4dhpcB2IiR
zqmUpms1hJWF18/ONN1fyAEXxOQ7j0ZFe4iA4Tkz/pm+VsNeImrNB3scnWWXxn0wYl5zLSrOIhRd
DElNv1yk3C3OQVs5TEPEh6m/QNwlYE4tolftwxnp+lxhEQL9RnZVPPT4O9LdxMg2urB5lc+YZCu2
v5gCWAyV/hypg1szuNkXog2eeawp+9pvguQwJJT7rrn31j60WewV2zRoZPB+hHgCTNKqbIqwhoTc
D98kGVM7HRhKgJflSEwyUEzWyjnLt97YeMs+0jJ5N2PZJnAwGRwZMZarbMMk2wVKaUxDydqE2Wu7
OC2Lwjby9efG0rHeS8puzZYLymeNH7nmOI0dde/jDBADs02Bi6PnHfA+m7W5z51MgmlBgmtRXrT1
qrVimkBFm2PDLElKALMG+5JflAXq3m6OLKx7USMpIQzSUYndqKa1tALXxhexFpNt+wjX9LYbqvk5
bFU3bnPpmpDUpxp4tlNBbW3o/0Szi1qnG/bCLkV5tCtEgk0mRvarIwzm7SBMCXjfHqOYJ/Lovw37
Oq3PMxxow75LnUpvmhok4jZosvmOqd9MUUvXIh9oDJ0hpZp5edmjYoZbEqvyMVjGNdDROWxMuwQK
zc4dB1gRVREbkOct7fPpshQBvw9eGqANOaKlwkNKHSGFvHQ9lBB5N+hs7DgBlzbvBK8+bnn6kevN
qHQgmDoqF61F407GF8pYqxtRJjbEwpXYoOBh19QLL4OdDvMaHXIp6g8ztYg0mLqN8wbzEd2aTSmI
5doaZcWxckO3Wp0H+/9n70yWIzfSbP0uvW6UYR6WNwDExJmZTA4bWJLMxOSYHA7H8PT3C6nstpSt
K1nve1GbKqlIRgA+nP+c7wS5HoNbTKukl9EWlpADkhhiRBIC3Ds8VURc+yGoqz296hkGyswc8jt8
1/iWVB42ytnJSuv5CuTJ5qQG63sZB2bbFTd1LRYbq+lcLV/sraGasoN9W926lbvpA0jvaqHb0uXZ
aYrVt64yVUf1Vc9ZQuHLjOyGN610MzqNGC/2dLoXoxuEu84DlbztG5Jc7qmj8Vvl17ZDZPVDzhwV
2F/tIYC+gfG68jH9oAKRKzYwyr1xbLFhbW7jCH9mmLMscY2GZgU2xPGg/dz3jiV5OjCbooExlHM5
7CH7TVSW+x2tibHLTfBlMNZ8OksRwklqG2mhCgMDewgnMstJOUWW2ME5Kuu9zPxpTTZqoEHRl47s
Ew5djt4VQ2Xz8Q98BCnfjHdWozOORDOVeDCNDkSTz1DqucP02nEGpwidaZt0HyWwkrM31s7F2mdP
13nmuPQCQaBXMRYvgx2qGyWpbSiP+mXCNfJCwaXJ42ZHk7WnIrUN6MRtarVnsq7ylH9us+PABZA5
5P7nJeLi77plnYChmM5wX8DXzy7QnB4DI2NbgLFUjN8S8CSR1NDwx6/XrUjkGk0hT2korF4ys2AF
MYwMO+/kcEjcQYrA/8P0mApTNnWajQbDpjnZblQdS5HNz0MVYjDLZ3umMAgwJCnrTVBOY1lYrWwC
lQQxMe1S87rlUmOVCqUmxW0JnMzwVr56hu2A+tCGp/Yc+4J738x9c+cIQQEpwf/qxbZLWcWhpxdn
xwCxPfptT8+KpMKbZqZpCR8tgJ1NwuCRVm0wGRh8i2LQP4SyfQqT1p7XsCJWLQF9TgH/jROobyOz
zI+ulkimW2hFJlR5b/7Zhmv/7AMyOrpZxlnKrC1uS9wFujHOKYe+JsXCu+pJY7nsN2qR2AOMijbI
KegRPbkOfZ8NFUCgcpcmtfNK0AwkPPp0WOn6p6iUgw/9IKAiqZjWOkgGIkEwtwLT2MsCPM8egBX9
UkHrzRMh59YmbGkP7HoU1W4PE9AArOxspteBofP8XFwKwwc/D8ynPrSzeSdlre+2wSVsOk6mExPk
Nx7LCu5d6pva30fFNF0PpoZgqvDAkUOv++7dpWP5XtMCjXHTrGFAjDa++tidoEPw9bcY89gOsuxA
UBiDWeVz0XhA85h/5EPb/hS99rykMUZ2z9Kr4TNH1tJ+X9zQd9lyXblgIs3ACtMhmnvENnfBClCU
NU62LNM8Pl01XgWsNtGrsW6NfKhNA+4QQ+Z6WvcBEYj6ySHiQfNFb685yPrIkba6K1pD8FYawImH
IeYAxP8SmFnwrZHL9jQHvF6pEEBU9lPv0NA2K897ycdKf3W5Cso45BZKqndrO9K3E2aJGOBWyIzW
oFJ0oSHv0nu7cQ3hbSWqH5uTX8Aas11V/JCDQdC/78KNKu9x+qSYg0a4LmLX4TnFO7rrjQGYF1Pw
S+H1ULdXHsgo4s70N6g4axs/S4UcOQFvjU3xcOmY33TF6s1iK8zmEAViOlZt69TpIBbztnUdAKWN
0fsFrKC8+cynrIsOWPnql94TDlVjqhX7uncJjvn2Fr14y2T093btQ5TC3+h4/ftUcpH7KhqGZG98
tivoBQNjdQr3AEZivUz+U9HLiF51bdjQbIdAlUnm0PC6B6dB6KYJJu+r65N0OCwcBVvBOj2o6MFA
zqiuWgzCdEwFEIRSW+OaQ5AdPixoO6xtfsVhJVATzmrXqhedIjZxIO8UNoZYDj03BT0u3tGbN/qN
Bs6bIwaXZfu64Uh5y7H7O7uuNq2XcPX8m3bl/wSvn2KrKGdff5tLaY68HObFf8vT7158cyCswqmn
/gFCISN45OFeJYOscnEgPREQixa6/WiIObPyMaUFtOFVEJgmFeBIwqu7pCuhgT7mAAq2cJ666bsx
F7K8nr3OokdsDQN5YPyZZTuOGtOjHJuyY5sOFzL2YxOldjdQjCG3YXncFCC2w9Zqgg2zNozygOxH
1IHTbdDzGM60eQUzMQ2tEZ5JpJgWkYeypCi8DIUfXOuGWuJWhl2WlH7fq13gNdAPOr9pWUM57BLk
9i9nN1HJq7IBSpoEm1F948i3cgAt2ENjmXm8/MMcgISTbtuInYcj09zVYTQFsZ5c+QH6GQY2CFTy
Lxc4szgQy1B9wnPJctgtEUXgRt5EeSLyyqzjeirF2zCzzOzG1eWYjcdLPOEu3u6yKl9+yGbYeMuX
Uqrz3Gv9yXOZOymYhqD8uZGnHQ4mZ2PjnFk0M+8mTPbMp7W0xDGUk2oPYRCxcw5WOBEP87VpvjWN
u+ECdqp6SKWptvdlKFl3JpqY70V2oVrVxiZfifFJDk26lKHcOVu9GtmNsYaL3XwhAQX1oBom2CRz
z5FkusUju1LjNGyQQjuAz/ID4aBq3kyIjVacS2tUhzHvkal2Q8Vd/WvNMY6yp362feNFuGZZfGGo
GLiY//ut5j0tPFOMjzh3sCl7/sLAZajnsgcr7M8/56U2VojNS806bWfcloOa+0oZ+OV1vYXZD2/Q
zU8Ot9MrgO7CfqboehI/q4XT9x7DEmgpy+9s67SOfdV9AczWDwdbhKr46iuG1agAQ/WscvXY1ive
dsz2VkEjlaTYseewWxkt1yIPLknv2Uc+5zdwDNdDK+/azv3JfZe8Sx98tsJeXqsoHNMmzCOcUvN5
vBw5jZ4sU7Mo8kaz7X7kobsWV//Z/7+e3EIa9LHrsTTuDb91xhRoDM2Ifu+iGVbGqF6RJQDsrYDh
+b3JON39Z9gtGXwEyCh90+Y0KGNqx8Asq+kumhzrCzczizq0qeB4us7heN9H3cIeM0z1098rtr9K
0CEAVSYiENUt0p4kdP+s2LaR9ngyfayDfNpxhkQZL30WJaMJCOHvf9SvEjQXQ+YuzJDwEsDf/TWO
5y0wzi9Jo51llPVNzjaYuGpd/sEf8Rc/hZGIycibsYjlh7+I9yOmfNUVFb3bbiDPXILaa4wtzj/8
lN9sFn8cVfDH4HtFSmcy5rj2Jc//R6Ubrrx0bTXS3z0b+P9kza6zw/ndDmkw1uttqdzwdg5M7hSk
gY0nQjE5ESWHo8/ff6p/9QVaJuh86zLwdH8jX/1Bcte4sCzD4AvkoDwRXKIn0TCB3JCQ+/e44n8t
0P/BROQPn/p/s0DflvkP+ScH9OWf/910ZXn/ugxw/AuJGbKCdXEJ/O6ANv/F4wdumnNOSIDaCUxQ
Ef92Xdn0tFnMOhmqXWCgvyWS/226siwi+Q5xfOxSTDmgHP9PPFeB9+cHhOeCkICJj4HAE3Zquif+
/KRyFF/LfOjSLBe2vmqwPzsxUmlNC+ggvU8sOKhVF99tcDT6lfxINw6K/t2my4zDJVuPjl2TaLzP
DOjK54zzlUsfJcH6+zl0uGtVxVYfsqpvt8Sdh+xZ9GhciExL+0GzQfE+LhVIU9VaIbd10VM4PA7O
eTJll7/PttXn14ZtbefQVt2B1TzbCw7RwdVqtqbYZ+zZCwJiA1LKS2GmVtEJ4aCXN6uSeiRENKon
2UrgLgIFCP5g1Q5buo0FkxAvb4vt54rBObj2OZfv7Lqu+mNYAcFipBAFebr4lxhqUjFmMA8rNhew
ZSRIzR8t6vfQ7lGctQv3c+rCgA2fXK57BD+rnFRV2ZIBurTXbie81XFu/Y61O870hGq5a/wCCumm
JQpkYHjZ58SZ6nmo15mo1pq1w24lMLiftNZjPPuhflyDHCuzCeMtT0yOmff1NHqUD3O4ve46l8vR
Yg+D3AGkQhdQpjn1MddpKDtVbz/2UBX3ClLwFUTZDNFyFS+rZVBsQmFZdatWI6T5FpLqR6fdeo4h
bBVforF3ds1Sk5XDMKGTBvXjrXGosNrNIprKxOrKht7iXspTNhgDiZbI5rZQrCaNHFAp3dtaFGOf
lBE57MStpldrnila0JyJCPDNab2C9i07hhCysP3Hsnf7D9eO0IYkJykLpnL7srJfHzfer5aRTbB9
20TjfUJljay4LWa/S7kYocY7bm7RdFxlqOBWYX9pnEmbuO26bsuO5A35rLgBqBr6FrLEV6EV/F0q
iwIO1QMh2Osm7+bwur3AJhBNPH91ssOW+yOZS0iakbXDBjlut5Bb63UvFVG+WJY+X6xhb5a4vBd1
tzdHt/u6rdCMLhGCxKv9a90tNxstxFPHwDDqOX+vGd3ShShPdIusMdkj8lglXaTmECmSK9O1GGdz
J6kCea88+ZUbnUzDPDeTqSe+CzQs/JhlPyTOYucXG0GHpVp7RzzRNAR6yyG3exTtQugj504U0ML4
poT5rXapb+lchaw915dC414czGG6XvoosWb0HsXffFxFzzEk+IbxOe3a8jiGgbEjPQHgerUqFHu5
pPVmfo5L+7Kt/vvgi6uy89Nt8Zn2zG74YxPup4G4jx3+nous/aVFb4ndeSMN3V38nVmTZtxzEge2
QrxWhUjEHHwivHFDRNglKjnnic+krfY4y4WTxV1+qeIio6S7W+jS3dRcvmu+76sl4yzW5NfROPDQ
zJ793Hb5s+rycxTlb+4QfJkvQ72Zo3nkqSwZ3CZMtDHd9oSsXvuiebDt8IRX0TmC75KxmOR5g+0V
q964y4vsWMHhKnIDkHa+tQkayUVANrMn7F3+49j3T14/vxqNuoPnzbBCXZncqo5eN90sWdc8sapT
Qjyp7qdfgWrt5i6PmYiyWCzBsnIP8B+rmTu+oM0oZTJE4jtH2BZigpYmXDtFeCTvXLZwKbWJF7v3
9UbXmrZj2UOsC/2Ozdye+mMl1JtTSr2vPP+TqWB9M+Dtu20jeZ9DDkgsjcRkZX50DeaYTySwxW71
xvDWbH0Z95PHpc16FrO5rzrH3EWFWz+oSB0xrSKvdd6JzGxaLdkrNSrvbTSImEgVw1B3eVZLBp9u
oX4l3wBX+s5Y3IDgjYdaZannm9Ux1yhoTCWTSQ4cu/qRUUfp3DhlJK9yRt3nKUD9g/3bp36tr8J6
/BJMnGuNiiWkL4tkCrYPygYeG07JZ18LeZiD+UWIvPkiO2eJxbwMyWyifZUQ1o4WFDDb0sttKIWT
gP5GZQHzVTrDNQmTVKHNpmNtVK/l7ByYJ7w38+R+1bN7J8B14c/i+sa0P60GK6IIuqTnXumeO7l8
Gpfps/E71OHyqr2wCIZ1+tZ0zutICD9msTFuF3xXJBsvaTWjfxClR/uRvTwp4NZ707XO5rzddJeF
fhaHYMoo1aa8iptSsCt4oxgsZ4fSdQ/1ZHVHwot71WniEE536LwoEavB0zkYKFX6szOb8woRwLGG
07iZxkm37gPrW3MbbPzNKgQFXVEbviNm/Mkd68kz25/2uJ59t0hXDp3J0nXXiKnRQdJ7sd9a4wEW
MxHESPKuL8apGdxzDyDivdBz2mdQ7HFV5jGmMCwPjEGQNIePrlvvGxF2cd6rjyCnRzQsyvbKlaWB
BWfodmq097WZP25ThI9h9JNGR5/Gst0pJdwHIjFnfw5uYNJVKBBhFjbgAS3Q9cMuswXLHbZGNfw0
lVl/VR0PI5RHJqDQTjV8Rg7Zjrt3KIOlPQgNsftYrEVxkSwCcttRoTbrm1s06x4OoUKtKDAQ9+V+
7NSwfAQOcnq5Qya1ZJtuVoMH0ckDZ+qTaCPmwD42M+8MvoZTXc/XqhmqE8WtjUGIRk1e6T/YYdMx
+jINdpzuJwiPAIIEFa6VvaWTiAp48MSCuDqXBbeapOKXHTk5cdWzr0pAsNubaw5EkVJiH0toHRaz
joR9cFpj9iqYqJ29tIcRmdVgMj22R+Zf2n7iy7M7fQuf1TybiDP3yzosD+NYmu+DyXuU9OwVNhoK
fV3LFxl4VE4eAwO+NclW7ewHUP2591zPrfAR3+uFS3Hr8gw9CJv30Eg7w5lNdXJhTDJtYOf1EE83
Okr7xDBdApkv2UrYIAm77sm0Ghrv7kpTlqN1mkADvi6tmLUC5ajCeGPjIzm2qS5BbnCH5brCh9HE
TlYOhftIJAElh8wS5fQ1MM/qQALfYxroIMAc7Kja6iLGXinoV80cuYI7N6cBY54lvGZImJkE2Pcx
lrSec+mvprM07BBKUXUbx4vHUASsC/XGRnNLblmO92NmShZZyen6AUwiiFpnHJrDopCq45xLfvna
WvJNsRGUhOzHLvhCJkvlJzpoEYpLlwc15Qh1L42pYj/ZMLzIfSYV8+7RcLqkgYfPrG8utxk0MFDe
vmj1YdQKL2hpY99AlZBeNv3Qs7mW93MdLupFdUDbTwB+lywpkMsIjy986K5bgjM3OoEGGDJJ9fd6
NObqbgsvXqq0lDIM9oq6ml1b4iY81DOVVihWulqemSWNjxlc0AD4iG9JhjY9fKhSR4N7W+gFE0gp
1nI+tIswyQRGlULwE4Z/zCIB2rHIzMrk9YbHi72gaVKjidhAMeygtZG6p++r4EST8KY3TdI7Ed0j
BBzsCLzAwGB9YAyBQlisd3LNWyxRDG/EyepJDH4rZkRQnEOSip2ekoAoXYKi6/jQNMXmubMhD3al
YH3dSMnJS3ybcCjzFERaWKO1gIZsjxiEVgX2pN+e7czpXydRMcFiw6LmF6ri6NmHua7oZM+MHFbo
0kyJUyzqFFWjF3M7MK6XKOhOvl+717We5uPmLvPJGIPhsROsdt5qTN5uHOdE8XETC9yC620J7WPA
QONshixb/JVGGhUMbpHaS+CV2Vgf/YEcSbjl9VUopiYOMgE+qfS7r6MwVDyaoYhpSnFvsFGJ7xQt
TOeqQKOslsC8Nkgj/mzXgVNiwBn/h8hM/yew0aXeYbHH8zMxXN/ZvOW3iy8gBjUXL0RYT6Qyw8Ha
W5Sycu4p7X0B6GU/0Iz5EZZ1T6fIkuW7KpMPPuFyLOTNO9vKe0/KZzdOIouJsIW4bfz6nSsrvipp
kGvr6uq4LB0WmJGt8iRLc9l7xfpOQmc+ybpZj56MKqriGZ7GxrRUaZmzLhp57Z/Qw8z9CvaEuXX7
wq4DSmtd+hd31Xn6G+qj6bPiW282SxIKdRVNVNw5TKF3qu65nQSTb+0jWjlwmmlHP0cjdfNyLYOk
4AYVh6vvHpdB/RjDId+D5uke5nm4B5XUXOclT/02O0Fch2zl9SawjZB25D7WRHZiz4P7tJTTBUJU
nCrTNdKw8fcuQUU+Ru2neW9aZyuHnVENZfnRyMs9Nmi6m6YFRGxNVpXU1YiTBUl0Z8/usptd3T/z
l3BCXaNJH7pGr1wkK/8UZNZ2CwGhhzwhA/5wvWA/WRk0lYGqf9d8/leI+Q/Eif9/AO7/bD/k+/ey
+v6nNDr/yu9KjEf8LSQ27ocuaQ3my5j/f1diXFrRkCWQWSCV4WJ3/kuIcS3Q9UDuIrzU5OJ+qyD9
txDjhP9yuLZCykRdI5OOuf9/wN78sy4ZEHczLRzuEBwsEgPmrxmqrTCLap0KMw0ulT7GkBmvxuQ2
t3/4QP4i9vZbru2/dMnffgyBIiQfEhA2aUB0qj/qkui5lrXhscaK1QYnUt+ct1soL769zs+r434y
wu6PWtpNitdkvfcJIh9hgdXf/UWoG3/DgYi3svRJfNa8XULhTZLZ8A8Jhj/nJn77NTFX83uQdiHI
5v0iO5euieuzbm0MiJyVWHpaik7wXF5NavmRgyK5KUONIg4Z7R/c+dblE/jlE8Ibz1fuEHXxsF3/
8glBNizXsLZTrvnicRajelbNTHuLM8k9yMMhZgiUfW+ynNl9YapnctHjMwPh8Ybce2oJvf6DmPwX
j4Zn2+Q5UBF53H7VkqvCom15auHESJutaDHMei+Cpvn4+2fjr37MpReWHnYb87T/i2Q9jJZq3BG7
NJxzecI3OcQe951/0KP/8qfwvlyKC0mOOL/IjZ3ftwM20SUtxRaREgSwGJrZ+9//KZfv6JfvENmd
aJt/yTe6Pu/zH5/yjOlSCI6Axsoyc27Aoq7Jqtvu0R79PHHojI1F5Ir073/o5fP50w9lBSGYAOeC
mkJe48tf/gel3XZGuFgaMP8s5re+xkO8hVgsq6jN32w6d5n2181+bBycnfjYvv39T/9vn+vlp7OC
gG0mcOT+GgtjNlws4xDZKXfjey/qsJCgND7+/Q9xfgup/umPpIQdVfriBWe2AS/4z39k3lsUQBVj
lQ6dsSYzVcA3lZ9X5/pCvgF3llevWbTW+A9beQNPKj9sdkPrXUtRrpjGH5G9qLfeXGvEATNvl52r
nfktnyjKFpk3X5HrF+cpLKt9XdbaxiFrpwEZt4HB7Fo9tNY25HCIJ/81Gy6mP6M2R8ZvI1CCstLg
kzy/xUVouxrnVG5OTxNnhVQqGhBGAFIPizPQWV1I/7Wuu+1QVSCxMldUP4PBNb5WON33nAF1svI1
r3HNoowE4OuzK4L2RsiKq9K6ko/vuR1j4f+x5mP/Y/KqGzqWsjN3AWdNZzPrUtujOKdZOkQpZ6kA
PiCYnh20MmuntLN9bq6Yzg3/9rnI5upp5P0fyDyX6xj3OfpwzidFp0DfW68TjoEU3NYzNg0cpiUe
a8zvUBGqy4y98NUEuyvXeyNbSbb1uY0MMyK6hsC99pFY9TPZjzUpqyZKDLS5WzMPsQEJoh7fc1BF
mME53saXngg0HXz4qWTA/7g2tn4ZHRGmYih7hHNmC8zbl2PoM/ltOmh4KIjDyR4r5wgBrDoFrlEf
ZOcZw9nhK6RWaXnBS6URhKR78PolP/5mnGeXtk6Sef2pqnwr2SA6nZhC9wd26eCxX823gi/nPgwY
c29ORA2Qoe4rjvVYZJSfKrPTx86tKYieyRzr7Ms6GY/5RIp+MM19LQOUlQlyAlDD68mzcBZjGeTm
AUkq692jNBDPsryeLlJQSX/HoNNaeEdaEZZzVRkZRLBufAsmdXTIGSGN8QT1GQUMVAwRS4qnuXwW
Fqb/2ryaShunK6JCDpmtrCmv8yvmC3nZn6Iuj+5BrICTNFz71HbiqujqW6ul7A/Dgz6S03sLq2MH
G4+7BRVM07eWwSFmLXXOzPYFJ74+MWzOMddyD7QaTyc2QF/M27hwPLJYJQI5lZakhCbugVQ162Vc
UgtHIkwILCUoh51rf+k8NzoasjKPEW7upIbit/cLA1exesBFku2gyI1JXTh3ADRuubPaiTSpTQbO
iJWwrs1sZ8tqhK1v2bvRik5jWCLltfb2SBTEPuEzy+7hOr0voT8eynXSN+DUNPSXfDlv7sS01ZAi
0W2Qck1cb0iOCDK6mpKWftRHQF1X6zAfB3d5HU1aFcOyfQG1kWOy8O6qrX0wWid8irpO39vCjF71
NGyc2MXdgO/8vm28FbAHtWWWIbfUlvrTI0O6Olj/bK+/9/PlAIfmM5s23Ck0q+CIpoYZs52MsfM/
wd+47jCNXmU1H1pkvemyJ0hjrzQhtJDW2vB9o3TFGhHZd5xWIronS1t9Af1v7lyogynYWF4t120+
cuoIyBOgafa4zqPuxeq2/hln8Cd+cSJPc7ElQhhHF3zy7bgYH0bhEJZvo0LsnMpZ79BHcHfNqxPz
VFF6Y/JoKQXGb/HH92yF0Mbk6DBHxRveqjsc5c9hWQw3PpG3vYF0WfqXRXD1ThS81GQwluqAs5RL
dBAdatRf9GMUhWV9sDbu4cPm7alLFTEDvMvrJO4ptQxju0I20fiewyJiAR+Dw3jxrAwV1TcrUu3k
nL182lyaFr/j3W13G4OhHazQpOunZ1nkkgjP+jpFwS031TYdcL8nJnpH6tK4+k5d38jvEVkngERP
7Vi9rEzJ/+Eg5/2SAuMQSfcF5/xLUtDHvRD9slcRdjFrwr19GhnGtu7FNPft3vZg1F8suFEeZ84i
iAkUnhxuSe1k/nGWqz+dIl/LMu1r/DqJ7uyBEgeliseybHguMlAoOH6arnufYcd8v2SKvb01mm2K
3jV/neZu/JnDi3GxPxmGeRzFQIsJ3rj1bS2j4t0ocWfGmAAUB6w2zxpgcF5/g/LSfHcY1k/p0voU
bqwcv2mObfIdvEeLyEgQNj8DYdTfJ7fH0rl1oeIHVxuDINOsgCeueTAaOGOX5p3Hz75TzGruTS/v
Wb11kXv7tTDKe5Ic3RaDkcXBmpkT7Z1oRM0ZRxwdQJCX+xHj3jLCfJyy+jZ3sZaavdqqAzU+uj8t
c758p36JmQB38+37jFWfUr7AK7eHwgRLnZqD7E1cUty1EnippBbXYJa4kTmWjbuxaYOA6EzWfWRN
MPT7CIudkcyyZWGjvKO5C10IrzF+We/JGxuBI81W9X3I8IrdxdMjHya+spBUgh1dG3UxBlxfqCzd
9S4h4RhtjyTOADkKhE5k6keHDAIFRkK6CEo2ATmSFVHDhYJSqCapa9ncXNwteIN9iV9R2RhRzhC5
5iiVzgx5oTEJFO77vsXPPtPK9bwEhg2SetI4BA3VhSvRvIrCzSxvIAaTpWjWK9JLUcM0TmXHwM89
YiVmHZjoGS6lgXU1ROtRTBOAvgiB20siBHqiq0GWf3pBqwuUznzwQGGuHVNEwyt/AOhiqW+0aBO7
XwRFu3g6OSgUjRsc7IE5OBawuW/YwrULcRhulX/kP/oNi63tY4Qjz5hONtvGLXArcEaBJ8MM3LDb
jtZZhLpty5jOIZmdeCwQ5TRETQ1F1S5Plbb19i0KtcGwndvpszHi1IyzAipIWgale678wWUELSyG
MVNFjwWKLYeaVDXLxATeZHnugmz5MusBYGzBztAzSp+ZLQU8Bw+DXdBHktc5Ke+lLhD8eq/GEbat
o4UMRcyIDzA36dB1fMniPuSrRdQ4vKCfglp+8TGivRSWZTz41ra88H+ZT1RUVfXHxMXtO9Dc5bu9
Dt49jzzwI20wbz2udrB0iZlX+g4GJymIaWvmJrYmSRaiJ8f6mg+2h6+5ioAWIugyGGERxcddqQ0K
VaN9dVVO88LXRWbxYyw9FjojmxTbpFOQbG08S1o8r9p7RI2SzHaMjsMUaNMwIh/KGTvx+rx6NowQ
9c0r5VRyv9z0dcio4Lsx6jFLFt9mO3OtpVx5h0bjm5WFfBBrb2EeFRba2q6j8tja0X5rn13LU/Vd
YE1UHuWGzXSeY/Z1C0XWYW+bcbwPswIf0YQRzCrDybMbGZmrt+9nhSNS5GP4Njt0Ll/eFYR/wur6
rsvrWe4CGG8ek4gG2dfNcDvu8DVFLxvkHohWPgYjNMzJZbffQEztorCrSHdM5nLikBJ+93BAP62y
s/29ZQlCR+XcOmrPMuF9a1YcbnvdkcI6rEa1sYBN2Jxt5W8o5TjiP8Xq1+liyHXAktwZtxRoZs8b
gxL/jLUpp2CWL4xWT0BU4kz5EHXE25LT01uXCwvRynM4HxH1Iy/xNjmrlKKr9W6Z7XHEr1BnD3h8
IaIqTOEVJxXeGQTHYGvwUwtp7g2MlBt5wrL/ZH117V3fc4VMlDWYSKdR6X5xPJ0zU2PkdE8qayvv
iEBbw6HG7nyrPVzgsQMoxMRUXsE0Zeiawdqry7YmRua4XyOvdL+KGXB2rBFhoW6GlzZtLxjmO39Y
5Xs05wSM1txHFTZXtT1w4yCtkBc9Uy/tOXcwwvB+EqbN330ekVOzXYwmQ1gNYRzNlC7vLpToNh4v
ixUehNCiBdiW8lvQBQQCBs9d2njh3iWhhM8osKYo5vei6w2oX9JwPcJA9khEoM3bnW/Q4tV2G1lR
CkmxIQCd/63Xdni4lGR/9K7Rf9Erl5g4C9vxe+Ya5gliHlGWBioZXXD40VH1+ctejaW4pDhUNQyJ
BZXpabVLVaTaEmBYW4a6BTiBGd6oU02ed8B/mn3Yw+L+gO7Y0WXnGPpehZ3xI/KgUXD78xgyLlU+
H8IuZ+cEIe+9mdg7VDqQxHluWPnp5DMHRu4MT4x111Jt2l3TKu2/YWvtH6dZlXDjvC7nzrCGA7Vk
bg4bMYdrfGkytdiagha6Ht80p0hBQBCUrQNw8OAuef1EgzQDg6KkTfnE5C24K8mVPUizGNgHvI55
OwHbS1sgI95ip60JekLOUWajyEmL704+Lvt8NilWJIzIxoS7DDJ5UBZPylM5xyy/FiplDekYAyjH
ak6MnbSf1BP1gDGuWSUYuiElES+JtpQ44fzVhn6M22fcuseZdYwH63KvwbT2lcTE/Kj8yVmSCn/3
/awi+s7oYAguJWWGGncYyys2PCbajIGjsoy7xqymRI5y/FaPfnjngNjHNxZ0FpfWttC080VzAY9Q
F+LBlnUw4qpnJkuJJF3KrDKZZCldGCL02h5BuQZb/awoPlsBJit2dIPK5Hz3f9k7s924sXRLv0qh
rpsJDntzAPo00DFHKDRLluQbwrJkzvOwufn0/dFOdKWVeTJPVqMvGmjUVZYthyKC3PyHtb5ljGPe
7EvEHYh5i1xQ+acxagsLInGUGujVvCGXF8r0m6uMwcVdO5ULN9MOffxinGcxgg6BALMYPcnWfMqr
hv1e6N/zuBAti4Goc9ZAqc1gl7iqn3hdzAoeriF0qFj9vkyTWkzTQ975TzRJSbcJ/WmeH7vQscsj
8rLo5CkrfBntiuBEhwcS8icekHrL5LK/r1M5YVwd0h6fnk9AC/RKjHFqiyFXr9i2KsYRk9ey48c0
/yx7wZO6cHJ1mw8Qw7YeBcSwCoue1Slo0ZFLmiJu77C/M7ZJpZsXxxuTYKdTrYPLWnUzC3cDC/yq
QDW3NLyefdkNcpaE5sbkbRZ+h2zO4f/YzwVznl0J5uAeJ0BIj0Dw2LuX2DwIFXonQn3jeJaYNtqa
7DzSRtnYdCJ/J5GAA8TOsFwt1Ut6wobR19eiz3DdZmXShps/nzt9yND4Uco7Hn4KcxFLBh9xbYht
J8+OQHB3QpYPNg7UYpWApdQrr6rzXdUI6wHTqnVOha7XVt23W4xGKG/scuR2yYMOoEIwYvyujdpY
dtHIkPgkLGdLqqj1lib+9ON3/v9LmH9yM/zm6/udGva+Gvr4H//zW5t8/fJbUez3H/uximF1Yprs
TNBLmoz5f7OKIXCKZo1BN3wcf6EJ/SqINWz7F8v2bLYkqHyoCAIGoL8uYgzh/gIsDTgME1/P+b7Z
+RubGEua9k+jXGhoiyaXRGKKBWS2kO1+nnKStspiYSRGMXFpjjYRSRRcM3nnAWX1+uHFngTu59Eo
O4+JEGLZZu00LK9pAGQHlI6se3F2i6EpNm3dTtUarjhVDQVAPF8JZJD+rWqchfMv5z4K7zIh2vFc
MtFoto5ZB+1hLtyU0kFgbmMhY/VAU8shxp1JjTPeu7OJOGmlcUV1a3qRmZTfvtHdlxxFusKyWtiR
5W+AFES3mD/naSMDOtvPPHJ6bK8su+xoDyPdlzzBOKumazZdE8wjDHvhuFWAP3t8Y7XrrRtbBNN6
8vWcXxcV3RiJLJQU96ZtyOzOBtpRvHZsy28R07rmrRxc4Z/cqummjTNVrFJtawIxX4x1Ux3yEYbP
w6C9SjKpGH16jGBEgPIKIpUc0N4P1Cw2do9wDncdIoXLsepbdILj7Hn6Ej6UTOdND1CZA27KZxVd
WT62oWTN26v0i+wDYz6hBOvrd4fZBZVSP1ZdAiWkyhr0PMWiRSL6MqD2krrs7EPGIzm7ra04bT/H
0ku6q8Q1MGI7bq0QPwFr9r/57KSHg0Xb3L3jVrR4gE1UboJabqRgsze56Vs5QwG3L51mHbdTQvYD
pWs1I8DkK/k2mUzwCGWekQCGlVXxtTXL6TuteqsOoutSsa9z1wBbXDJC2SJQEn0XTiV8EEke4mdt
ijbvrpEFVs7VCKR1fjaGoKcHm9hhT+FxzF2r+ywmOGrPMyLc5hMtcFXdeA2DCbTKe1ROD04gxUWm
nIyQ1Kw/Roqeu888tvFu/WZVWTiteeQ+E7Zab8II3eRy4d7GzMrXwgX7GlcKPAv8DwPLZxTR+E/T
lN+kUeU5T05EU/DSkF2iLqTdggkmLUOZsFFM5JP4z8SAQmIYS7nADAHVLlgjYmhQGO3ScZ5vQ6Ov
kaZGBl7G2MRbijCay9hZhmMdeAq8J1aCXyvAmvrShI6VHqmaF7B2EajEhBJBzO6NMoIQun/ku7jy
TTdJ4M5a8AMItdFJYu4Tw57mV1cgEUScOGXSvkI1Xs3XuU1s7pNH6fCS5ZrIYkGqMVZIXaCaRee9
4w4LsQBV9j6tBwe1DNZv9hgR/7sMcpYKJ9NKqmBtmu3Y3xm/ep96IDLU0ghfR/LFK2E8J6PuxldN
rIh680UX+EfTRU+Gvj5XySX5I5X9rTWJB90xDUpCpHFNmm5jUw8DPY0z5P112+HLP8xGV9yx1Kby
6MEOW1x6zY+eGW3e0LXmdiHsLrFLIyEygzaqF2OMm3iTZg4a7njg6LiqwcKdaEQTnIIBH+pKoWOc
NsS6+AeYzdLbBRSBW1GRFbwOvL4KttSkco0lG599OxjpOdPMn1bkFmfORTj3xXzorUrEqyis2MaY
deSjY1VV8TwWZKGvNM7KC8Npx5tKF0aOBSt1yZ+qRU4AiCPL58Eu5vewEi5dZTLjxkvUW2X7MGcq
5d4Vsf88wzi9CzuJcyfhTSMURxy8o5nL9gX4xW1ozgz5p4bzk1/E8FezZ1ZHr0ms/VwhZGRMym+G
V7d7mYLJhRKJHf9rFCqDKm+Mrnv+zU3mdskWwLa+k6Wf72v8OfsGxum5tPPiIUoLdduVmWOfQq/7
xlaQ0X2YlGLXGHP9wqajekw95eOXpbb7RrYXM5tWgp7AegeOaE48hZestx6QOs1YkClVUDg63rNH
U5uvpwELY6Inl/UVpu7T4LbsqhKaZeGqidiUECI7MRmMM+3Kzs79WHjEWUBUuo5hO20Ru/vZ1jJb
Kruyc6b3oR0fe5wQ+GbVWD4TTt08cALY7coSpDJsi8LI0O754s0HywGtHaOBz4Ry45S2ZvnVhZ8V
BaF1zqtebcchh0vi2wjRvCb1bvmYp6PLaOBzVy9NzaJB2o0+b2pVRpifiQaPxmQ9mY69LhvLqg+1
7bZPiod9hCzLdpu9NwpxlxvM7XrLi58J3Rovo9E3sEVa4gEhbPvChGvYWXD8diS7J3e1wFC32IIP
o2ecNKLTVezUD2Y2NVdKENx0rTsjO7SpRh5YQx9Yq1bqCwDUjKfq/sAY31YrM2ybwwDoB/i+KR9b
K3klhqY8WVN0zuIA6EUO9fyTVdeolrHRXHpiuMZLmD/U8zxvtDVS4rczbJSqwqiehOeeIcdaDn17
O+RDdRHMSykAta14SWDwnGyMkneqIwasL6vq2gyzeGOjfHwJkrHdNwV0pcaUxrd8Jo5+jcCfrrY2
KnHLdL7JjrWGRquxlbtrmAbRzjDT5JzPw7coSa+BKR3Lpglf2NXceCrr7kVDr5AmrXgiYAZsflJf
sS24bK1mOCJMRKJr0M59g0JUrCC8oNrtzLXViPgT42ubXMxuA8BMHAl0pVzoulMTGAQCmAtOAkEN
A6WpZdFNZxw+TEElsRHM+IbCZGSeCc2lLoZ9kKXVRa3KXVm2acNkMZf1saYxpOuozXE1JP112Ynp
giLHP3CgAtadU/Kji0h+ogwy3M8Nm8TobXI1jYmZl81dlpuLvTxnSh8kRonCLw37J4aiZrhBhxc0
G+lXzLFHBnJ1vfGiNiDkRFKtHQrGAsWdRfvlveSBNb7GSL/qTadjfUjSodywZzQ3WDu/1dGQ4PYY
jOI945l/5Q/uU14hHC/amPMZfAdOVbNYD2EXkSVdj8kh7ANrM5pATFYTeUkv08AYrPTM5jKfiK6U
blLvvKDvV5NeXCe19p+5NQxNK+LIfeU4g03nlUdAO3sCq/IxMY74oji2ByvyXDBIydDvvFbrr4R2
4yUNxqTql/FPs4+whWCrQjlDHvdCwFH55xGO4DLYcsdN6I50Tq1hB7u087ptqhEAhXV9bacp6ynh
e6Du4yraELWiNTl8ojiHfcLvE6VQAdR8lqFCaFfUZXnWIbr2xei/J2Gmqteu4YG0t9RIOJ5h2Mte
ISf7puNAXcFeU7uJCeEWhr06OyFG3JrxCNBIRotvQZqV9+zoyhc/k9mzpvl/hhjX303MCwBze3Oz
Q+ntP/lt1x/GMSt301C9zYVnHqCNMThOTf+ytsrisnJVt/P8OX8rlO3sh4xwSlQF2MuDoeWkdIrr
loi8jXQZYHRRl9yh+mcoFhvWLlRF8cjAdz5J9vdPsVc/5gngnBkC7r6CKfhuS/Kpptx7B16Y7ceA
VXwgA2NVx0zQxmy8o07oeJpCpQRBE8jFzObf2GWIwnD2IkatHtcsaVI8bM3wMqu69ySXqbHmBmDO
L0RzB5usck4d5NhNx/bsSTiFQaCZme/HKo9fGYe5h1gv0hL4uNkj+tB8D3mwvILHJT6rqsyhjxSo
EWlFpnzR8Hv7fqqpT71Sx9eCfDKEnykyyNCDp4eKPcOESvdWUpxNI9lrqf2N2dZwzFGVsLCZTG9L
Cp3NuCTxWEDKrOfpj1ADRFGt3GON+IMkPcTrrAZsAW2uaIFaFb6FBjhqQ+Pk+3OKGQ1nE9Pj0H4k
HCELFjwToeg+/AYcQbZ4NuxWfpOuzl/tZlCXRLNQLs6i/ayZSBB/CX5uzQ6byOke9PcXB939ySoX
tM0cDszDZ2FuIyesN43RwkkscohoG+XOETVdd5Oj0LwaMansLfT12yIv+jtY5vKqN1F2rxG7wdEi
RAp8Icb51WCzY17lRDOdgEiYDAMxJCIrbj1QrVOfDthrUhy1Q02slTXBEUChPDJ8Qe4tN8LO800I
a/gsYBuYlxXXdr4ptU3gCtND21mZjUMryBWrrgAOZA/TjGxkY+iFLT7J1DvEje/cNYapD+hvRXpi
Jelh65Oie1S1Se+BQdoiyE5ouR48DG9AJTNreho6fQkApFp81JjvqLTN+KDj0tlSw8gbJxyNfRMJ
96u0lenArq6GG59z+Ch0lp4nsrtfvY4p0TEyI9vbZqyYt0pIjapGuxxaGW69dUKKCgiENG/nC1lJ
bBoLI2cXeEP2AgiGKjB324do6rgVKwrHVUwCzzfh98UWfkp6NDjlnlh7YuLCyb6t+nR8bkH9XQ+C
84nQpmbFnge6ZNvHxjXM0+ja54gX69CugieiCpYSlg3AWtMgXBsI8jAakPpE4BgMk95yzKvEybwr
cFzqi0VNidfFFV9H0qyqNfoLBA05KujrnEPxiHxRnH3hlg8lIO0Xj9gVJrOiB9801X19V8N33TXg
1vCc9uZnl2CZbZmG7tEkH6iGDzWHb6LumV0Xobr3nVbdAn4AEcF+Wve4MmXEvSmT7dCbYl/NAw+t
uAkesxECALNrdRC9t2DD/XbHFVF/luZgHrUIs6+69NIzQV4+hKWK6CAD0rIyS3lqXH/WG1DoT+y8
wmPbj/qeYLD03e1xMAC6GC7IlGMTYzIrlxGZhb3s4isXM+cdXg2m1XSNaoU+ILuN7SDnIpu6L1VQ
ByDFzXBnT0G3dS3/iHsLOyIOuxOk/cxa+XwEDK/z5t4XRfi5R/t+abOfOylS5c5EuvAwNzBIXhH9
BvVykXWVIYdIAvWLZHjpfIYRUly4RlefUweCBuGc9x16mXQ1WVa1CxwySnac4eBxmlQnewXHAhX2
kLOWSyQGBtXmn8TcKSIQZx7SXplXG6+gMeQML6zbILKJs2zwGK3dSiuq+CHK2MWH0cxPKDe4jSIX
CmFKf0b6TxnTYTNCobKGcrWafNM99JROJXtgKQIU/dP4pWkr8TwQJfRYW3Mh12KS0gaAafmfCOsV
I5fUFBxxA9XBBdC6JH2dKy8IwGpQ6APuzJyjEFmD+YtGr9tTL7+hvvLIlunUDY4tSZpB439DfDO+
dAmrMVZc/pBegwpkqORT7ZurPl80M2hsOtlO00M6wqkGT5aUq6xR0VMQavfQTaK7Z/oREl85uSQA
2ZEpj45sMm9ttpE+qKmVpEcVMjFYwzhBgZ5IuwyjdVueDCkqtn5NoM7lUJrplozQgJU7O55dEOJu
AHgv39zIbPak36JJy2NK8rVHRbVWXmhsMiM3391ZMwkBFLrFV1FgliTQiAAYkTL0bgsK+WPtIpTY
YKHQZ6Y7Pb7AqCkeKh6Z+ZqlkIF43rSAfZp18zi1IsFe3ZeMvoKoIkwwKb6SnSdP0B57ZAfufRIO
46YdlPHV7IqYhTFRc8XsTPdxmogzVaqzYUjlrSdcQ1dGmqS3Vj6Xe1vhvPbb0rscQEXfI2DLrnin
dGOsxqExkq21qUGTrduOMMmVsJzsSvsGK92WuB2erWmEToKorllqfdn0DYjZgFljuK7SJNnJqk3v
4HWS89mVebCNtbAJjh3L/MaFb9HBiq2keWmxEq9AhxQLI5Mcde80zPFs3rU5aGAqCDxGF4w8IuKs
Ejsm23ka5ADFxzGc+7buqujGgIZC88aVpaDw2Vks3HdRzEP5OkRFKncZ6paeRaVPBvWqdcHNfUp8
jo8DdrY4hZAdZlP43MvBb02uQhdXv12M8RBsapr3aJ+nXkbmKB25OIZkWZJXNSq6GXZEQXgR2yOq
M99MeNW4l95ZTrX/TaV9Gnye/C5EeWT2HE7bqmNvfx7Zy9/QPoj0MQuUS3SlTpPuKCo/9XfxUIX+
JUiYKbyVoRNWu5zWQR1nxUG5m3tiFjdJtHi/F28QWLoUIY/F03mVYPYCT2Khj2QxVMPIDTZa2qG1
DT2PPx/hHji3Mda1HJcv7t8tr93vXG8OrG00jP2FUHGf7BQ5qMMdUKBx3iWZXYR7k7tJXo6d388X
bZZpcZBZ6MQHhkSFd5Hjixr2zjQzllyB5rbCO8OXvHhnmIa/YREKUppxoR6PUdAV/Y02eqhypMvE
ep+S/2Hs4P6WxQF7pGHcpElNMCMU49Bh69jZFZFLJNKec3Na6Or0Uuaji42AY7dMB8il4H7VClWJ
NG4Clt3BZu5nprX/rfPYWZoT+jf2jvoMwaCkQhZfgtiqT50JNG+NYzCaN+SVVWeP0CYEQfGo/Z1r
02CtDQVSZBVB0L3ppkKdw8FlzhyCAMaWRkYoIyhsUuHeVQjusE66LF27udg7AschEERqj6JwX3FX
RduxxSzNLINVptl6x4ERIntg27pw9Qw1AI3RJrRp5bMRiWNst1/d3k5wTA9QVIMBX7zdXDKE9R5k
4bfXY06JgW7JWxictG/XU1++NeH0OEFy5LX851ZjI0zn4JTU3clGOrca3YzxPZrrLZUXoK64DFaN
CdduJt97HfeMteI8fmpnqo4xhdOYNvjMVW+0O2Jji20TR/EedbVx8DBGMPWjDEN3iFdR7TsgHdve
h3xQy1ntwsKE5xv0w5bpuHUjO9C7ox05AOHGOg6PkgDWCAOgScCyXIIGBMxfv7SSL8hF/J2cOGWz
rLMQjMEQdczLuZ3TQ5x7F8bYRYfUqYqtMGK9a+z8rvPll8RFmLzC5djcRn5o7RFNZkdXCUC+Gkh8
n7n1N01K6FVHY9bCSC3ym3z2eXY1gOd88touSdhsXoRp9Wuzs/MjdT6r/5qX+6yESe8kS2dTcE9d
REkzffNLgjcxo3Njuyi092Ftua9xOp7HecoJ4u2jp7E23A0dh/fVgUv5ahYJc0s+2Gevo+4Yuzi5
1zoCuTxZ4xVKEL1t2ROtGZqV28IZmTeNUGEB9LY7xIhiZ9bxk1sFAKoWtQWHGEDOtcZieGcMbn3o
XLRRWekek0ZfO0wVVyBXH60yhiWWGRzVDXodMaDdDKbwmxhVerTiwn+tpJ/iZQYubRdvunZcBs2i
3gC6expcB1mct5geFRW70Tfhxei19Y1XTF8o64010cLMPbjxkBJm0U3ia3/jWsxkN5433FKDvaLH
At8UokSYp/QmZ4cDQjBRO2uO4SbAXCy3ubCQoSR1c5/1aGFQsE/53VyhzVyUqsY0mNvZUPWxGCJj
I3LU8lVoWhudJ5AvnOw+jQs0vE2AojXklt0jhau/jJkJYc25071+RGYPJ9Ji5dFXz4QSVxdkPh7I
VowODZ6+OHUUPtdpvkwGfYIpMG9dR6AGjmuxJ7e7vxindrG7+dPJAsO2UtS2gOkNep86nsjPltY+
mMvoKiGZN2p86x2ABeUc6U3LHBjYmNugp/Sc9ivQM0Y9TLpOXoOHxp+qQ5WzLLH7IN+ZDfVWKgDI
s1nbRCOaDWCmao1f45kzdHwZaoUEfwyPiFPGtQNBZdwOjVj0dGl36IPqpHNEhBItDCPGwiFTMrQk
FBN7dK5hXMHhjZ1eFnRRojzRvZXxxuJ+Ufs8dJMLJwzdK8flsq3nZDoETgH1dMyfahOJ/aoNrUcT
qyQLP11s2DGVJy9GlqmLFh+6LB/byH2OWq7MLAEdmTslx7dnPRX2LNZ8WUvXlk6wLzDawjVDO72l
i32ycutr5cYYk1H0rjvhFntqgWI7wno4i3Iw3oJwgthgV8ka9UsFrrx6RIydHaaBnRfqUmo/vAA2
OITUZ87SRE9ge6j9pqHbJZ7DOg+dIa5zt3gZWSJuWwPDYTQWPuQGNm40j6m8Bdyq9j3A78X2Xi8P
Ah290YxSa9iYFdDi5THnYM11XEX1CQGztULRc0Yv23yyWnjZXsT0GtoNN6XflAfPSiKeEZ4xbc1I
uochGvaQ5+CVoeoTpBeaGjuDSs5D4Q4nJoSc4fGAHijvbnWaygu+w/JdQHlnyEA8xAqe3KMYhu4M
FTx7iCuKjdUs6QPY7quvy4D4m9FTTVfdUD3a2kw2A70UcxPWR5sCDdN6Nh0yXsHdKHHZ1lyxWBXk
54k58tEIapS6Bj6vdttPk3lJsHCDOJ7pYWFNrxjhg3mDej1MtyGGE1TvmYFR2i6FW4GgsJ0TxO/+
KWSQelFpHpOJH9e3LLfLdWYkHsU5g7S1mSjUS3FifGF8QfmMT4Jmx7q0nT5/nMNU7zCvc7k2yRt6
/GjDSOrWKoPb3sjIBKVGdNeA/uAQ4dnfAGtjjk1UxEqkUClWS8I31QfEabP2vyZpb6ARN8Fqdonb
RNRJLTqyBpOLs7ZraIktzIAt8NIYvWHqUs8W9jWEZcX4R3TIhwdmQhM80b5yXZbMba12QFw4fVII
Ubtaa71Dq2keSuGzyMOW/z7M5SklR5LBu6kvQAAY15zU7l5rHsqUqcYGoan5gCkRtadW4+Vv9AV/
4GpcPGP/MiVJF6CbwK4H60+YwkLw/fO6vikiZTgl4IzMxlQxUfPqAVA1tv6/0JT/bLLycZebiAIs
xOTCDTBCuT+/UKjI+katSvoqMvbmVLiJPV1oOVvmXwhefvY/ooxGBOF4lpCOZUoYch+SX0KfQB3Q
f8nWYZnqbSucP+mK5Qo6owVwARu6xuoTySB+sCJXjvs//0A/mCC/vz6pVY7tAIjG3eouH8RvvGyq
8YOwcvHPJ8Sv5quQIaxYyQTdgog9p9z5xJfWz8gn0vHSHHLrxpxrZgyikRB2eOrG5yiozeDS6gdc
9t9/ub8lrHmoaAiL/778zNeq1m0Sxf13yce//usy+crEqPrW/+nf2r9XV1+K9+7jX/rpX+7+x/c/
jt6rRezy03/gu6KEvh3eW333jkP+x2/x69/8r/7hP96//ysPun7/j39+JfW8X/41xg0/GZkdvoT/
3PzMsrb/2fi8/P0fcptg0c4IVC0meHF8Ei56lx/OZ9//xcO0aLuMHLnmfqu4sbE3gz5yTNuEa8WF
yA/9KrixXRB0oDGwEWM5FIRN/x3nM9TFn+5fdGjCEz4O6g+3U8RkSEw90E3pGupUoYIF0BNkjBdB
iR1iP2lPdmN6b+CRax/2NX3TSoCE1TR8WK4ek9zPPhmmfIqxn1BWBzVVed4vgbOkJlDdkbQc3/Yl
mvl1wFJNUbMa1q2f+eBROMKCl8mq48/Kbt0731jCUVc4CAKWXw47Fqw9tX8/q47pTG8ZXnRmrM3c
gcynO2juFtnOZP4x+KYKRdBv9jgSykR4G2lN9Qn5UPSpgWeqD04pWW/DTA7FJrWbdmeJWt+5LCKT
G8MuE3ttOM1ic2i5qQDQ65R1hKt7uUF1mLXrRPjlQ4Yb6FYyar8RZaVODpuHQ+jk7doUqFyc2S0v
Y2ti2eNG+sQeITjbyk4O7jSoNTmnxhoLdQuRFwLFK3KScod1b1w37aywBcXVJbOz6SLiabllWb1H
2yxuI0/Gl41XOCyIASYtfd887GUz2QeF9XIoMxA5hvzUCtwojT+Bta6Vf9BS6gLHWuK+5IlRHZhe
iPPkTc1F0RTdbe/J+6bBZB6GKPTFYM77wF3GLIB3FxPdJeEM09dwtAmYtrW+Elk3nthXYuYFp/xQ
+155PcsGGYryk3FP1RZsCn9sniCcMRcF+YvcQ/WY2ys6iFVdeyX9ppg4T0brmtwp+9H0ETV484Bv
pMrmWyyG8JFR1Hb0VtiDgH+n3V09E0c0WmOawWAOqm6zqJT3jsHeZDJy6knTbC6atD8Ajod60dTm
kv/NQmPMxEXMxvuJc9XZjMJ8MghruNBWJi5VMUZP+HLLjTn3QU2n0qCaJSFljQAK7HDcxgfBB7CU
Xf46LtwnALuILFUscJEgI+WiDDyxQmzGGp/RserXRH0DcDYkZluaAT9ULIt4M4jwK/HWxyUmQQX+
/WgAU9nqBMAQACHmFcjl9SWlh3HhsCRjyTUMLSpd3S4uskaZ9iHKJ3oYdA7DjXKN8C6ZZYlAB2cr
v2+YW4KStHGuBz1F7XZx5VfHHngQUgaZOsmmzrW6YL5qXUaemj/BD/L8K5gqcLTI+kBG0ErzIQlc
Y94npa+2bg8WBl0yz/g7ZPoNHGe6PBtfW5PSnWKGsA1+solObpYh6iliWQFQg6lVRn5B24iM4dbG
ZbGxbdvbm873204RQqIN2T9FQVpj9IHSxZtcqGzSUj7ccLffO6FbF3hTs3JrKZFeGuAV156pyot8
NBkCVwbTL5ooZgM+D37g5TB7sQLpGEUqGwr4Rw724HFA9KR6807IyuZQavDJxqWghHUwNx15TjOM
pWH+5ukgvI2ssCA2pO5p052ux9W5MKg2sYU6ZBtKY1o4gewoGnzfOCFDK0KKG9d2tjfY030dDC8n
iQcf8arrjfwG0BLWvJwlJcAvhXeS5Ys3sEaR1TUkZ+O2ImxuZ5RzQww3HKk9SoqKWWyB+GVIFRr/
Os1pqHxWO4pzOLI+936KnoF5cHnSxOudTAea2qpPJu5U+E3ihotLnwmraEKKxRmYcoY3p1mZbRps
Gp4u5SpPxvjQjUl84VSOfdPnKdecy/QCz2PF1pDZrX3W9KzWuveXtPfa99WeWZl3pKVdktJUll/J
0PKY5Da6IEvLco9doMUGZUC1DaaYOQb7wuKWbHXWU4HZG0fLGNuAdBI/ufCRaJ8L32ifmn4aNffj
yIoPiv1d1dmPHtalezcophcQOM2rPypmzHz29mEMJ/X+f6Vw+X+oJLGXwvE/r0nuk/e2/fKP83tV
8lH9KHKOb//xz+8/9qM0QYr+C7JeliGCeFRSsW2qlh+1iWE5vyzVh02KJeAVEwna/5YDB0B1weoG
3zkuP4TCv9YmSIFtS1KawA4Bhx6I/4NIcoAw4BSIUGXqQeoVv9+HCqXVFA/h7B/BuFlfdCFQs2T9
0L9aiCSOv/lo/qCJWUrq3zQxy0stZZbvWB61mvwIxugsC/tLg0JdCoaPfsCKWFJS/Dsv4tku7AZf
shP4ua6HmB/3aTIdPY+mTtoJRD80AH/xIh/asR/vJJCo4YRFjspHFMU0OP7cFOrIO+7fXEmnCN9V
3U6iCf8CZ/PxM4NW7ElhgeyxXJ4KoJB/alPc0sQJD+Q+Ra6NSybKEYdC3ug2f+9T+/EyPgBnNOEm
+fQ/v0zvqqAm7umYhL3zMMRtuDbNsj/8+Yss/8hvv38+L+GgsiBhZelivQ/cGfxqw6QV+4VC6T3+
Ixpwp3PZ3DArZxvs1H/F2Pn9h0dHwJMQIweLXPdjrrndMTccPOfguiHRVCXLdKNu/e3ff1fc2p4X
eEhmpPwQDY9aVMUgTw5jgvEL8Qx2RMXOAjNYsmEu8Vff1B99iP96OaTmP39TObu5cTasA5Q6uTNT
W4JxBc0az4PYMZNpbv/83S2H08cvjSWwTWwwHyF9+gfQzOx27lBN5YFKp/xcMZx+rQcykNciWzQl
WWJp0kQKP7uZXApz8kPbgDSRaWgfYXCwf9FCjvAeytx7IQ9aM4ImHiJbT8hAbgQWcWQKpGU8dUvl
vKq7uDsMRH+MXzKYosZtO/GIPeRd11h/8bV9vIUB/XPiOUBOXBsl9EfMSx8US9DngM6ok3svUC3I
RV8cICIn5z//CH//jWHrkZzxNJOAtH43UnFZO+a6OwC+MLe4UT2UlHp8J6UOAgF5ANPfPJyWd8bL
mDAlyepyPl71ePGtro7aQ5l4HeSRUe8xu6sDK7bs4c/f2e+vDV4JY57DlQ8a5eMMZ0o7yDhDc4AY
OCMvqowNdu3xxzCEuQYzhP/CU4O3sxzjNO48NngofBh9Dew9dBpWBwdL+h6ZNjhHVVi7P38nf3A1
SIvPywZmjTnm49FkO4kB1LQ4jD0qv4wFL+yOSLEmk83Fv/FKvIA0LaYOUMp+vn9ZnYKMZzWQ+kTL
UPQDTK7Kepsr0CR//kp/8O2AXMNqZLlc6Jy6P79So017sowCC7iB9bLIlsCRePiLZ/offXCQoDwJ
LYDHu/zwdgiBakwiNw+q9BFWSNgoMX6PY1IO4i+C5v/w7VCfMHJjGEqswM9vRxUR+n+dH4wg0ftK
0X21As3Dn39mP2O1eNRysVGROcQWMBkS5odHlGvSUTo9wBov+CLp7i5rb6jpaW33rkQH8GbVU/35
33hJlo9UEcuO3mcI9dtBZMwGwVY6PWRzE5MkF5c7U1nFwW11edC6h2xhGEX1F++Teot/9ueHMQUp
vDWK0kXpaX+4rdjh9ZFo8z3I1Mjfjq4yv8I7IMmm42ZTG6TShKn1Gpt/MNT9i0PH84rrWZI/5JBg
t6WcNa/QT6hrrbJZr0K3ak/u5LZYa0g4XPscQeYq5veHpC+6cDfm5Bdu44zOZp0BLm3XTS1977aL
bXGFgfh/sXcey3Uj6bZ+lzOHAt4M7uAC29AbUZThBEGKIjwykQn/9PeDVKeryKqWrs7sRHQPuyRC
3BtA/matb6nhBkLFWBysugUyhHshpBPr8MPt6lX1BDulpNGx5q7G/NErrdbEm+WSq4N2zHcTOq70
2lZW+QKhoNNniIXQxCHNFB/Qh0p5GG1toq6ophMGE/YQO3NuXpr2gPRTd3wYSWA1TJ3sNehi8oca
svIanGIWArIC6xEUcQF5/4vvLGRsNdYI7miu0pfO9bR7nKt++YwPN+gJUqhCZOFdmX0z2rLdpXqg
VUWPFFQHZgJjtSvwuVyEokdsaQcpkzvRzoO/yzZ6xUkku2qMZacilWQ5Q76YxysklKgjCRQl8LhM
cH6xtSW1GywMALG12ASJeaAYUrSkn1H+kjfLSKl5ydHfXyleZzUgmD5lKLWkZpIVqTywnsbSZ7Q4
Q91szIy41v74xcwsue4t154vdd2TbtQifn42Fgn+M200apQhb1IjNkngO+8XZKbJMglivlIwRaA4
lkHAwIh64Lyt4QG9X+t2eT+4/vAlmqr+KeUBgz3uZmgvulWNH0qMcu9zmU5ASaYZ7dxJNxtLscOz
YOUjdl0vvCBdtChPFt1UtyuZU84loVFwmlEFiqMKwXEkqx+ER2ZMH3wQwulJuHDmSRxyaBq9CVs5
q/4Bzi8TJcx+0/I+tKxMJQ5WtjNa8urjgh76Ac66dRnOc/YJfuAM380oK72nzCc5UME7+ZD5veFg
Z+yCz80SigFdXtYXeI562hkZKIM89RIkIDdkr58WSNzjbs6tusD94xePxOB6z7ov8Gng3loI3SMp
uGFdXfGIExWukZRMc/2SSUYDaFoZM+3Kvskfkb0I63SUXlrcSwPB0bYaRDs49X1VsDRX5Z03NQ7j
IxpK1Kv4a0Qy8ErRRPJNRAOHwP3hhXnmypgKMnPcNYQOyazt5t2QWjOiZlcZR+ohlvDDSJSCE2Af
2KVozyrSCDpwypnql5WlSCofNns8D5I5LEeUWLhT8sBCQR6iI7dusewYJmAHfC9EZgng7rPALL0s
dfix7hqIKG2OjBnDFSJRSH5V9HEZzFnuHGK90NsyVZSJh8QDrjYpePcSrnUTYzfQ2Og2sgxalbz5
Ws1LcVczrdP7ZeJBv5JB0NS7wG/cl3pBi4yLg1ireG2kQo2Ueh3xnnwXYECbEMXa6FS8SgqvTb/i
gMrwJSKlGxFyibo+sOdBvkwybdnEgY8Ib+cCKP+K6LefCfdFOpWoxV4KEtYyxd4x9+rp4zxKF3S9
bEam/AkqkTK9SAF0DfAsyP2Iybqy8kvf1v2PE/i3lkX/f5uga/mtvevVt2/95aP8X7AOsn++D/qA
Mh1j66uxy58bIct653G/4+rlHrQIhuIo/zF1Cd55thVRrXAQmcF3QOwfFmyH/+RaNJsIX1D9ei5/
54+hi8MQB+OTR4McEU0EzPZ3FkKbu/rPwzdgOoSRl02rSZW+TYbe9Izl7K6zucAX9yyzeajLKYch
V0RQ24bxDlBYvVvUOt8EdP/nEN/08eclx+uibbs88yYGCyx6KQ1N700PiaRoab3cxeotcvNGtOuA
kA1wUaTIi/nNS7nc9b5PYUWn4DhbANRfq5vGYP+lJwRcTlvWH3AV+Imoh22FWke/+K3+9qGy3eO3
IsqNPLfQ/B4D9ZeNroM7Q6k5Qo7p4Zhgn4Xtq4rGxiNywoOVyCU/+GNI78ATGX3TCLCdX1TDb4Fs
7Pk2YmjEHD4IufG8N7+uLoZsMuGFx2s6luIE83GuE+wrgwerskDPQJaRiXpoqb94GXJZdJuV/Bih
T0MQ0ZLzkDnt8NFzPU5kPLHaRkaiCJz9+ZfyupTm+0c2xJ0MbgKigB+Y2yf5l08K+C+1mM/rsQ1W
fUkCyXhm0H//gnBs/+02cwNWGdzCUB596F5vbjNyVmXUWXBoKqMt0tgP58WLMbqTsesp2/wSzFlx
3QwGlBjiKaf1iCvc+4ax2H+ZmlTltx153DdFQLYzOuFRGPslXQfe8qsV3WVVQExxliKiS0bZkwkQ
1e1Vg3uXtOvMCcZjH0EJBAjnjASYlNL9+vMP8XUBvXEafNI+PZ/ymXeM+7aABsvXLDxpiD6RGR/8
ygwPqOUQwy/NtK1Mpl/0P292yN8vyPQ08CLmxcwt3k4sWO4MUyhWzCO5eXQ94KT0MbsxHRi6VA9h
qu6oAo9lRzSqcL9MJl7tMN21YX9sWZ1mIz5ubYy/uON5I756k/EpbERl30UzQjsbvPmO2XihEBzZ
hubKK+4kr7N9ky7fVl2F57OLQbnudP2L5uXt7bvNdj2GNnwEvMOjt+8UgDst7rKIUJQqFKc5UtMD
yqpfSW7+6SoBe9It5tC13Y2Y/teHBCdGqEubWr+rJZZSxpVJyjDsF5/fP12Fo4A5TcBgnJHy66ss
swvEuN2uMtbZqeX1PvVzUP/WFJlbh3kQKJJtkAyRjkPv9VW6qG0MdI48iUX3CAR3erA65T7//IFw
//bA2wET8QDBBENxZjZv+dCz5WthjYS84/dqYzOfPMSZxRrJbz45JjymZvZJZ8RwnGSuu0ElKsCS
e3oi6k725fV0NfSOsK+8oqD3GKAJiiun8XqNArZcsmQmXqU77V1C7UEKKYpve9aYJwpNUsVtM1Kp
nuMrD52LjCWpuHIHSAPQhz3CWcjFJccP2Fw5nGinbKtdq+hOCWRqXbK36IFAvUs6xJRC/SSjQ42O
XVsQZTbyhZBV13i0bior56fes6pyp/oJQy4Z1mXGgyWn7FqOmXMyL2quP5EDReJKLwJDX9Q5mvv3
g0NW1X0q8sw+blvUdT9FlvoazYaRHZRq1jAxe79sToKidiq8ECofsdMxS467wCYDBsO1RGU2alLu
ts45Oy7uqj6Z0hib3WCmWX9oyHe9bjtVmYDUYTGdpasc113VIm7a9bVOl0tXApraTfYs8FYh5dA7
iLf5h9BfBww4Xh7hb13YVcWWu6RTggEwJLK1H7AEpkK5Q0zmvMEZbmkI+xN5NXA+R8s5McGDKrKx
auGcAg7n86m0t56GVWDwd3RmPgBCEIDgChczpKwgKB9IMMqbXSa3T9CrG3Bfi+9lt2gUOfEKDu4r
KGkKDBYfKZEesg8JCBMLKVpruY5f5kVW39TkjHof4GeLoLpH1r0aFTdBjc3eokE1rvlhBANXqeU3
e4X/ez6ClpTLvqjS9VNlF4t5OcO37/cEmYPIipYZ4YjbtOmprXkJn9nhwuI6VMjUblCob9qWyqbv
8jB4gg60BuOzpSKx7A3Z4QKUtWq+hM7YPKVFDsySwrQoLpeOHi5m2kfbzpvbnuMRc/OGujDbb4Zk
L4Yys8AHkylBKFoRlvaOaUX3PDoE3kKgKkY0zSA7dlkHcyUB2KVPBTLrkm/Ca2fYPCsJ3xDoLHqb
MKCBHLsaa/KIUbWnmGQQnrTF7DzBJgsxIfR9ZMZzY+QD+SmzVZ9Lq8JvEJRTeTYZQ/XUIWyciPrK
EHUjo9BtPAddXyWZwNhIprnm0C5EkD0uAcn2RMHUBH83i2E/wfSbNekvAge/amYDtbPZ9FdNNxPH
IJ2sVWdl2i3jjVdHHo8OLaqNDNYmIyzr6OcThgsWCVpjFDA0WnJov3DpbEy7XsW63V6l0V+xZXRB
Hi/DGtwMo7a/+MhT5E2qlyy9t3rtFWfwsYuz1exw9A941ruk0WOLCrkCxACXMfdh3WmDwONJ44Wo
xnkUO0YE1njQkW4flqiYbh2UwYD/iD4K+304dV4f6yr1ygPgM9/fyxFrQNKJpVqPeSWhrRXV2tdH
O688gZHHAi6pzJENVNgOK4ZEECp3BkMYmQRB66La9YKZwmiTpyVhmGs3FkNGTvi84jPdo/EOzzuJ
KCSGxgEDZoUscwX0NxfMPvHPx/NEOvaNHRJHBaeic5/NktCbI/DjIj+YMCM/zWFHbhSVZfdcOH1w
iTu8EHtHmhzPwxwRrAN6DrF/GcpzGnb/A/+kFM2MhsnXiha4JsZZDWuwZjYFYHbkaS7VFgbvtRjT
HOWeGqFCWeubtXtZIUWa4i7FFRf79N8ZTFq4N4iDZXRm57VQl4CxKJLK3FHOqW3K9A4kIL/xSObm
cwQl/8pwmcCdNiHOxsQNaw202Y2G9VjV0cqYwJNTdzOm/epj3JRuhp9uijBCYqqGX44X/VF54XJu
NlZTJK6AZZSMEPo+QkOIBOluQh3XokXrWbe50x0KkrAG/OBNk2BKAstBcXm9zkWR7aXhwYxHDO5j
z7e9ZpcPBNuFBcu+Cx/g8nnbTZvzyosIwGuAAh1ki/uMUfs0wSZk0gKrs7SyAuRgSRoWuyzjhSdC
fybQ3n8UUoAYmtbO8fD8EfWTjHPfm1R3EvpSEEL/j6c5WyrCZw1aRYDIzJbMqIHeh/PEe4hYwdkJ
EPJQw1Fg4IAdPu/bhMB242YZDUGU6gTfIiFeUX9124khbOeKAorqmodDoosGfA4q3Mne946TfS45
s9ozN7NzK/GISfJiBZf+Gn5zhABtWMQdToIt78EqCA3g3V98qPoZajl52S/NQNwUIjFq9gs6LeDF
TrUU7RHacvaiwzF3T7EDNR8XCrsI5qMmDDSft5bHJ8EiiHFdhWGMGkhdDpAmCIjaBrEFUNcbHzsl
hSSCufua7X6Y8EIJv6x9J289o27vRaVdC39/zjIUsYVE9wRMYNx5qb8se1bRTngbIP2ZAVzNLvTV
aWHctX0gV04bIDXMiZUYGVopdOEewruvDTHWfBO+2VUcqgbEYV72wPlhHa7ExbYwsv2e3LxmbIh9
YuXNy4RUPNM4QWhWcXoN3L4EtSFbG3BobI9VVGzf6th2zRV0rrbY+QyWNx4v1JI5rtUCnGGWZpDd
AJlq5zvDcvGeJ5Yf9MGZ4P8bihg2OnO/sg0WnjK7RgdZ75AdDpD/tPCYGqBCAKR4tWjnZcghRe/m
LgvbhhzIAqH77nu995/BE+odmr2fiH5E81i/GTxtf+OPECbrHU5Zul2oGJuuZwsY+TF4ck0gfpAd
2c066C+/MwH/mDwxrdrUKlvmCPoIdL700n9MngzrHStq2iyA0gGbGnYivzN6etNwYO9FdM9WkDBB
CIAuwuZXbQ0us0ljA7ApfCHukg2q43Iwm/wXI4Y33fGPyzgOu3UmbR4DgNeXsYtSp+kKRJjwNh7m
UBOqNvUbNCaTDIyX4O4v38A/bInpYviJf87UGNkzRwtch1UWgj/6tTedaFr10HmUkUNBEUiV2bss
lFdQiBsC9YjGNDCNBCaCRRDpmP3AtWkYBWcFQPKQAQQOK/ZvbeP3txiomvDMtWY3OrguePLwWIHa
szF+Rm21Krb2RmqwTi3KCQlzgUW6h4nt5g58izkg2toh8r5WGGImaQzwjvrCKlExLog0LOo7ZwiC
Ig4kO6HpXI3VMn2FFjWOUEK4RRC8NsjcozEZTYcU3F1NeRmsm2Kq8Z0vCvR6Af29MMlxS2bTBGLP
m7+OOHoCxqAK/m5UhE10gt8oA52VV60Dd3WZehSqvJoVQD0NP+KkVwV/LlG9NrOj6XabJbCHQwif
AuaXILJ5m0nN5s7D6QR010xZ96exEEE1ryhg59oDlgAXBIwKi8adqRwfLE8OPGaiUAOFMHvw6Qsc
s6Hh4pTEdqcGF/tnZ4eIz8PaULeswc38rBlGA2F7xS/OKV4I1ZzDFa8/YZjvSNgriTral3K1hNw1
HoSWBzqKRp96UbjYZRzg7xEvS9mrD1bTt/apwcIFLjQ0HuSnnZMjYUcKG0HlakL7g4s+gq4CxvNA
/odflM+wfwAW+6YRmIhqZwNTmOXCqpCpjPKvU4WJ4BskaA5P1iurBaK9bJ3mvO8cy9itSDAclwGn
O4ZPFfNlCoFi6fODazdLRU5EKzrU6X4t5uiicKeAczWo0pT5yDw2qLANQ2ASaw1k3SCnZGvBlOmM
+sKZ22G42/ao/mUtB3hQMHC5IBCCyrwixnhyzoXFgjKh3jXmIqnpTGhJV0M6YNewo8PAtqfR5cjy
zEIcCh2l/rnf00Rcz1C1ByuBqiPFuVEKKLfsQ7y+P7UIylB06wRAuPt5Ylqs9m5GPwZUp7RlTihY
VwfikKlZr1+i0bFBhKgKnfv7ptJsjHoFA/sSz1IZ3Tiis6MrhfZ7Y3CFVXNnFE4xXHkhU/sProIB
hGoqbI1TI13RKviwxqnroiS3+irbtyNLKcEoNGW4B06zKS5J8s18PvQFvBYicVIeLsfMnTi6gZhH
HbQGQIk1mpdVkpbDStEH3N+vyxVrpzyMB5if1m7SwzgAyMzWddtSotYvrWOhdBGcgCfx1RdWyHq6
zUYzJVx5jVQ73rFIdWtYf0TnABXIh7p6EBSOPcZlQIL3JThGUBYdFnlYLYNjEkMaL35pUwJQOZK0
8X4aZ0+va6wH2sHxzm1cQ8m7JeqdIrrincWmLFEQLeoBUGTEUpjqP6CTf6LW6emmW5ts1w8Ddj5j
uQNnwgR/LByY1uzeqZGICqYR3tMhmjiDRaQ6OmPCeiZWyBANJKE6fu4noyUnxpaCV2l0jfK6oL9Y
uPkYqCEqC+jdiDEmM8FwZHbAMZ6qY6D7wIS7Vhrl2Wq0hrFHzs1wUYVeapzM8Lq7nSqJduLTMQd5
6vPisO4Bynfesa2LAKk+3C33rOqlOoeVBxWVhB7wiYHBTp1NtmvjLma62xvgLXBJ01IKh/gcBuZK
zxkxfAK1QvkFcCZoxfNxiYAe30ZtqKaU0WaT5pj2J3BIw2/NGjlVQmdDYzsMyclZwyv0+hzzbUBk
TCEJ6h08LABNMyCQrf21+PTz8+v1sfzHddDPUP2yEmLA//o6nPsmMdFABUUl8c/LWo53pUDi/fPL
vD6W/zgkMRE6226MOuTNIckmPewI6sRYQfiuf0pncN6Z5GorT124OfPaw8+vt/28V4cyKhAWatvu
x9vUW2+ulzIhmFefnsFZZ8YdyIJYjTCD2LWBpVE8ZGYs3MV8rFI5/eKbe7192D5Rk5pg2/05fHq+
/+abE+Yy+ilEVaZaab0vEdkfIJiYAGrU9KMS/rcStX+6FMtKVM0hqycWK6+/PA5rrxk9LrVWwr+e
rCq/GCyIeFmmfyEW+vvnuf0yNqLvgGoQlcfrKw3s0XXgkMPiTivDhY6O4WCmjffZden8QoFOg5Yq
PxnZnf/4Kv9T7lPuswD7Sbk/PL+2HX7/8//CfPOG9Cnm6fF80lP5ST+KfZtYVctjoM82cJN9btuv
P4p9QN82MwtaUR4Jm3Kc//RHsR+94xaCqbN5by14yMFvrZnfYr4hhTt4wH1Q4rgjI995u2gmhpJ6
pfc/a7UO/oe8G7uA9hnWrqkuaAyz4BsSEUXwQd+uWqoHt58Me9njWyTyeHEKy0zUKtKDb84RXriu
AXlH4IAb5Wt01O4KiyCVjtPbV87cLa19gN4K/KvMPerdpMGnqU+qphtWQv0mxFBG2vu6vByQAPk7
Vs6OfVXO4IslBvSinap4ESbl5aHzGys/ZsBC/KcszculOtBRk7ZNrJKDWOyEQBxn3LFbwotV+07u
70EsRS627hVUGz7JyBRkYxCewTzRnovsMHhLjepnzeapwkxWlcFZ5RtQt/ZEMlAnKoAhutjV23d5
xjTR857LFmfppfDInkMwtRQYItPcbYtDYGvWyujZlBl3pEFLJFyK4DhRtnIkKmxAsBfwMPY7yR1C
LlQo+8tOZOR9I9RaSJ5BTFXJFwdynCCu02tywWQ9C7qnEjpSd+VnmVDIAzyvZey3qAoMA5hM8I4t
9HjqxC6UK+X+HIanvS7D6mURbst4tCA9bzgHEzVUe2OCc0kFWCMow5QhPqVWv0G3ofid5ilZ9fGc
Ib2JFZPim6EbodLOkTvc8XV5w70Oit457wwXJhAzh8G5nJtwKHYd6Q6w67o5PS+HDAZZN7RGf6iy
ddrok/U6bhEc5qqOddvaz14fRGQuhkrV+4obWBKSmVe8lUecJ2fEpGVin1v8wSxlGJN0qXDCBGEb
pDKakGw485AmfgrNkcLQpZjKqVIt2TuHAjTmrcgZCMV0WoSFt0SGzCNblJAPs53mpY2jfuUXtpDO
segZ2zUCSUGW1M6gnpH7sHIYDtcrDDcSVDILOhMEx44isdmiqUgFB8gB2E/aQ3jNurzwSkpVg3qr
akTxPEFJmo6B3yJ7OB0tb3Yes6nqnM8mAzxQWWNnkHuURNDTtmhEvTrlcawm3ItzT0RQPEB3FyQY
ScfeDVnhXLfR3KV7tRLpklhlxj9qLch+SASJEIzMipR50NJEcqEdNTw7JiQ+vxksTz+7g0LatJbs
KojVDAn5WRjxDuyi/aKPLZZbNzyx80fuWj7GydQtXuKlZBthhBOobXKAQU2wSWW6NKLgx46/aJYh
A2nzkYMOYS8GOz1OxtgwzocG8UCjbN4RW+o+bITZj+gVGxUDImvxPCJXOwmDOpsuhjwfglhLmyWd
9kzGxPngz7At3JKbrZY1RgmkAAH+z6Z31l3Hurc4C3qT9jCcfHHKsoQ1Qm/O43s6WvUZpm6OTYCw
F0IrUVGQMpOCa2SYgXqxc3nF0OMv9XQCP3IRF2o11kMweXX4gNoTcVes6UPn6960wz6xZZYvDNKm
pssBzYUabgqe3uHAq2pxdqWwvf5OMCupL1H6bcaoaRVNlGSyZecd235JzkFciYYVQoIuJVg/QYYy
8vdGH7HOYRg6gQzhAWQQAeYJd5B7mTk8phZcU5CMOye1O7KQVullRzvS6Oi4SyuT0aU7mZY6nfk4
mh1sMAdMQcN0/tzIDLc/rYTX6UuytEPjnOc2D84muHZht5siQMWEvQjTTwxgVOGa9ISewWOt/VFk
X7HI5+PDHKVKxN4EMxi4hbAAgodjaS9EfElVECtrG/h0dJy7gbSe8IaEa3XalqSkNSCzHGWWJ9HE
KOB+NbV3Da8MU22fBe79xK6jvsh05jpH2x+VOsp6mAECfrY7otcIBSblEodjbq1Lbt6Rqpt7oXtu
Q4Bfk2qo+k+lrirjYhxsObwnghsleZ6ztox9Hpj8DoCXg40aUSmTTacgMtcBoMUkJe+H6FBnjp3v
oe2Yzvus0WaQgHgg/ZNVJVK9IYUwbTdGOR+jRaYokMqpuUpHRhG7lpr8MSSESTHtHTAEoztprkCv
+2Kr9StkOdF2S5oFrlcA8brrEj35bX3JsLg04Pr4gN6MzqkaAtnq6mokH4PDVHt9McQsPAgq1HW6
HOnqG4ham/clFUWeEp0spuVUuArGNHT17pv2ffmZLGHSHKOoDC5xhMrLjLNpuzVM86yBDlfHdLhR
ebKywlRxTiKOeVr42EhhKkO23SHpzOAvkz6bQZyr/TpLSskm7bAu/fgICVs+Z9EcVpeGYjR9ABUk
O8jSEWgXG9+WBU5sQpBLThqUNjt1zbNpEaUCjsgBIHD76LSLtWOgsuw6EYXIM+GEkFyLE3UXBpl1
XjjdUsDw86YHXIwA62ZFwsEhbSUdDcc32kuWo5mZ5KHEDLQgYDlzg4xB+LKiuI09bteTqo/0dMhK
6T3MEgkrcwe2Ad0+DKweQjHbk/XERKa8vvc7TV+LaMZhtY79/4wbah52Hdh7pJpq8u9CunEmSLOZ
P/tpTVqYQZbumQ25M9xJZYfi4Eg5qquhTdUZi6D3IE8FP7KZ6qsoGsOFyKGlfWT3Ij9MhvbD/Ux3
gc+YBrF1LiGNcY8VWWtBpCJ2Nt9JXdAZp9q2r8FWgEbSOLzL6zqvVsx8ParphOIjv+VN4nxxxFAV
Jyjpim8e3zIfaFM69uext93hHmJrNBwNvxQt/N0ot89CHL7msQ1GVnItCyveQVHDazEATmLte7/p
pHE7e9Lpn9l0+axO/Z5AtGQyo/UyBTf3lLOPvusckl0hmVrm13QmJzIptrTGRIiuGfYLn/V7e3QQ
iaWTCraDL1cffKh5z6gABpA8eRbwvZrO+rWeud0P9EBgY0JdQ0DLQQg/VjNmB5TyOe0mphfn3ITF
zDesF/YnCCSqaY+gxD7F3Z/lrAvdosHX7Y6XOYvTnO9NmqQq9hZraQEqEpd+T50IQw1wBYTuZZsO
6YLXcV/zjy/JzX5qVBb0cWrm/WNkif5sS7v8ZGy56Fbuk3dBPjnRd7UU42Uh0K6hMghYnfreioig
gPTaI7loCP8tzeZl9Lz8QhOZ96Ln0fw8UPrJ4zICMAedybhJFevUxdCdlX3aG6P5bRpGVoUzFsCP
0JD0S05IefqpUyV6js6UzbyPxiq3v8y13YwfQA9VQYvGH23FEZ0DhB0D4EDo/KIPft3yby0AyiLL
R7NBsBYwgTeT+GjsGA7yS8V5ZwtI6qGs672wTH2LI4EAQt2NjIz/0iD9wzT+b9ek46XrwOuMVdFk
3PC6TWW/4rGVhA0VWFVz7joyPK4VtKwFDCNB1HzYP78eXdZfxgz8jpvS0MUPjUaXPuft9SAJlBwK
lh+LJbv1OW8BmANiJzmWJA+jn2D1WQRLD20Ebmgef8to9f3qQYTyiWnzZm623kwaoO0z7bUqqmfh
m/vIJ9lzttvnn/+Kr2cM20VAnlo2jSa6Q7ZLb+RoJeSIfOZlDhLD9RO5+B3kAKxM+wzI8uP/5Fo+
0xMTXSMGv9dfX2qVOlOF8JnaEajeg4v9RL6xeTGokuXzz6/1Vtb4/RdzuRDmY8ZSrvlmpGFYgE7q
Wfr0NLx9fFbQ1K2NuZ4o2LBJ09c4uKm6d91cdmegWsInA5/qPnc6Ck7JaJBzx/00z13/KHGbMJ+U
SP5//o98PZ378eGzOvHBVPEV8ES9/kDGLHMIt+HDL0Uo9sNY1CfYQ9L/TFggR33HITi8df79hOUD
/dBrGT9//MeAxXrHUIXBBRZubIam6f1rwGKY7yx8u5hx+F9oUoZuaus/96lsOBma4khkLMcI8l8j
Fv+dxQANTQ0PErZfyo/fWadiEH397rFZOjKRwzEQsuzl523vpr+IqaW5Ll5QvgRF5frHdqqNi6Ak
dxUVg6CgUkGk1kcJ2BatAYmDF7mewZdPxGRfgY0i7jq35yp2aj+9wQCWfiyp0R/yqZL3gvwek6DH
AeqN6XUkM8Pcsdu9H439I5HmHTE7kwEqyrRzutXI6hhTV944XEv2kxhyo7wPqLCCDRXpuuLGQaM1
nIBnMuV+oVr9Yk3aXb626aKsT9ZQpvlR6TFi7lKS7nXph1VxGlGOmTu2I35330L/JFPcyCz/nkyw
CjWfZYQHqPoT8vVaVPN+DHqcb0krJLmDwSSXiMM7N4ZTf7FGiTiZduMwA+ws32tXKjfpMxr0FD61
f2FmWXOZybJShzIg2XJXjXBd6XK1eqJsJx8DkA0NV1aJ6lp49BgTM4riZkQpQQ7nklqMGGi8nGY9
TIUal2tFUkAeI71ludd36wg9eMhpRZeu8tKLpZAtWSBdMHyoLa8iYc2m1sInsNAfE6PRjPpZpBQn
cCh9ee/p2bsqWqDy3gHAK9tWFn/ZcBuwC0e5VKSMHtypfWEQm50TVETNVyp32ne9DOukc6tJHCRj
AtJDm+zZTdOItibwdEVV4ELWNJvaCg+4wgcIO22p7sLKjrwjhmGYLqoT1OIjosWKxi5a89Mo9Vbz
CE2yu+hXGqM4G2XVx1B/jTrxcJ+9bHktMqar4i5QqKNYcNK2zrFfotSJiXXpnjWndH6caFDKWIPN
cOmecyxLNHZ00hoq1D0iFLCgYsFMEZbNAgSa1FnMirJLPxNkS94RPin3kfnneRHNrTzyRJKG0qZD
dYdmn19MV4Dhk8mpV3oHD20zGbbmJ2puLc63WgDhE+vrGTX7FNz7zjDBWl+YsMVpj0YhcVTWPPud
rznAV472HUvMWVKPqozRHdqgKyZ+xbcV0SS2ubYQt2yeCwcc9yqeakKmz7M8j6p9SmdOQtEmJyYq
oW4/z57dP5WQ8xlO5k3wzR4LQN3LGpVPaO3zm6VqkZCxoie7hMyxrX3Mt9CXUQLzohtjiYco1S0c
krn87HSsMnCi6A3K8nwq8HjGlsf8AeVQa1zbrecOu2gup2VXOv1EVAqgSeaRjKqI6mWGNRjksMYs
jkkbdnrTiOEKbg5IyNMPTmQQOkFAKoUF0G5y6VmGPRHb1YBsaiBylQxNWeKh+8T9SFRNs4+yufWT
sLAjFtRWyT+1N2z/zildHKD+Kvsn5kxRtw9c4ikOpKKpYzSPubchUQPvGE6mspMF7b1O0rTPYS31
vXEPJbiDuU/+07caP3h3IM4vUxfraqJuaC0HPTVry+Z2HYz80q2l0e4ozMpvc+5W93kd5cTIcN+r
GGZF8z5jxjQwHVr841ra+GABadePw5B3D9wxM9Fu7FXFScsbhT1glsqzQG+51M6c+fd2VHYTa8Fw
A4eiRdw6jdY4dzcLyfRd1sLYy78Q1sA82K1rUGeFzltkfXWr9EmwAu6Ikc2NAy9U5ZLAm9ebZIz4
77xoIuPEF9B3ftQR/9mh/Ben4r8/3//vS5Y/YtZ7i2/870M+cN+x88CegMuCFShumv/eovjmO7AP
HrKoKOSAdew/tygkrNJbcI5DvmE/S9moeTXm/+e/7OidA/OeNQrL2x//6beyUp3X3QXYDhswABWG
9b0ARz/1+oQfZMacyzBStLJTeWE44bclzxz4dtOFC3o4qb3prOvL/CwVY3ZG/OAXukzzEI5eYtp0
nZYCMS38mRm1Tn0PQpk1QEvMBjIrwF27LXW2im4Gb0gxnY8Au/D2ZlN9U5WeJicN9mNn8lM6m61H
TCyNsL96Grnxs0dQxjnDRW18kpEtsk8SxzBzA1Llejd4CgZruGVYZvIuinTdbtE9U5P4ZkUkgB+d
dn4ELayHT2+ivrzNSXClgRWI0mEeiIxEjHjadtB1z5T4IgqLcD0piH0amErvnFAOZzL0xlir2job
mcEljMPmpDeKmwDpFQ+TxlJbdFeNwa9OwXGOv/FhUb7YDTzHEjw6/Et3bC5IeCrA82UWXn/U+LvW
Vv6RKRicQ6vd59o5ZzhfHpG9dOB7u771oKCljOtRSVjwpKG3ftSrZveJbl5bQCCzEgfdSFRybK5O
c0HIIpg3QQuu6GjgSNf+ddMjOEUn/DIY/4+9M1lyG9my7b+8OcrQN1OQAJsgo49QSBNYhEJCDzgc
vX/9W8i6Zi+vdCtlNX+TtBxIIonG/fg5e6+9Xou6n59SxJlyXPv0liA9PE3QIuSrlHBh7aG49vyT
dPOUWxonJGN87srKfYd0PWcei8vjR79OtoNVDUhkTF5cQDMgIxtzT3dsQgTSO6+alD7sq5Sk6p2l
z5xTkT80pjn7ccuAan5dVyN7GgNruJHZ/EpcNQ0YF/VIbEDqjkfc0TcOl+1eL8SJ+CZY1wID54h1
woCOjGecLF/pxsbUv5ctxjcHX8bBUWBBzaDs46wa5WFCYkYzjZA5k+7cXeONoxOVZju7IbgLYzqj
asvuofewh2mlNc8nkVXri9dDUNlTNdEZ9YiAK85tOqss9qBfEiKKeyaJMpqzXVgCH0fYWlghmWvz
NUkq4nvKYesot/Mmls5UdhaZgY2cE/UsYwzUMA1BKpKZBjgJ7CgtZfSvTL1cxaZkUugdei09jcuc
fAvMKYX53SOQk7Rc9spZIqZixW6xdfWEKo1RhLYQyzpW47ORKO+uGKe0DFk02k9OmnlMA4+UAwPn
j+Uv4ZjQm0b1czOrdNxTrulxY9Nclvn6DdnTz8bKD8Joz6kY2OqKfV0GH25pLTFyd7pNMiBfIk9e
SY4kuHXGxV44CbLAcjB4hMge63mZcoEMnLCU4dBOC0l7Jm9UzIO9LuexLMSC6qU8u0z7YuqF5smm
AUxfexnHq1pEoEIqD3qk7dThCtYJEAoxbdKVxMiEvB6J1Mgsz9b3iyr6M53/+rGRnveEfunimoK5
IElFsBPldJOkc3HTWg3qgbYLqhYhE5FJYe5OjhXPre3BTLe6KlZt2x/8fJgaSiA9qw60WOS73mmD
fSAEo693qmd8G9n54pxHPJAPUJL7NOx7ScOaFCrSuvS1uSdkjJ4xlhsy3QcYPx9TaqTQayW4hxAZ
mUeAHEQQO7X9uNDq9KcqiOsx4NLt65r0YDWX7oOGY9dCIl79DIBXvlUYZhOI69RHYzYaDVzZYgZc
Sc5LpDVZ/jhTZRbmYFxMVQJ4LTOq5tSynkkLm88eNp6D3pOcV+O32ReGjzqv7fKGiek6yBMepoDM
vUB8swmHOwdrZ954Yk3X0CtTvED2UpHTILZoQFt21gxkogpY+gZJDVtnzIiF1HbVPL8PVB07lFJp
zDXlMctpvLXQsJgHtdMNfYpRxlppYCOb3RQ6vYMt99zCIbotPFu8FV7PmEsG/aEEybaf01xSlfjP
FpYFkjidZ81NYKQwb6lBSizyBUfxXSUcdFyTf4TCDpInWwCABtYb66s805GbLgGhAeDVyx5ch7h6
wDH1jug3nJBMOnXoGySSYavd15BfY7m4K71+x9wPrjNeMuXJG02b78By037xi6rud8T+5PmupjPn
HgVZxA/YFcSZtLTm61QW2QuiV/xknWl+tYLuAdA8pWIm5rCWgtSU0Q+nyXtA0JuGpWE/uNJY9ZAZ
+DUJnB8M/j9NBnjlztN0f19kCcJHsnQZGKbNpu6tgXLuzFqOzo688Qaskv3IFuWfc4hjzPTt5bq1
Xp+b2uQYbPt1ZGl6dxFGwByKniG7TiKR7RWjqbBkyP001GD2jXHvCIUcVjZsuXndn+c22DSt3RpB
mia1rZwmJgeSfAcScGhoC025+4qBaFQHBQfufr6gxr8yX39MBkMhXOhxHLi8aAk9YaxmkKCLmsWi
cYM40ZpDpZwAPImWHqs8B2ev5cb4TRlT8zzkvnbKBxMqMC1cbUeI5riNxHLJ8WQMKrVzZfOceHnB
jcwUqyYy5b590Ay1hIVukZfMOLsvzhnb2DtIIcwujFszebBzb30yi5yFCk4+ADa6Dd8nj3c2trvA
QVHkdvqrIn78bGEijlZyHL9wiLW68zDkHOS2jBTVJ7TocflCOtAvSC2KyJqzy+J7GsOe7WxD5EGD
nx0V4dcS4rLBQRlUHT6rpL5319Gyo6TSq+tATMRww5FjWcJ+EZegM6evHlZM87L05q0hy+K+r9oD
A6sSzE7zvSn0fT6hddol+DPQkTbd8KzyUueQawQXl5B1aHyUiGVkLRxd3brYQuG94mz2VvBsjcvi
7PyUqaZrVg15oUxVxLTkly6zHvMEX1XIY5J1UdrXwX2mc3PiPKFcDZNqrj5SJKqkS7mb1IuUeEmW
MaAjAfoowaGVw1xdwtK0ZbkHq2eJw7C4I3YQXyf12NA5izynw+r9qJrpIUH9We9MHFrryRZUVnvu
IOwltRKV/WoLTzDDW/pWxkHte+9gLfWrGFG/hjZFaXKboVHEfeYWzBtFNQQLYeQaY9/ZRPF7LGSu
qVAfc42EUolH6jDZ2vyzMDxGeJrUXvO6RX7Jo3TUet2MiTJFAKoNzWTFvYOkbTJ5aX3GGNlSpBd6
FP65x48Z5+30RWaMTQXiF21lMUWAaQRdQlwteU74OOt9uQAyrgpR8KK4xcitasWXpcSwukPtuxh7
Ig/ueyO5NK25xqJ1kpuk5nCsYe3PsK+P5XJQAmzCPs1qHR9inQ27LMlXsUdOmxK5IpU6uT5uv7kg
zGKHc+o4jCb0T51X3sirH1Vu07olxvo216V3TdZp7lDVpD1ETayFtzq76AeychlZquqvGC99DGX9
vsA19JCBJep5Edb0TBbwDaFH5oG7TNHO8fu6Wk52CEbtSS56TqqFl/dnkOBLVBTyxUxpPFHFZt8V
qbt6WQPFhln8ijyerheRJtYHsor5iFvI+MmNFfCoC/cQzNoDR44lCPMGChY1ePIFMPMSlZoVfOs6
Q59iwpryczrN/ryxvrH6DllinldHzlFbz/5LxhaNSU8XvUuOZDp/TPAoX6ykqr/NMAEJDrSGA+wp
0MIIULRT0FrVe2aVqLf1VWah2Rviu2pp1EW2QWYpkco5kZDdudRGG2wz8wFxUAuaqstoeayURZe6
pBQTYPKmkLV/ViAY1vOk0IHRFR1VcPI1oUVGQsOfDBrCYDm8j+Wz4dKX21oX/DnfrMdmN89GD3in
Wtz06pvKca4ZzZM0assmtwi6TptoCqxl3q1NZze3NsPxZVesLFdh5rbAjWe/H5Ajp5P15BaCRQOy
V/OjYWE0KL2D2aJVUplkn1rBYK4H03bFbqg77AEa2/NOS+Zib9JX+Ciwd91X2ZraMR1ZPjJKecWa
lRZkLtVTMPWO+CYrj/La7uSJhWDGqBd0YnxXDC6N45jj37v0yHjCsaaNpI8a8SASaN5DpefLZ0n3
Nw+rLqAKXRPbeR6YAVNXjp4jItFV7Lvrsl7rzrb7Z7aRTYKvkzcbwbl6MmjVtOchzdQUu6D+6GeM
K2nqUYKj47PL9GCM51ncBbM4EMlbv+hy7d/oorcVpPHM/+KYEwt7ISsaKYXeyzva1OVNkuTORw26
GgVTMNhfJ2KZhiibp5TUkRrOV1wTw7qrpbyXyHtRGmXBe15xOgKO7z3QpzVCSrgBbnjKirKfEE7T
vmlwBW+FsUnFGWiTQzxtgZgLBlauxTp7FzotnVt/0GcQtwmbKkqvoSzSY6sSy92ZyBi9GLkFcvZm
xPGZagTExAOHRvfbMvWdzWARVAMJMYP9mmi1S/MM7GYZka1LIh2hCiACiILt4gwC6XjJs7TcuaR5
ubAr8u1Frev6p0wct4rboDBeKGCkJLVo2qqktDw2YLVvkzptP5bV84HEabn+hViHimPWlrh20e2y
vS8D4VSHvEgaijirjRtmEFOcFE5bXB0OagHT/wKPCH0vV38LcARjGjeEdq3AUB0B4CW3UtdyvIJZ
3r40KJRyeDXD9FCh3vuQjDR2QlnMpJtuikuAqqEXZHrD0wKifl9JYd1V+jyJeAG/lfJfTzBcz9Li
Vl+sbn50ZoSZqbH5GIVykBolLYq5aMiTBl1msOYdJalHDdllPdKrZPQ5HFmTsdpR5ickaDsJ8XAx
ZIXxyyKEfAyIJsa/q+b8SLKZq97agHjVc8PBrqei98kuzcweb3ThmFdPU/ajXU5nxB8EBEGGb0K3
W8z7KYCewDuwjhAkwZuBzUKCsFwbWGkILemI7g2au18KNSz1mThwrTz1zIuoeeGJ7ctKpekFpQTH
n1kyAqCFAs+WjCuZZ08+SLAVLyTi+zvLztc27Ay4cCeG9h5ZWGaLOjNTHM/uezwrxV4LClOeR85Z
37Gr07cnwjDBzoNQFVq7GL4GJNduHVrNvVkK34yIY6SqkVWhPaxZtZnlfSAJ1JiPruRYNZIeuU9s
dJsFPfZbE1PGiUZMfy8rGAK+1iAz0tzmzbPG9EIF4p8CjitP0rAysHQLUxK/8g0MtSYIjwojFR35
bMImAESQBrxvgrMny9G84EfXqXLqNnLNpj/rwarucBxx7l/y2yHTZ9IsJLec5YDA+2TNbj06wsPR
NDRjfdr0eD8zaymsmxIcSX0MCq08konnZfSppsngtNUEknyr1G3u/QGyB6ab1nUGusve0gQfmsXk
lmlW0JXfJlx2F9nx3t15WKnr45wDqMM+3oxHO/Ej3ZqTPU2sp0K0T6irvhSB84mXTf+Cj4N30uie
l1bQv9HkfePwT+nVA9D/IwpkfjipDnc4ooYnQaUdap5zTcg3cHxf6yh2X0kF3KPePXeAGKhZ37Wi
ewh68ShN4wcxI5cN+0iiSc2UYHmnrQ9HzxtOaaIeg6IKQtRa713drHs4J180i7dxctp76beoyeqv
jrSfcl27myvbubTIk+moWRQzWXuH0xo15XwzBzxk0lDveB2+4tTX0UXlDqHyAvM2SzWGROd755bm
Z2UwVs6HAEWsTN8Xs4yg113I7KJDE9BGqbxl5yAPRWTVd/SMzO2BGTZIOz4yA1XZrraKYy3yZ72W
HW0Yik6e9h+zxVMCpfIxK9pX2XMgwnqEH0nQccfIF6YktMqTJjjmHHXmBw6Ky7aanZegEaqLGrGO
fAUmZ3b6Qvp5F6HovbA/3zItZI+zUJoGarlzuuCYKfeRns61NZrT3GxZu3Q8Kod1y+BI4axwFVR5
FJ3en2ZtsgjDLGJPX260vrm1KOGTsnBD5ZLlXCqc/FV2mV2tvjai0CkM2jt9qihL3OErQiMVlzIf
47LLg5NZINXDfH5HvYX1nG4AeNI5qkffjfRheAlW714aQXsHdeJC7PmzzvoExwKZ7Qt+qp8mwvEL
C5t/nidOuek8dzda2albFGu3lFrouT3v6MMUDR0ioQs3+ZGSZEy0gnq3XOOr4ZZZNFflqc21/LIl
1U4LiWmLeTsNq/3ITJdkN4dpB1Lc4NzwNJ/6Vmu2+JMpdAUNKm/0rZBjj7gx+y4/2cX6xowkFoIv
yO4fUreeM6rVXUJK4s7ovMNSVbcSrfHJzYrH1um9PWfIhIevyy8twAIrsrZ7nnBEVfX0kSyDHZo2
58A152q2FQiFuoCUYFbLQERcc2doxZOqKxpIk1jvAmauH73tnzB6vo6W+pa347nG4HDAzX9HM2GT
XFqPRE3vyMPKj+tU5Ie64cQnDIfgWZsBt2H3Gy3H2uk90jSMg+rOWUxxnD1xQEII9L2beZxYvXcI
ofonPgYttuL12M7TRwys711F8YsBhuhX0m1gidb60e0NSavZvDbmPN759NLgepTP0q0fHbisI6F0
+4AdnGqDvoDOhIouTBnoV/I/1D7J84HrCnW2GIOHnlTkc4uUn2oE1ScC9Xzso9kj17nPLOctXfUl
pgFyN2T+NyvpsFk63xgWzZEHYWmri8ZdFaRwYRrra6/VoFpzdet7PQ+s0V9Stxy+BdkERNTOT6BR
zvrQ+WG2lkNwh+li5hhZuGYS5Z2dacd+TCvnSJufPilBSmnz3WrMrvqUAemNKitxjQpDPfVti9tA
ZOaDzHzr2QWCc5kI+9khlPuC1LGMAFFC/izgcKerVmRgYtb5OFdV/2VxuPvNtHqRl0svHs1hfeyT
TJ0tkYA8UosWjyu9f92U3se4AQ5wakVMOuUuKzZDGmylpyIx6ljaS7rz6+zGm+fyBEPUiL2CYfEg
8sekyM9t2T77tXpAlfacUuaH3dh5N5PET1Ks47GiIDVt80A1d20sxMo6r9U+y4FvOsFKLHqREXtr
ec9GOcBxCDJIsjlRuh1FytGvRUQvErwPDaCSxhy2su6L1FVxKqFZHOshVZxcCrWfhFdHRq6OVj1c
PYvmRF3md2Ohv6ydi2pUiL1N9+ymzET3Q1NUAemIp3ng7AS0377kTe+Ea7acmmA8zd5yJiE7eUrF
uF7StDDk3iutUwruKkyssn8TTkPHUBW3SIeOZJaWV6uayQU0p/KSw7P7mnfVd9tXgHKxBQH3GF6U
MWfPTIKApXaixNYiiVlc5CHN+mfp1c0uk+ZZ0tsU+dTRJq+bL2a+KS7H9iPV0g/RN/uZAJkYl/Ww
D6r5J+bpY1syYQu1qq3j3GalVRwaOU1atDc4kfKvkh/IqzT2KcNnG/zI7Nkhh+LPYta+eetwX0nj
4LCOnHK7+uSAwwav6QeTsDJsFW+Ln+wcNK5pjQKaZvmLawv3a0qec8yzx5fH57/JvMsr5M0P5c/O
5+zAxlm8b0nefBm5oL5h8J3BhBzgN53s0j1BUb5Oifph6lO2q7u59vekUHrN3lzG9MQ8rN71Y8Ak
iXa5Hedd2cbdAiMYyEdLVKSUCXrfdny19PGtGBxAPZ3/6iXFV04nP8nzugPgrOLOHG6pC1fQrw4N
ndHaGfRG9k1Gw4Z/8wltCQeehFsnEezYNgvQWHTefbe5kVr7Oln+QDfBsM33qkBvicrUWpI49YcJ
ak+XUvRN5JqG9bgxtSTHW/LpBxaWsg22dpt3NwNnCQVKex7RzLkg90NFPGgHGjAe2VJB+1ZhWLoG
3OVPQtb7d0Nz3nTVz32AYZxg9j3dgf6OHDhNY94IDnjPaC+4peJqrKOaksQ8JbZc6kjMXIJdUiby
FQAILYyiiFFGzucJkhL4YN9TL1hdYa/M1Uzu1Jxqbk4+aSWCmo2P4F/SMiGMcY0dVScYb9p2KB4n
1S1ONBpyLGJOUnP2WGOdQW0yMK1ZUXyeJUvHz5LmPZGJc/HDxGo+hsNs5MuLg9RDZ0XwmqPfWf25
lGrGFgzy2Cmv/Dovu8s6O3fOFQ3auKa1RbJUOVgHmmYwcKqyIas+d3YYzL6tdX0tQQHXSEHZSDFl
B8JcSaUHQyxBfZpN6SMB0mm6T10vbkksv9ZJo33PedbujR41t0V7R5rrFAcYiJMASUWr9HMzwMgx
Uu2T5ea2UVZUeQAeen8zIKOZ3k8tiIgkKWwaCEhKChTan445Z3teHXu/tF371nGyCddxvusITEVh
kLZ+qAL/IKxaUH/zhA0iRqabOgxLpKPRXvqZgcXWCnQ8nWG6HDatdqamsNK4LJKK5DMgbj3VQNNb
OLm0ytR3jleqeKQrmsYCycMbwV7lR6GBIAgZOy8GoVytG41utfPJ8v5rdv//RQz/J0B38D+rGA4/
ZP3erH8XKm5/4V86Ree/9M0kvkmATZIwtgSd/zaCOv/lu/gcA3cD/tIr0/k7/1IpOvwlOr8QWJmY
oSHcQKz/EjHYHqFRjgcaEhbMlmf5vwp5+oXSqRu6iXKVSERqJuQSFl/h7xpFRaIroiKFWXPDkjOk
c5uZMxtaoGKf24sDlitwlu8g8PrT3y7Rf1CC/7th2ds+matibjheTnqWjbDz75/szX2JcSjLd/22
g9LU0PWPzh0SVjyLIwYNQzcYTqM/lD/wLNbtfwtu/kdn9l/a6/9nQN8+n4QX27Go1gmE0n/17w92
L2i0FC2uHVxRiNcq26KZ27cHTn7BC4jA6gfwgcbca6UydvnAoPcw9Lp9+Ofr8It8e/seHjMNQD58
GR6P7Tr9TSU66S0ANYqyXVEo54aZTPZmI3U7syVq+R9+9C/q++2zXKhW28ANFaT7q+JfzGJWk9YX
u5KMm+nZT2ArOGVSaNfBMrnmU+ss9//8835/wPh5YAs2uijwI++XB6xf5mUY9YJjmqoIzhRoJaHC
DBMomQE0yUEuuS5uoQ3rH//8wf/puuKu4jc7EJIIb/n369o3rreawAuJMkike+uipyjOEFy2sNG0
L/9wZX9/mpHfO7gaiJTA1/DbXVzzelxKWe3KqnJu+rr/LOxxGGPFQZQeWQk7U6HQqSCD/uE9+g8X
mBWENxehMT/0V5ay2CgUK/y0HeMU52ZCBBSlE8VjlRafNYfcU7k9V/98bbeb9su7A7wJs4a90aps
7xdfw6J0NhCrq3dCd/QP+sY8qRxb/vQxv9/CjUgLKBp9PUvnr/KqxupxyYsFUTRZtpviJEP6CS/x
U5GsKf9wBw3ztx/F5eNjHKwGdAB/XRAAjpQNs+h2N+HefPWm2k13taGPpJVvZ0DkIXYJKzUDW12M
FtPweRhAzq3eokVd2zg6oZwNvp9/vtS/X4ONBO/rJu4RNpBfybmlr6ctNnROb1lnQS9MKFSbISjn
K0rSP4HS/9OHgcXgpMGO4Nm/fphadTtbUo6KgZidm4FML1TGVkbSiD2Lr//8w35/hrbNzbAJFd9A
e7+q411WoIJ3BGQpk+qDxTEjD+mCpeIPjqPf30wPiY/lBmiQIH84vyxAA55H9PJpCz+nma5EvlYH
Nc8O0TGb/ASvUvpd15b6GZrfVPzhs39fbz2Dx5dMIrZWNptf1qCh6dNhEfzGDJTMRzfmagVT6ubp
zjVxrF9HYbL1/K+vK74GAtpZFfzfX5rO8OnBJi5eWpOgAE1V1Ssrr7//50/5bdXZfDksAcG27Jn8
77+vrqNX0GTgF4fQDbR73y6olTsfjk8+JqitfPFk8PL+wU71SzQ7ezZrq0cqLa4Pc/vU7Xr/ba9s
4RNo1rSMOx/FcHCTWKl/rLbokLLPlH/UKka3OOl9nEFNCzeCYtxNsTrWzbHXJyaNhc7x/FiOeAL/
cKv/ejf+bU3kRv8VeeZjXPq9nsEGFAywNVfQrQLAhEk8/KGAWsz0imlaiO+xuBmWJrtnUBTs1kI1
mAmnlNdYlT9yJNPTzsEh2Ea+NeaHf75bf20Cv3w5ADRUPBuznLLnlwuHckH5BfaH3WAU/hc5TPU3
jh6GGwFHzR9U0Wj6Na8YLm1YScpAQ8EkjVZl0mKjQPziMJg+mqM3efsgncyz5yXzHGEa8eiLVXJZ
GdwKluTSMV2UlKjqunDcFFkht9ElVVo05SeUaF3fTWY5qXhd/GGOZ8Q3Yic0mwLQFmvfh/Cl9Ovs
Lv6PCdX2ckQWyxGV81M1x8L0+XPoZgMvAu1endMVj3dMco3+gfU8LULBmUkSSzU8LtJACmklTWzW
OdNEnQCd755RrZBP55rDD2KBdGdzTZIwx/twTxg2Gs5ssfwbM7XhcEwYo9H8KRIMvxZusaAQsJYh
+ucb8+vixKpOHR943Bxjwy7+upEyyMrIhQHNeltNMV0Yq4rsfeuOf1gUtt3i37e3TUFNxqxHuU8I
Beb5X9bBguDFIaA/SNM3d7N3zdQCuhbLSuaCqedTGypJpNTUGHmk0JBiHRis+ySXBGvryYRNeZDW
xV1S59Zt4BzsUzfI7lWv4gqokQXBNrRJVCxpHBX2jj0teVRlrUAZ8OJlUVarYaeaGgQymWmhBwJS
xvOQf8PtoGlhrWi29HPuRq2YqyhfhP5Oj/JIxFDxRmwGYeZo+OYnTMAAKih4/BCVt97vQHAgM14N
xJdu1z1sS2JOVyaxiVgHENsp058uqKaKnaCFIg/FoCdgI3yIHmE6JtaZ9cDbQ3pHopeAXla7iiAw
PUIq4D3MQjpXlIFAqDXdjcdM0+Uet0gnDlop3EOWrUuMARVmgjEa6ouV5idhC0u9c9ONnd0TVrDv
oB72B81C2x727DwI+4gBfyZpBrGQGoGqidILx2EtHjBCocwZ+BZrBNNBc4+B8rWzXqt2XzhV/5Do
q3jsbK98Mk1UxXY/oodAcNd7IRj9niwwAcUgGdO7MRCddZCVL5mT9X3wUwpDtrxqdI6IFVjoiQCp
gfVBeOKOCG4LDAWi0ns9T7oHw5mI1+Y5uTRdAvIGpoorAz+W1mLdcPH122ZlbCtwOh6g+vTWTiOf
gBh0ZBfDEefdjyxZv9FnXjlKjnPwJnmiHjPNEVCsR7zxIH9or8+G9XXQO4MwFF+FTZW8MqQx7yU6
L6bG5iekE3qThLjRTSfYFOg48V1xICva+Cnmvutau8VNXTvOo6AhLkM1ksSFeoZxKh8mfzKNb/1d
C/MRsr4/GuVtlYjvEEGe8qIH+CfNeT1MS83EG2ARWg08vK9iLpv0kKSmGYtC6A8mI1xEEDBXNPQw
TC3Udwl4YzfSboNwnxMmjwXo0avEEFVl0B2SoFblnuNbe7DbAr0QDyKkdTAeDigLrmChaW7Ua9pw
xtsw1BGgkiSBGSrpbafFc2YmQ3rm0FKdSqkzj60xUEABQb4ZqWGtvvQL2aDg4JyKFSOlEVpoTO4X
JjX3taInW/2lcDZsQr1gqpw5ZjNEk/nXyaJnDq7hKbGqIcQ+Swee9qyuXmXhvBacHEOuqhNKrTmt
S7JEM/t4OLNw4W+axZ7RWxlXHVyZCGWO82mS2ws8vR2Mat9bzXIn2h5SqcoQxC6lle9SZ1ZRXiGY
VuUiowkp78O0gN43ZUYHAVZDYqYWJq/spXEc4+QF6ZPoBqSga5d/ZpNbQ8epLsXQPwe5k+7dmnQ+
6byLRb0TC1hhTWvK6RvVzmdgs7kt2vQhl85+K1bl8Tzb9gnQZwnmu35cgvROI//rRu9s7UuRbKMn
b4bGmn811Kds8hc/DT6hxyC49tfzqqdXFinEFuMUeUN/gN7Y7QO3a6Klt7+meO9wd5gMyYigGRwR
F416sbxhgdC63KQu+oQU2I7hti8pYd8HZy1/jquzF775NXDEh57lL+htSbV3oUnUI11Z8i/edeju
BaOt9Tv13SNDzWdfL/VY6+l/MIonvV4QOdI25AngxL4InrEKWMgkjccuIfsiY+O9tDVBNygoQnPC
AiXbIt1nrnFX2St3SE0Lg5v0QvlZIVbEUpEL19zPpCfc1gPUnRGyRWjYjB9RPTrnxc3grPszpFCo
n3QPsbzheb5tDKiQXofAc7AYxBGCcgT7oYWNVTxjAzxQ6igKBDrqCAN3Y17pUH3SJ9PiHfKb9q4k
czkYNs+Jmf/wswxaPDpXHz+jyZSwMJxPhp+WCItaWz6HyhneHGT554T37AKdQuzspsT6kPPVFy04
amK6K3tD202auTxBz0RIWTcvoP5uUCbLiOARDhkpvWzT6ZAfqhPVxFX1ExkKHe06ZYCfmgM7YvB4
Mxn9W1MmZ+wrySFfUGFr9hiRegiKxfJQdEN0wkyRZ3D+/f628qoXL2WAucOVzI2pvecO1Oq+6ceX
YiA2g+iKivqL2TiydTxBD2Xhf0/dddqxxqYXWJgDTPnsO03bfD+ZrIgNJG/kYMi3G6139oFZptdC
iO9mJs9dVvrngDiUcKman74GVY3Pzn9yPMx2dpXokb+22eeQqOZGYnmIfTuonmxnqF5U0nFT8J9Q
3Wgq0kUjWKCNbF8ivFclItd2PIjZXEOeiR9mjb3AxDu7G/s1v+Z145+kWB+Z4x6NeXoCEHsZRvHY
YFx+w2b/kG9teC3zVgBK/ncDqhrJG5V1UhMTqzFbiwiiO86dTiLrXQDUoBSmve0+ym561J2Wbv28
HFwX0X+7XK0O+JIjbCjuHC78AG1Hl94jDTt3mnNBSvhgZh1WjnG6Ne3yFgLMc6I2Ywtdi2M5Tz9b
QmHCVqwXsCGsG01zmczRCeeU7jtekp9uDzGLm2JaYGlQ2tCvvyFAHVZEDdEZSP+FodWhq1uGM+bk
nZJ+ebAanv7Y4EKGjNJ2dj2gQ576vbfYB40Fp0M3mpW3ejrXoaUDTAqa5iUY6u+cbPACyX5Gy2AS
ESlp/PEsKoJTUm+97fr1PMhARdYYoGaYnZ3I1bdkM55C6WITt9yCOkVLL4j79CtOA7jyJOe0vhof
5pqHktZFHa4kgYRZnoA5mxJQLGBT91m74iRKiph0xggX8CHzsRgBwQqbIX/ESsxO7szg/ET9PmsB
6hfVfOo5ekS6AUHs4zr2bfQmNYzmsJ+gkVFHo8VMnt2mu2wU7zAx4SHBHwNzZtxMIITusCOPR4LM
DEytfbfXVu0LM+P8WtWk34wiuYVvh22OBkNVlye9QqSeHhM8sOskIrsDFKRnV48wAR037wEbzrhj
psmUuySvcUisaKrIrZiy766Xn5jrZyg81bOjo0CB5uudZkcCPybGgEhL2nDSrIw9I13cBso9iCw/
oM4rYkea92ALsXM9dQ7ataXrD66lvSac2mYUyYZp31NpxHqgptCGMUNH49OsJvwS7Y3StYPEYR+S
ihKE+ADjtFxjsDH3dJVf9DqBEmjHzuBEdI4iKP1YPLyn2anvVI86XtXlV09CNrPml9bPWbrZYfvW
iOzJRr1oyjK2/P9L3ZnsSI6dWfpVhN5f4XImga5e2Dy6mc/DhnCP8OA8k5e8fJ1e9aKfQi9Wn6Wk
KqUKLZWWDQgJZHqEy92Mdofzn/Od/Ip+mm+mQVVrs7Co3cE7ggZGaZpB8mMB6GBVlWl3h/mRA7tL
0C1mfbewDgcTTwEIIkxzCl/q2D5CMVy3QtQbpq/ewlG3A4+oXpifYxWc5Il57gPtSHd2gdzkTuII
KCdd5zIDl6MtshkKkGmVR0dhU99QOTMvUC/KYiHc4IMokLUOMzwtbAXOagr0Vev0OPvlKXMndQdq
54enHbEkNZ2e4D3j+pbtq180V88fy8swu/HOwfNqQTlizD0vWlNgHNSheE64lTxFPtkquGRj4u2V
bB58VzzBGF72HQLh5Nq/Es8neDFDQ1Ce9wEGi3iGS+PCCNocS/Z8TnyzXJpsAhyx1Tvy+ufQ+x4x
LYh/buk/wTAycZeZm6rM5+00T+nBL4gGRf5jHAuI6nZzz/zmHnJtdSdNB2RkNX/Yozi0PXGe2CV7
g0HhARwj5wYo9+siqq8iS/IlQMschdTbc0gjmu90m2BqafdgNr5CNL/ACCCiXrnNhnHLfdWkX1mL
d1KL+EKikvNWP5GD97vml23k9wVBRppgIGtJt37Bl18sgYH9rKzx3qgDe1/72noWBggfk8Ae/RiR
Xg6EJw5qnC+4w/qVMCO1cSIqZheNLjzin81nWgwnM6/PhE+8QzOLcMW8leSKw7x0gRaYnXnu5uOU
qPe+zF1csZp1juPIzBJ68qixCFeF4ZY7fPw/RJ9NJEGCfolb9dL04aXElj4q4q11kQbbuurZdbQn
1sIm1m+0xH4MP6avOMNUJc25XacW/o+0zYxFkBYvzdztPH9iOWNlWcjGW+tCwBR0UvILcBLngbqP
QnzPTuNfZdTFZ+k3+lB5jbkpEt7mCZzdGuNVdLZUs5FZuI9Hc8tgSLzT/mPiLhPboPD4BPljCJta
XFO/3PidfolU/1IFCelMHe3B6G9ZzVayDwAYTNap6rt7GIgwAOrmZM3hOnB0v8zo0WTz4pCTFfHD
EHhPFd2eS2dur3QBvukyuMBQ3A2FNPatz8skfH8CgDmu06h7Jl72bCSNPDYYC0c/emiM6oGeFSDz
c/IuVbO1Sj53s2OfoGtMy6rDEeIEhxlXh9/U50mSGau5wbBVb+Ib2lNU3gYWJB60CX/lBJe/N9hY
8Nn5kOuMpeuX+mS2DqFiFeyTIrw37JL+RG+6dcWE+6AuNlYxvhQ5JowoN9aTwaV2ynxuysavvp5u
n92a6bKEwOPlXk02mL4LrI4hXT4PTYVLgjuqmVU3vN7obsTYtsMyo6LnmQtj/0hqNwaGIUVWrASZ
QFaVNA0BpVuGnO+cnAM0zd8t27Tug7zb3cq+z00nsnuI6c2vrlIsfqLtODI2VmLdmXl7g2UmvS0O
4YTmQ0GVY/5EySFrq4ppJ2ihu+stN+q3xuRNL3WY1pc68WW4lEYi8k3iDOaVdCQ1iq2hQndPEAKu
hGNmPnGuCKii7MZhXQ/GU6UIG54GiKZPLo2TVxNVeTVE+jKb4RNNBPcGCv/XNE32qvE/We9qYglf
VjtfSLdai6Qx08Ots4W9HkdGvoFQ079PvEA8YVgVghDiEnZmde+YxbDx0LME7lSZxudQRE+TbSzm
kp97mvKHkMtzPg9XMwruEYLLpW7HYVkEzmWKc6QPeH1ncxI4A6OwC7+cOM0uGLnWVeply7SSGApT
Ej+N/dW0vrcuSKHsoajVrO3VaPOXZrLrgmd36bTsMu0YHcCXQlxzp+oC6/aoBvWaJfifukYOGJbM
99KvX6i1QITLS6TwOva+0skR3DlCA5ZgOsMHgQ+RevEr9VhYyoxWql3BWkL3uPOSU0r6WNTRm1nw
geXZqBx4mwNx4IoysLy3Fpz6yGyEVdkTGZwNLp4ROa1VrOB5F1G58zq1F1bzkAzWpZ+rhLCSGR4Z
r39VWVptI6IRj3EtCnUapqH85F4WfTVUbF3zOms2U+LnD9HNRjIn05L+BuEwSxgfEChXOvIP8ejO
V3IGZM7bSG+rgaIDIzW4SaVxepJl5DzyAf/s2umacJq/YJROq4Uf0HmXlpN45iKM4hoy2HkkZDrv
2RZbkpaifKoL7ng5weKr5w364M3B6yxLcfAN7xpZ6avN+3CE7gsn1wvmFwEaeQFwI+7WXefL57zi
Rn9D6q4xGBXPwYyA4NK98WhEEb+Ca8TzgknmfuqbgNCoO17rmVIL3/fcH45y1MuQO7RdE5poDFrB
gF/kFyxGnMOdKT3nfkiWgKqUjoSgJOWDvTjQ5tGnCWw51Q4NIGO3pnKeIX5HR7bXnXlbmKCN7SeT
7XzVOvX92FTjZx2jPvGJwdsTNGhtdnxkPFKu26Yu9qrshz3+42KXqLDeVbWjnonshSnxV/fNNHpz
3XCIXnKUMjZ2UBhYCQC8wT3M1vTCrOkXM8jgaHNHTtFfqkm7ajkw95Z6fnRJCi8JY2YHuDZqwwcw
AyKMo8y7mXNbv3sbNWk4i+I/3wrXWO1BXA+muU5iy1rlle7SrVaNWz1GrSwEjlu3Pfc19raFZSn5
bAOYJzlZJzTKBek7IgnYgZFs25IBvXE0k0lugUygnwkNBqAfrtq6kUVJmkCNCctVDxr3lmOb1OaW
2Nrp2vFWUzFieK3NXOwraiTu2sKtD0lEcA/Mp642lWsRvvGj6NGTmXMu0+EkCrNYwanL3/M+id/L
LiWjbHSjZuTmSXzuoJVoKLK+b6WqDAlolwFDkbSf5CZi+0Rlj71mjo6fKm0740d9U5q5LzXpqgoH
Dip8diIbtl2c8kBqcHgENjLNcRErn2ttSHUpBCQfsgqki8kW8JllUsIuHmA7OjvdEideClRrPt+j
M0BuTIPPWSqNzbSe44ATtx/V4cGIk7baU/IWl6jUaLsHozcS+7vvR8Wntx9aSvOKuWw/Ur7n+GYF
LXsBjlErAldLz+FJ4i9N9iO8zmgtGStAPu5/m0q4rHZDx8drQbNlLZdsEswiNad+OMmDNLZNE1rO
nr3CrbgCuVHyKAsbCHkRudeGC3+0834bJ7RN1qV7jqfa5kBRdruBkjv/PoeNow52oDxrE/ZdNu6q
vuhfKzfnoSozl/8wqclK+4WemPIjhHh0asAA0zht9WBZNBSaFMOQYtF5cWc19nTN9ZC2G2uQ1i5W
yg2WrROH3K/QHdGzcdbKL9qb5bIopF9996bo7ItWrl2sU6ewHUZljoxWTTSKiUA3CagdsnyhlhO+
M7FmeAkckp0LwKqn6iA7WElIIggGFz8eLa1ct7fGTLLFJnDNhvhVeNjBzZGcYv0wjdn4VqXIz4Hx
Q4wpQiEJiKzeqLZz0YVrlhvIZDuFxHw/I7euIE4ZR97tdxoYX2I1fPu9BArpjfN7l5PD8FEj9a1+
MIPrADzaQW9Y65GbTz8BntIpgsvtEk+/TlV7XDU/CFy0+NFdwdgo6owNt/iQhIw1U1fZ/qThb6fE
+GFEvXtXuUriHJ42ILGbC3/FfkQyz56sYHBepFGnu8GZvvzeZusm7L5rOG2vuULFBO/ArxwqflaS
pB71UAEy5bprrRK9LlMEubY2hGn3Hr+1763SQLEaELbVWxJkfrwgUDHxEXEb2gMHT5ZfkT1GDRmU
RNmHphsLC63hNm7dGKOZjru0S7jQ207WwieOe+4FlWdxPeHeOAyoO9SnE8PVWJWbVFfrBhILpTlt
nZSkrxvXO5aJIAFKhWOJaduJKQm0lJrk0Ss64VwomvfcnUlywVvbAosBPHiMmIaKJByMWlrVnrcX
AzUREhP7/NTzc3teg20MzwhTWNwc0bipmt7M7jkxT9FTn+vcOmXwnhkkKME/NasQiBVZBf3KqmmZ
4gATnlobLPOGuFAX4xq2a8nq4kf+omqzyjoVsKGtR6gjrXEMesBgO5kASsf77dCMQmbttkwoPx2K
D+WSerjatPliB20Y66zkOHSkViiuIesSuIUU58CFPr7jOwOzoVM8Pxo9pIPeapsLBmhuWEB19MGp
CrZEO+suPMOE9Vtl9ZTcYFQYX4bghg1tpxqisYi7XSG4BuY58sY1k3W7w0c23mY+L03fGVQY1l2w
akemlxHnzrs5Kgl2JO6vwJtf2VK5ZHEAPzatpS8s3v2RjMexVH6+K+IAEFYz3JwfI1qO5fRbeq3m
NbSUatkJaHlGE3A2ojl0H3c0nbW34buemGstHXewfg5+KjbMzMO3sCTAe5PV4reiS+Jx0+H0Lbnl
t226Q4LmbKnaXp/Kto451CU8C2RHmmNOBI1wUu5iK570tAPc3nHpClJcw04ZrsMq0+B5ALAXVBiU
3dNtrLIZKMJ7m9qMEBOxv/JHIzK9HlrnFIXYUqfI0LAIAvMeXO+YbEc/o6RJzNF+lvJxMGlaFNRT
bbBnuAg5Ofgjk67ipW6CbkNBg3lIWCKaA2gKsTUH4tywoFdZEDaPZmtyq0GQs/lN9Dxy/Ws/At60
x5jxyUdGpcRK5kFHvYVdLgGb5cZCVoLXFIwNp1mNvDW30t7NnZUcSiOErsJN9erx3C3B277a5Wwm
Sya15hcQJI/BmdebKyYc+jlj0PoS05N2nxnemzUi7IxG4a+LSYX3IWx1rPe+vhZtSFs79r+lZ4JV
8tsWGl/V+5csGMYQKY/3CWI90fqyy9S+DXpy0C6EmXHI+22txupkjGV3Z4VyWHgolNy+Yf8DmWa1
a+IXQ4bW0auHrzYz8zVWv70H/Pqkp8ZdsWP0d0HvWQfsRQR/eLc/4VQm4cpoaPnI2vKmkaaWqjZM
E3E7gy7G8+1Z9hcAt2i44ZUag/bIgicsG139iRs+JSwcCpNrf5pcAwZ3b7Gt+7cx99kmLHkv+E5n
gNDuZbCYDHHAKOeDZHIcrDQjs7uRo8imE6X6Cdaquy/nuLuKdjhAI0A3MtzR2yEooFo5rYVQZKQU
6yyzarbe42YGja39Zm3RBXLX2ZHctR4+gIWPuXJegrDMtgUm8LWLUQdoppzjjzh0/Y2IKxkueuba
jGDrmnXVHzBy1RM6cQxPT2TmcSbGtjUCQHJQsmBmj7UjUffHCB46Zdor0/K9R0uWXAdwVG4ZSAYM
9UhabePcvMF6RC6X0VjOm9mWzTkSqv3ydGrdpZn6HmQZwFFp5j13mohukJDGQKsQcl8W1QSIi4Oo
kwXO0UjQssJZOlu7ITC56OfQvp9AoLzXXW0GqxAg/NkMpPNQRiMnj7bO1/Nc+ncIOD5dBOFOOfOO
+xuQIyDVRM+mBzwh4km7ZX/fMhXj+EoVHM8/9ogAplSTJ9ZrZzi3m1vokGpxeBIJKVbeQwghc+VX
ab4PWhXs6nQId0PqodAlwSr1ZXXgI7vPynh+x02Hqh2hPRLoae+FHXYEW25IqYimEzJeo/E2OmZ0
B2hTsTebMTqOa17MKXjJ3Ju+aoAP3w6OkaxkhbcAO168DDjgc7frzF2WzNYWysdwhQWRc8zIQ57/
OPgmRdr9LLLyO0/Lcdk2w/BJl4F3R2ajoSliwIHqdQP/P8z0GHZTL81IfOmPZszBJs0P2us2fm7g
qzccoCe0mYWlolqYJJEH2cg0QUVYXlIvg0q/d2aarjGSPBdF9sPpsZlUgpSlrkGElfJUOQExdDXj
FwxvpXiShGeKMajoN6K4nW+EyAGMl9Dr0elOGbfxjg7w+AEpvDxOMn9QnJwVLXcuDBquE2JgHAk0
OTgAZeNhdTRXZup9dXzs2ibZBEpFR3wePW8Ea2IwBmzABRpWrubHWY7VKmMRXSseYoBEHVYqCRB7
sJ88mX4V+MU2gKajFQPBNWcv47k3sh1Se3ooAv1Rd0a39nltvkXFfpRYY2IvXUs/z349GouaDm3G
Bd2sgcdMfnwQcxG8hkVYIFh6OuFvAEZZ2Yqqm5UfcjEYRnayRQML5pgLrtWVGsXT1NX9wRxGfYzY
nhdtPGS7ADUNEZ4sbdf4CEoePR+MieMjdfIEozBq3vl5jYaO7Ex8U27RFLmEcO1alr6F8y9QxDWb
on4ipotdiUV1XeaFs6nYBTf2bKbwbwvvxu8ZzvAD0IJpkyRoBu3S6Lzg2JctuyBQ/wcZevo066F5
dkIusQVK5ZtwxV5rcaj0IM2VSiuKRuCOyL79AA5bXMGpBUc3LZKDaTjGrmlF9xz6tnFsG+kTGG6a
n4jH8piIJjoCuKNNmEpE/MqpvFDZBmiQ9YypA2Myhj4Eqpw+LXY11UjQ229nxmpO+IBCtdF5GWxM
Uzg9cwunvw5uKe78hLFFxMX/qRa1fw1xnK5zAy3MjOZpXiqdVw/SrD99qytP8HREtQFcV+28mshI
Yut02U+6/wp6pvxQY9Gna5fluTCP7sTV66yRuR+iMWYyPNO+SL82Ui/YQ6TG25GRCVCl1mFjZKuQ
eP0WzcQ4eHCRF3HIb1C2GLDSEWVzk+Vdd3CnKaCCSGuf6GBP5Shnsg/NSjPt+FQHj22V/dZfUUyr
2OuI7pC6r3Z6MlgDkrxfa+xqu4L8DXXpE5+2xGnbV5hsYY/24ZNWVzfW1QLlTh6nVtgHWN4pVC5S
ic9UXctfsa+DXd9yJqMiw5bPteN296Nti+cyGcxzW3rtYe7nV3BaxXniinVvpU57KEK3ehAFeKBF
HRXW3vWaAf6CY84FgNQoWFml4mYvJ31G2s/XDhdDuVDI+NU+pxu9WLiQ0NCvo1bZK9FTTeW6vQSk
59TlD22V8bAOzDl8jps++2VlYcBMRbAX+D6Thr6XPDZdoKieAnkrqaaukvTJrLUDdqdFiKStowEE
5Rrdse+6bMuCxpktp+mAaWnajlh+PWPT9TMhWwbtj3gYJvTsobqKmNvCU0Ewi4EQzjhgHJZ/IXjq
UeA6G63xYuOp4PBEBcwBOkS45EbuWjuzRGiQdUH0bYqpo15Rb+pA+1C1oZeGPUTfsk8Vc1HaJOo6
zg6mVRpfVjcCkwpm1gfHmphiWPOpDpgBRrkqz9Uowldznr/iqfSZyDP7zhzWMQC7pyzzJmrHJDC5
Wow1o8HbLdmuftr+uO+pll80QXquvOE94SFHTZwSc5lUxMSrxPHXzWRnXGzqGhoWrqvy4uCYitaY
0Fj1OG3vQNXQJGYmKEuDlTbLyAyrrUH0MVm4uqj4nVzhYUHybQpTvB/IeMmmbcpt5zjjmlaH7pyn
iroaqJWMr4goYMl2F9LA3ZK2TrChf7nYm1waltbk/wi8CJMDZspt0RgU4QgjAsoTRt0q75t2hxxF
Z0qIEYLLroBgPUVXXm98RPjxjhnRUbynY6U28HLgtMQa8XjmTRJxX69mphjiGMi5eFIVd8+VW4y+
wRfL82wb89UPahhajY7EfGBdZUbrMT3mBIXoxXzUZhi0KHj4yCsmfbon48kZna/JdccizQC5aMhy
D1hUuJBEO+VaFjRHOap1hLFkg/wnhmU52g8jY8YNEQrmQ56NCWtyPohjOoLN//b0mXAluWH1b3OZ
jDvDqnMODj5d52Un6jdruOHGKD/13sjN4RX0Wl2c+9CBtywnfg4OfSEzL+7L0QDYBLrHlVebxbmr
Ut5DCnz3CQLsPzVd/hfLJS4dV0qyWj53X//v7N83YLet2uovdno64fS0HAvXpdmeRQ4xhiMCa9bt
1tl74V6PPvh2jV1s5fZdS0Am4Ba8G6Fk8sROJQZXVsPpGjCR5DQG4yBbzL01mCvAXrH4LnrNcCYb
iCr/2T/8LwX7nqqC//3P29/5gWmiTaK4/42e+5//dk5+tLC5f/X/8E9tv6u7T5Cnf/+Hfvedu//1
25ej72r12X/+7l/W2BJ6fT98t/rhu+Ou81eG7+1P/ne/+Ifv377Lk66//+1//KiGsr99N0w65d+m
+EzrH9KLH//0v6s/8KL86f/84bP8+Ydr+6f/W/5I6u//8i3+nAT0/kipOrZOQkke3GJ8c39NArp8
hbQfdQXcg0zgxeZ/JAGNP97aL+gywFLuOKa8fekvSUB6DqRBpuq3mgNEeRsv9b8UBry1W/5trsei
ktJGefYpVCCVwWWBr/+Nvz63URvLZmAZtOGV9vVeUv7IM2tbO5kn7Tnj8JosYcTiP/TyIdx7hc+2
Qu2odVCxUPmqyDxwUlPUXB0cHUjJkZ4/dKOIKAd+9WQzbjP/ycfMvlGW/8bcbpGdNGiA4Ixu8E8i
kb//qTO7ou7Ne1dOnZmLUBnGNYauxWEFHfY+stj6Y6rO7ul3Q2nl1h1dct9tfvkmFEYrt+wDOaPp
hbELLUyT61HK2PjGcaLT7XZ3U+O7KuryiWdFgnCk1GHdy8Q9sZMakO9xzf8ADTV+46GuH8C3TRtn
sNRXaqvkLCLijAB5gMy1bZnCxzM3dDVmnINnXJZLb86Qo/xo7n4Rw/Px/FTOycoZMA11J6p/ElH4
fWaDXL3pUdkCZZ+cguNz0/3969QTXsu92+vkIboRD48HOuayli5v04MbYxjtX96af2nd+O8tCpf6
u3zs2+/v/vxZ//+wMrj/cGX4+Cy+ks/frQO3v/CXaljrjxzWicmTCwr4rN9Ct39OBJvmHxntWpL/
TjXwrQDtP9YB4RP7tQOSwrc/4CB5kCX460Jg+H9krm4arA5GgMWfj8BfF8Xrnz8prKf/72is4/9+
IXCIoZKCI7JEkohLABmmv3tUai0GPI8ZNNOwD1ZxgQf5EJjYTnMT+hkG0dh35tuk1o1+da0xvWLx
KAKb/jmDacIqGb3xJ8MM3W9xUUTNIQA1PrEcqMT/BnaG7Ml4IiriO+jYnIKE61XVSxKEtIRhRgym
/QzL1fgwgynLr4Uj+nbDTFVIigu0vJ9DCkBBYeH+ZXA6x+U5SgQnC5sK0gHMz/hm12WpN0Q6tL/x
o5yOdcgzGdm51gTSAcSkn6xbV0UgW6AhhWuvajpPAA8XAFKa+xAJM8MdL4Qo1lzWI389sJ27HH8g
Y27pUQexZDXRR4UKuKhI3ZwBIsdP2NTVMXZk9zi19EjadTK9UUVbH3RQIgAO3fDYdnO9waH3btdF
DxSi/Il/NFuZ2hiPIy8uOpbdrwbhNZ+e5CX2HDnv8ZTnu6QZ260DBf0s5XARCXh4uqzwiRZFvTQC
xr5ZPNnQ6MbhyMG+XJFYeUdpVzTxMr8ti867moUMgZLJr9LNB65hzbArJ89Z69h6RYdWR8txFThY
Wf6KJ6c/hE1tbTPMiss6GK0VzAQuCYR96QzzsOQWfrioe+1QfxSOkD9yu68tgC3govtLn4OxKpdp
j6cbOwdiU/Y8uTUe/szreKMWbS0rFKFunoP3Mfaz7hhkHX9lUZapCX+SeFEAbYNfvoU+bfYWo8wl
rR/qkqqbBpJGR5ttARdCVjT5HTypa9mAD137GMVC1GvkZAVKEg0mcNgbjMB2cLSS8nSfTVCsjCL7
p8x1a3jFEoyIDxdoEjYnZKbJa8xRFNC0zbqkKQ1UbWTzN2xACmLNjNsPHhIwi3BpGMJDgBdqNYXm
eD/beHeXWoGywDXWmsQMnEG9q5Z7/s6qoekd5jS20nMXNYBJecMz72Tk3lcsY4kJ2qIe5eDUMmZQ
bLUfXc4jU7ml420iPY3RNo+IxO7CYq53uV/eY5QCRx7XPcan3tlnmF9f6C3BQV1rAzqaBQtJl7vA
cmuEKpD4x8IXPomfFhiJA+27wfac6M0QCXASs0XO/0dHNhYfHmnbdJlP4dYYSfsxD/XmBiwIlcOg
JzNKAhA7a/Pq4qoEaULI7fY5mE+2ih4ss76jK5jBV9p/W8iTSyUxlJtVY70S5PCqt86fm+pYwwDw
VsKQ2UFoHTL6alJcjUNu1yPkDDt3V1NWOrfpg9tRM+nlgphO74zpD8hfWbCUg3cHmlPQuTcqB2bT
MIwl1nAVN3Ta2MgFTpysKu39SCpzn6muPrFAGR6Bo473NPYpOljWUZN0e/gMzqsNQtDm9yw3YzbI
L6VLiyzWqMDk8rm0pp+sBbjd29nL/RXYFwIucAN8dxMVU1LQtEO6aS1mS8F6DZi/8Ux0MxezMm6/
VK7CBEGnFM1aqRAFLBBzRgKA5rNqxY4RYmOnszVdty33S1UPNq4B1zn1pWHg+QPz6nC7PHuuh0k7
StJtGeXzO0kcnWx7F1S5h4iAOkaHEKi65WDBFIZ+KffULMFMwfz3rGV+ERVQloSp29bMaGfUzE3K
2tNHDv1iY4bCO/pEv459EdsHu0nED7qdHRbOqMLw5riN3HNl180GiJ1tbbymczZI7d9YyIOVkUHG
p4XhtQPkuUlQXw55U4Hl6QLvaADd1XPF740idZti/cS6n5xVnwNCGctmzaNhv44Sha3UyXxwk7hd
j4XCKa6qKSJIb0NNcl1vpkBi6HZ5Kb9xHcYPrLchJRSEAppwYnAXaeKvLVngrQfiixrJirhL7c4f
aR9VGyE9XJuImfkqhdhyghed7zkzZffwncpDOhUX5ii/pqagNcmDbHlw/bA6FfREHcZp6DdV6JgP
2ewPbzg/KG3N8MUnGQUfvqpDzCnY3h2WQWqiY+Zxhu7GS8IW00LfMSjxKU3nM1NO8G7hAkTJScar
onedKXqztf2w2HhGY+2mPCl3tFqIUy1oJa/hKy6s0eVFpE2q4yfx3NOkGBImuXcHTOOpDAvhrCxU
XczGs/PLj6cHSsLtPSEmtW3T8BRrtRpCxWtRVRhpzM/awMHrMmQpsHA47JdAXCWjs3IN8vO+mJoj
F82l53UTPUB6xK8CZY8YAiYuq4cdDTEVr2NEdGvql1Tg4lqmVnzgbQMGph9MzRqv4S22doO7RXp7
JIVuzetvvwT2yLfiirHUox1s48SLzlNIvwK7PqsFVjX0v4KjuA3RyqYVBW/jbN5iNMzDlFedjdzY
eVXhYG0DK4E98AeD+/HeH+c9wYynttM2dDjz4tQRrplqfBoShUkzEe6oqdact6E1/KoUMzpIkiET
ESa/H13bUmIdH7qKSHE8wEiffJoT4teoAdAzyEvSoliCRWdi5G+sJCGVkVsGBh3ibV5zCtLxEPsz
rvWW4ZA1VC/m6OxgDy+dTthg/Bt8fl52pO1M76cMhybVQyWg4Wp+Tm/2Sarsi43jyas7+vwu0wb6
MnUp2mXnbdt31yLvl040WzBiQFOjYC5eo/JnrEu2fIjRAp+IoDnLWSX6LUdFfvEbxv3Y/TuNf6CO
zAAbd2p3q3rCebgJ6qSP93OiRJPDu0PrwZyRf5rWfKlBa67dGHXVcltr5auOqrSBofWCCrL4hzlG
+b7pDRixZ4MA3IL5Ck1KINfzZVzobIM6ZrBYZ/IYz2Hx6o8wVxGaGGy2M7TiufEYZmz5BNUbQyOT
0lBus6UPxQU4YEwNmU2LjBlU83tbmnLjtBpkcJt0+FirQNyLktVl0RnjjL0LFdzd+tKfPhVycSGg
m2NxWM3gdBuclmQ2SKAl1jmycIC8wnpsgrXRKzxmieqiqzT7HlO+6e76W9s682mYw/TIghMddZOB
HK1VuicdxH+2aabYd0wxmXBq+67+Df6UobjPE11mlInQtzHwppsFLSpR6epVF+b2usdEfamjXp7N
2MZUx7hgNdpqeIFNAL1UZ/dtbYpLFskZbjLP7sxpf6uQbY9Y8ZDWneEBXMp7A8j0ngJVNjm67jgC
Tieb8Fi+tKIM133el5u8Lh4ZrfFA9wbI+bR9ke7UrsjUn0zmntvJjot1hzeQEaYXXTi1yAVQtbux
k+MlupmXq0rirbB49YGvRa74zD0jPsSeijAagnZsxb5z0/HT8dNmRU9dsB6xVe2nqtEgPNk4F+M0
lk+8req9iIfuJKLgx2TT06cg2u2qznmtRdfecQWy9uOAFAzj9pEwCFuY9nS8zuquXdsVq+tS1H2e
UAufFJDQ5vjkE5EH0eFgyMknZV3bJp8JVdCRYsV48jSprtzQtOMx0t0ri73ESbR+KvBCvBphTVW9
65HbScl7qToJNlOqnXWgqKB1gv7nOFj3STXVb6DTmMsX8sPqDSKcoyyY3It6zbQk+gEEOCDCMMs3
J+63cVRx9nMhfCXUnS2jMvIfwL48YnAr3qj5/ikmuc99qIsYP/X7zWiYKpjIeVTYGFC76uCIengg
h9WuS9SJr7r3vK/KcgaAsbb9HGRAWhdGeBPHo9B5pEkSTrNb9Y+DnPMj7XAJ8rsKhl+OFnrj4MXb
ZobEnt177GlmJ7au2Xgf2kyGC0TvchG5DAAReRqMLHb+pOkLhKhQTY9SYfZltrGVtW38yKVPQs03
xbudT+VHlzXxutLIw9k0pBdVywBHml2gpmj5nhSFuZFu3hIWLF+VNf07e2fSHDeSbem/UlZ7ZMMd
oy/eJgIxcRRHUdzASCmJeXDMwK/vDyr1K4nKJ1laW5v1oja1yRIRgQDc/d57znfEYUJWxLEfoNIY
Q9CjJ7NLc7c59bbqt7UnQeCFS7itvIXmsulVh6UVyUEPyUR/pJceK5JqwvMpFMOh7vriRvVd4Dc+
Hj6iB5uNW5nLh8yt5s2Mu+bMgPz8AFJ/IPXGZUqee7dxnbVYOR0gdHV4E8+mFVRxJ4KJyRy+kNg5
nzjIM25cdnCj9Qk6xC7t0/opaUxx0zXVvQXy/3yyosuogNmaYfGgXZMYR6vziZo0LMw9DRk9hhWp
F6eNed/8/pNvT/GHQkQuajYhIWFYMXlgjdhmNk4F8B/Nrgrnh7BSZ2THouiqSJVIOSLtI4OBTSqm
PHCRZGDwQ4ixiRyVBDNQ5vthQI25y/ByIM/Eg70XNgXfzEaD1wg9MUfb5ENV6PiWMp3qMvRUe+Vm
+nOaTRL+p1UjkPPj6Jy+u7ooMVSdJRrqAiUMPvLFpuaY8Qfltb18SAa8kwbmjwtGzbcDfcttN2Kh
8COHNoBROFcZRLtLPyUqnJShjP2R9lpoaxT6VqKOem65G+jvgkR28L6zGmXCev5Jxgltiaw/m/S8
B0sLApEUGT4h/CgQ/S7mrZE9FTuFubea9jGdNJkm5Kodsg5gvbvUTPlyLEiMZSfMmJP9p47Kp9SM
5cMSo5nHhU7wuZinV36v1b7+tVBOnlqK/ice51NYRQm9tzzepyg4D8YwoB9TC3Zju07zHSP8gsAK
hXaNcjAkFrxRZgJhGVG7g5t/R6SOdWaTwcYxGnma6aYX0eD7h9AJL22JiUpieU1htV/1sU9a6xAI
lG6nWvmX1ryqo7U/b8cs406V6oa8ToVCZQh3i05e6JMU7PoofNw5s8/FEB/7Eo8LCveTGeXPQ2GP
INiZ3F0Ppno0ckZXi4i9aya++Xmowprx0wIBJf8cyzI6xk7XX/rtKumjWfAcestInLtRBeizMLKo
87pv6jtC5JPXYd2dO2va9Uad3bXRfJG7Xn0R4jveR7ZX3KPxuadx1D5C3Ryve/YBokEG1GWJ8+LX
xhWY588lUYov49Q2F/mcoVkA7AN8NKqBnptYYgwjawNLLv6ZV9c7jGPGx9hskoPnS/clFa7zNI22
eSDD9iIfsLKxyBAgKRcUzchvm+PYDQJMsv1skd+Ierh7cu3pC49IyGthVdd1K43DFI4moNbqwrMt
LKhWhdOvg2Buh/Z479LUwVE0+NseLe4G+uUKDkADCPd6OnaG9Xkoco3ZiqldIDHrBKUYiodpyDrW
7bj5kKJLOFGyoaLSoDdrJLibupYO7l/cADldlJ0B5HurnLzbuwUgCLNCL+TYTF0XhuibVfb6oAda
I8a02Ju8HJcbiD75Gf1rKmDzbZm8eK+EGaE+4H0I6tRo7+p5+ZKGEhDGzFyxLc3mEvoxe6WvC9Rt
xP82hsOsz7LaQ2XqJvDnYTqXizIP0VdytX8xzt5Hjkccyu2ivSJgoTh1OUzb3LcqTOX5PG4Itfee
y4QCWNUxAAX2ckSrOmgHt7zo0gnMbqi8i4ovR5rNjL4fg0aMG7ZvUHDUBXkfOK3RhidWccjacnrJ
OzFdtbrKj04likAXy1O/6GVvMZ+/SJa04NLS/pNWOUKJgjl23q+pHbBbAoS5xWUVE1RiUf7C4Ezk
XVKaqBKk2dFSWOs6ayFYsIdbGujaaA468W3qatZ4jzoDHYh3o2swnFVjQh0BIHOcw0WfdFEaJ9Ep
0PyJfKMD5VNCpHetzBa4FIw0TC1XJmE53QxZIwK6m29ySBV6TMs9FvTLj1LgetCNjoCNNh8wLHh0
WgBwjm7isAe2xdnI+ekKwoMckS2nxJC6tDtOI43GwKajia8KkDHvj7Ntp7K/MVz4tXmhStp1RCs2
Rc6Ed8KexaIIj3axZi8Y2mnYIlZ8YIPGbwJUDnoEeFobbelWuSUu3th4ZsczdrIezXPfi6pTJEdr
X6TO9VwWBPb56bmIpvrQYBage+pxdmR9oLbv/DSYCSre+ZmfHEEOE49q+uJg6XYiRQBZTRci4yqc
9qGKpscZgPeW9qJ8jvLmFdr/tSzCJigWZ3zE+deuz1Z7kmhycNnJ6wk5ZZC59p8mu+y2q+JsNzZu
tq8Nj4zbnNFo4zLwB36RXBDrwcZapt6HLE/pvEbDAWnqeFoiwCUg1Okg2vELckoALtTsXXguCd6c
mDy3cXXI3CIbLiSivjsdA5YgNSXrlw8gPSx7U6QhY25vADzBTFo483VrLelFYpncWRcZ1IzyWmPe
3LA8xI/as+AxhCE5t7OCZv00tRmMEdQbWPlrt/CfxqWt9LamifsxFyPCooHnbaPL2phOZPjw7jRR
DUQ9VchdURAKk4F0a7UgjcPciKgr/RHarFdgH8xbM6dKYXp/V5tthL6qo11347kjJtO0qaTBpmfB
cdpw+U7edJjI6UBpq18CoVCWXlojwtczjRyYslF1Ij5H+GENO0egoQ5YNMmRW3koA6FxTM3OiIDg
+L/EbjFdILLtMVMZobzuUm9+Q0UNNnccTF0GU9vR/UxoLX+g86+wVCXzERDQfbHA/MWnwTGtuAx7
7yEnV3HbEl6C5DFvECOStWCL11CSjpPlotsNBaobc/K+oAtaHnkQxgf6t+kBW8yMfJV5xkfRzvkm
I3tpWxhI8lsoHgypssLZ1JjJLhVkCsRPVQJQiGO5rzG0krXyOIW66W5k25c8D83kHbFfoOgBX1Te
JjSQUsiIqL3uSO6oz00aQtusXfFBcBY+Zj2B0GgZ6v5yrBfGErE4ShKJtkTagPqQi7Fj66wep2H4
iPP/vtBe+NL4mX1LeJZzi5IFb3E8X0ySI6Kr3fITvAjOFp1zN0XYSSIWSWjAhiwOuq/LD0UX16dM
GR7tTlrmj2SleScLrf5ep0nzJMmFegNfpQ+eTNJ5Y9Uuaq8qfMrTbkY/jqWTTBVxogHgnEYRpm+q
Ia10G7NiABtzqlZc+lODOcuZRvFlkkDlg2WpnfmlQKMij0Uy5HLHUVw7R6u3Y0AHbajSR4ADCCOT
juCEUxIXAntiVKNJP59k6iQ7bEuh3tqJhnlUSQY/lMguasWgtCUfdzOodKcSFoRNuVri9lnlFSnU
Hybw95ntNBM9tQxnqzPv5gy9xxx0el4WfYxirDIciyLo8Re+Hl8YBaHIkPw2RPmoeJss4bJb+uUj
EqIPtKahf5nQ9GLL23hzhShnoVNbmKl/Ag4JAGhlWyzjbJ4xo0gAlyQYR4iDHg9u6Tp7K6KN7bDa
YZHOlm0f+ZdIA9Mr5h0QrGLvU9Q018jC7a0GEAS0yoa5nLcQ4qvJuG6cvgpqmpKwIn3YA6zugrRK
MegTsiEfdWmLKK40l/qZBHbvKRpC70ILO9kRWDM+xxpR5ESLlLiZmK6sw1ziooPytI96PCk+Ep6z
Praweo5119T8Pglj4p4IyV1NNpGBT7i2mNzaVrEDjClT8u1MRP1hduv56nmJQnHHYADHhDiNc1z3
e2eKx7cFl9VBNBzLzZDcDI7g5GVJN9zmbdd6iOZmuWX/rK8Hh1d3A3rK3tR0qvbe0Fn04+05oYdP
y+fj0sKw2USoC7fAFYdPrm7/bCt6zHnTuRe1VWdbnqY04JQS0TCU1WU3Ld3rUPvX3UjBlRLyteeE
vgL5punMT2KMvlEhb+LKuiJ0G4ljNx/8IbnCS3VsaledCzfsiWk0U32tfLB5NtOBLQB0lL2ZalYf
aS221dAy9unQXBts0feGF14x7WBTpJi+0YhFNyZNwFvLTi8xiOyHxSENMjs06K8Q68blJ21Umuaz
9wLDD4WqzZQJNWN0K+bYPdIFiG9yL612arDlwYWQp2TMh1aqIktKZa8EQ56Q3r2UdbTuF3QoLdci
i5xEnS66AfM9fWa9LT4OjTfyNupw75rztb0iXiKv8wscpOkcNISt9XAQBPlvEMjuEI7g8IX8mZ4k
zKyjlZLqMy+ZvKcr++foRg+FYzL+4r27cAq8GR7pu2jRF4JYCnUFfyr6ENX8huSTcFbInb45DXHh
n/TErKlp2bRz3WGgHUjDqjrLuOoJqA+EqIvzydBI1mzWZ15o37gDRK/vhiG7TQoOsWFlD3tUkuSr
iUwE2F+WE4kVcOW8ojqVvfexTC0yN2a/3hp4sC/BwlMEEimfQ/l5jZqOmrWPrrz1pjai8XYUcGlg
FtYcJJzm6sJ4alxpHYew5/hGXk2ckSua+TACcNi+jCvH0Tc4uQdznPrIqlrmnFZZXEZd7eLGcD+X
WDkZolrmfemv6s5suHQxye0WUSwnouP3fEHa0S5ySVplV6VJcAgt2Z07rbkHNnbAmkXrDMFiEYh+
IaiP0Nj4frDZxc6hzAzN1dxyTIo2DqzC84Juf/jcNARPwxzyQnGedZoUsEHY7LtWu4WbGE24HK1z
c6wpPVTNaVfbo3vmEm6YPDD4iOEzKwrhYzaPFWG3phnr19DDfiURXXb3XxGE/9Fo/FOtkqiVK/s/
k9uDCuzkP/7XP+5foIhjYP5BsvHf//4byN0Sf6DkQ4qFjAsDhIsS61+yDbH+F9cW0rR9eOJf2Yrf
QO4WtHbb8hwlEG9hj1nB0N9UG+t/sviIoB9N6Vj8wb8l2uDq36ugfORhNqItZ9X5WI7pv5NsSBg1
aFnz6iYq3lL7AQQE4g3ARB7gEjI+KoyQFf2pdRGMwdvAl/uNDus9nfWnT7DqtL5Tj8Vhl+G35RNo
FLb5MlGkRkFFUTFezid4PIEPIqp/Ltxu25Eoo4wv/6+e5P8bLeP/lzLFXz7k9y/l8lK+kyNZ/JN/
Pde2+YeN1scxwcJ+Ew/9HzmS+sOSqJCwoANPXsmx/5YjmX8o8mtXySLuJiS5aJb++8k2hPjDY05n
K8dGROfyR/7Oo72SSf+t7/OFWPHf7JR0PBTtHufdkz0kmYw6A9pfaE5ZsVNKV3s6FFP0O0ruT9fx
BEodR3mmzVz9PW58ViRaFyH8vYRMWiDfOPc+E7defSRAYAy+W2a+aa7+QRLSB+Y3Xftf//z5O3nC
QqmFasuFEKoQh33/rmSyUWSC0MmLZ+ntyppjJ2mJ+cWvr7IqH3+8cyt/WjoQcR0UfV+R59+/kS3n
GjIY+EazIW+cVpfkFsskvs78BYGJ35rFb77XqiH84YpQ4RUPzPqwrJEW6yr13RUJNW593dTcPbsl
35nAatwZJAkm3NRoOv766/3uYu9uogbhMM4WzAYt/HniTFFZD1mEeCXgBK33v77YT7+YkhJFrHJA
LvgOz8mP3yzuTPIJHXiBVq2Nm7TGVByNTvObq/zFV5IWcRAQgV1kfu81mqIgH1XidNrQXEvPmVl2
hybzKKjR/m7//hey1mu5no+8wXsnByX+2OqRFFEqdbU4ceSngwn65Dcv1V/dNhvuOouFxQrzXkmY
F72Tz/OMkpCR0oEqGygmwvyzX3+XVZf9/rmTyFpXuvEqsPbe/TrS8ArPZGa3yaLYr4OmnVxUJT5u
EqzSzoAT1Fu6ob2sB0e/RI2RzhcZKZEMqbCvpMiBiqa5lxNv+7ZsFe3PcOqJN4I8ll/OpfCHjejC
HsNnhTUbG1THhAnaMShyViMaZRzPKmPTjCJ6G9uE3mVnLTh7HXqGL27uMcFYSitZtqVTtLcqNbU+
JYwLcST0FcWm7dDN/vUtWb/xuzcRQS9vINpo1k53VQN/9yayGgDBMmz4lnNGSwANASYxr8pvKk7d
t+7gGaBdeow+k+kwFTIS9Rta+1/88hbQN2EDxVs1x+8+QEfL2Bejk20m04A6TfgqoC5USr/+mn/x
wlgewlfBy2kJ+X6Ji5YFYRodxU2/+uPlIJ1zq8PjYTK3//zrS/20mq4ZJo4p1kgKSYDU+gx+d0dT
1+kSx4mJdMYf/cVbJwIbFHZo4RFIJHclEcbO1a8v+Rf3kNqB3Rk6tCDD5N09NOopqRKfSwrBjtTj
m9oniT//Zpt4fxWJ4sa2kRfjg+F0a767CvDLJrEEZM6mJgQj6J2khR7ijYMf/L2vI2kX0wkhMYCD
xvpY/HgHm8xtq9ggfpRJT3wmFkfg9mmnu79/lX8dGFYUv/Medl9NpYbXx1TEV5OFIrBOA4tewm8e
vJ9vGjYJU/HDcBWLJ/DH7wKDx+5Kydx0Ht3ivKpgmiwD1Lhff5f11n//FqPyoKBwpAOynZPY+wSJ
VCW9jhKPNFNkwzcJVujA6OX8RRRfZI8ZG3Ld7tdXRBH6/pqc2daiRH29LLXOj9+sJF7dGd0WsWfR
EFYMEwfhHu05o9/5tUjKk0/K9kcbDWMYyFAXcstK05UILqU+LEWNblGYucyPMdtXvxtM0frBqqEG
rYMNu8BKao3+rh3Tbtg2fTG/tuC7PYC9siHGBtrH26KJ0A0Gt2vAwlR2k+5duvQApqwOHagLVCs/
c5gB1IFVI6ZAi70QgzylSGhkvmCjLhfP7lDSWOOdoyb7OQKuGO37OZZI2PETMzJTFsJhWboWPY+m
GCHtNmGzy0d6WbMgKImOhQRFS8FeoVusPcRRSiDcwGA7IllHlqDHTQ0TiXQ+7S47QTJvCj9A1xX9
FLLwdi28ADRksVglCgim4Ns2lgA21Uej2uYl+9hzPhEWS+PKr8m2GwiA2LpLHO/7JGzMSx+U6SvB
CIZ+UCZDrk3a0YhkSl6V6OW3hECmdh6gMuoBKTBzpJ/omJX3UcaxG/MJJ9ZcD8scQYazcOpDXGqE
HxF82fuFjWjl17pjQtY5uAvATGMJ00P2PlNNRlAkgFVqoIseoV8gu7Eurc+IV/s8MPzBfe3iIh4f
DTCuLx4CCmYiBq/2xnL8+VblrvFlgn4xbfqi0PdDn9rGa+2ay73NkQRiNvbt4li5YryLfGeITnU6
VgXEibhYmGMqbTxov5xgiBmJeIJrGj8bM2pxVOiy/sS4H5YSAyuvjQJoggQx2jKr460uvRZduCwg
1Wl60/6e1FBa+VtJ1qh1RoTtkIJBNIbnroSn9exlIK93xoCye480RTmHfqmteW+4Oewq3Q6WgU0v
QpGOmz2ckaeNqTzYMcPbjTIN79moRIvgwE2XAWtrxHOuMsu6zcF7A8hMXd19sRNDziRChZZxQryE
YVKbeQTwUZldTlxxtnzgvov0I94vYX4GOZ13DzM+u/bYawHQQNaEgQYEoNNHppGIa2Go0zus/ol1
wtjOjS1VrodTAXLLhj4NqGePxTKz8G1ilwfjndTeG8gbpmIMnuz0c+vlk3E1VCYzS5APAE58pbv0
Qvc9li07dof6tTXaIkXa2TCsBRftxsvR4Y2vv2gTktCG42IDcqnHNx5tXNgUN7MagXKFZUHsyujO
0tnAdXf6ICPGuthg+aBJG+se6aGeC/0g1pSNwEGsVp4rVDj4CNTioZy1EtvfNEPEGRgJYFJcutRR
7SVBsMBGdsr2xsg+tLAoXfIXKWgN8Jf4nHnG1ZBP8w4LlQ2bwtFZdqZgMaVBRKnXghRbsI8PkTwV
6Zp0wJITt3s5NIIxaBnXTkd+dho6zafWA3XT/dkkKCOgj0ondSpvN7kq8rNj3ABBzR5TPxPRFjhv
cj0MOTw/CFH2govdI7UgUpA3Mj2Om0E2APDOkZYwnZyIGHgJua0MaOqmn3aoBtS9itg1ER/0ExT1
udOPkz+gVxwRmqEXgDlZrnCCQWxG24Vp3BTAzbc2ZYICYm0RA8tUhZOqihtvQQ9pmOMWJ4Ujj0an
6OL2ee72X8YFaNgW8GmP6TtLgGqAY7XMwzwNEZqViHPqrka7DXZam3ERJAsiog2JpBBwJtcwk505
tOmVMVVs2Y414mNGS+3UJyhAgBd05dfFljGz+pDbEUnSCEP59CmnFqakbVrcdZPjj7emG1HGEM+h
wXw7DJMZatgd6zScxWmLRQFITI4K5awuxxCQp1kD/Hbz4pqKHLucg4D+jr/hTpuxn8wlyNCDZucV
+gWqirkl+Jn4xdHfjilz1tPSmlOJ6LXy77hT0LEtYyyeEHx44VbAXfuz05q5N5kTUBLyJVTJlkUH
o5NV+eGr4Xvkv9RUEhYiFs81tvVg1K+GJPto06UxUhiRgpbGAo0kvhMC4VPoGMOlMcJYOnRtEmFp
j3yGYk5UqHzvsao8dl5ngpFOG3k/TSU1ZI3CB1C3jiglWnxIYrfMi/tSs3XWjLNkYm5jQ1bPa8wC
GS2W0CelcfBvJHoxhT+xZ7XGbAr+0eM0vpddHKPwcbvxnJfDAUdvAheyUy9J8NOYvbmDSUoSRWxq
Is+r2rey7dQUUEatzoke+hST+rYox0Zvzamy4z8xTgzNAx/TqU6w4bycB8hInScGlG6NS8D0+vOk
7bAgFcLT+a5v+rLc9qWMw2ebf9YHotVefRJodaNt0/jLSI5CbzuovLvY2abalNFdP9lIma0i8nFF
NnJEMc2MyrxsMwOjSoJxnCAP3xhaHlD46Wc+KFFva9a6z3aV1AYaAzoq5n4Bfr6c5lSp4aKE7ZWe
+yw8yW6SKG9Q3anZeYZUm9nA3gYnG09Fw56MgUHPyWNv2uiIAJfxv6MunPCqLqauzJgalI15oVpP
M3dV5dT6N06k6+YV1LHbvI1p2HeH0sqc4gimFfFQxcKcwI4SBNWMX3Xe2J9CcaR3FTPtjpihxsaq
RF9avAW7PCHCg/mdMtBERnPCkjrGc4e+u+ujjbbdIt8YSeO0Z2lesxt5eDlHiOFJFKLbd0s2VM5O
FlATCzCrnEpmkmVO7X8sbVuhVjeGxdoWEqLtCT2Wz901mF2QTTOOB7+yWEPJoeashmWKPYwiueIM
k6C7OHMUHS4wLhzKZkJVli1GhNHZaPp/V03ihCnz/NWhMS3sW4ceck2yTSeveptZZn3senH04Amj
4ZlkpQjPfctr3D3vPrZcw6wr1Jdtqy6jwZVIvGgU6S2wrNAOBGjLh5ghmIX0pXVaAksA2OyIBl3v
LxiUx4JMIZpYOQDFDfE4xrJnb1gaEnwM5J9NB445MkIahhgfrF01TlaPcNiaH/t2MK5brX03kKpx
33x+NBNx/pJXu851SVAYQhnCWEct101vYGCcT2gl3eF+iqfJOJgh50+CDvx53gyRQ7zEyNHvIygO
53PikKpwkaEKw9Rilj7LmgWv9Mway17iTDKyQ+WO6EEKJynR7DjCz6BMxM64xfOrHtImJ6UFVBuO
o5ZszKe09wwIH2ylnD+nRhZ7g8EaHYewsu7sorCaU8QEAlRwIyDX4ISmqPeKHEhDy4ATtgDcGhh6
Rs+bTsaCc5/Dp3+1SfBKDxoeFB0mVlQT8vaCAt938GLu6CxM/o1X0tfZu9HQelcOapzdJDLkj4yj
M5CVudRnEHEBIKKwE/duV9UEMy9Z+TIQYcT96Sb1dSPGVZdJjbkY8ifNuqZpshU+6pegIhyNfFA3
nkTMmaPTFEgOEOb0Vf3UjBnB626+gA1iSqvmbeI3IA+EuzjQv1CeiQ3lf0b71PPbm97iIQ/k0MPc
9stYINtsBWgt7NaV3IBusR/r3ozUltNafj5Q28A4amsULkAaJqqXKplvfl1KWe87BhRSAl+4MF2k
Mjh239WIpsPhVCyr+RGVA84yXo4YGlAYzsB+mtDdJ3FnqAPiZHsJvGQEINJny/xhER0aWY03O4PH
xWICA450lIM/FYQR2TCmqw85JuHy1h5alIwxFduCz9VI5SkCcvWpq8CoYUlgNbyh1EbuWswl+BWr
ct1PrunH3r1YPOvkdMSkBn5fR4+2TKfHdLFChZQ0wXyQZjwXBwPZu4JlYhPtVTRjP3z69T36+RY5
khhkxWZFW8Ux3zVVYh3XYVQ6JaEwQjwY7hIekaFIkm7gtT2QWdPf//qC7xtGkna4T5CT5/mM8LCz
/ljdDnMKFRfmGccxM/+8GE2BvRmVBqybTvymR/AX17LpGTEhsWnEe/b7brhrYW6zE2TDDewArUt/
D84ZvKGblb8p238u2qHqgiwgv1TQbpXvejiqDJPWgVi7Cf36SSXZfDn7SfObe/fzRQCu2V/nROvU
532YL7alQrvDxMEk7tO3IpXxh6aox9Ovf6G/ugqsAgZSvDOu975/U8BJQVc9rNKLfDgKsISrdrg4
/Poq4ucfZ/37tFTQxEgH//yPD4LjmmD12jVahR+p2rU0kCeOiAK3FmZTiIM+zlkOZXlqe8PGnVxp
3qXUcsuOmp1kGTnPtrxga9Luae7F7J1iEWXeNvTgWAe//rB/dUt84fo0AZmpiZUY8H3r0VK1YVNN
c+O97taqBQYciP6/Gaf85UWkJ6AMMNijKfjjRcSgBtnVM+3MljqEg20NYXZGzzT/pjX9051f41h5
TJmyMXFT7xtMWekNCPUiXARuBwAPOjnYbbTU28WGCPR330E6dM46a1tnEKZ8P5GKl57OFbkLGzpI
zW7JDRh4vf/YyMr8zY/0U6+OBcz2aNWZaN1MOt4/3j9pNx7KtrlfXQH9hoAdzJ9xkV4ncRVdhm6i
IJQp8+++9+uqKcGe0JpmhvM+/jnym162PtODpKjDAJtUtZc2j/PX5+8/IpF/sjx/9yquCKFvaKCV
UfRf/3yIIPv8oAr5+g++gTycFdchsWbbjM8Z1jGD+QbyUH+sMFQLVYhtM2qhhfpNEGIj+qDDrjjn
gp9ftRrfjc3/QMGxCkx4hBy8CZBu3mE7foXx4KXlgfu+ecxMnm4+wBeLDY/RyDtBBl79FFOjuqXM
JW22STo6sDyf8YgCZDIucT7caXekW2pU4PwwMTjyEiaAgiKWV/Eng3CKCdX6aAKeEm6CyxzILqXj
DAhsa3hYggFTU9Vt2iJagMCjOq2COF3GJzOvnPk0+ulMtszXBgegsfB+6Lph2kntczjmAFe8YNSm
MRJFeAMvcLDqODxYsdnROcGaDi1XLQtLCE48QLdiDxu0BGOQubKxDzFKS4nkDwjafAdnGoBz5BBF
qeFB2hMIipmPCnWwcLdk6iV3DWqw5mA2ciYQEN1WukGKV8W7KVtQEkRJpzmaDXTJeJNE8TRC4ED6
OpSA9yIpYCaQy5i+4UuzsX0n+iqbitJa0W/gIvC2lTNNzV6S+LVAF8LywVRwz0IBv2JuXHcF7nkA
vKQ54jotOHce1VyUw4F824xwBACEQVMvEb2zsMvFfhhN6xkcoX6oIdVvYz+qmr1P7Ji3qyLQxnSD
6vSQmzb3QxPCoM7TRHhyTfwUySd051BIwzQnkAivRfsxGcdRfZKmUX9KJ8gJQYoVViKaI+izmAWU
TzDezkeOiGSXEnhhbIy4RA6aFwmIPtMmNgYnJnEYweikQTjKLg28osQvlBVWdtF4ggp17dzjhfb0
Em19qStFMoNqr/F304dqeOpJ/DEmTFSFPS8XHsYI4lDoc2VHKiR7CgbwdiGtODGVbEEtwkmP9omx
cT0LR6ASJSmhPF2i32dFVpE0VxokBNVqAHIB7GHBIK8BHMDPd+AgFKVL2ZNN1YjXt7TQEqdzG/8p
2A0Y1EYMCTYWTRtEpOHgpjjV4E5vVERPgEb46F+ho09QvyticgOYkl18SbRh9irqUnyg6MmLA03U
5IvfdiO2Z1XGyW5oKRGxJcvbEZ4bhauFkUzWOxpupt9yngitDFZfnunw0wzlJn+DGZgDuZOju/Sn
KIl4OoBSTFm1XXqHuIqKNzy7NPKMvEC/H7GYmNRQWE5LbLq+GObr3FosdxctM1G1dPxs2kVVPzw1
NMIuVVWI+oAKeYz2pSgTZ+cVxgB6wbMbcw/2A/5I4U9fqLRJINE92TaPEZBXcVBeHefHUiDxOC1z
Ox8Ys3SvxC549/GSjET5tkV+YymP2QttrU7taM7QiuvoR8Hk7w2YorWMTFpOCncqvP4rf0pwexQZ
xl07z5rxUMC9uh/H1vaYrkj1RrMvu4LdvcyXnuHrFh2sdO86+AgkHsWgDU2t+nnXMNx4HM3MC4NY
egVZw7YmuEFXzZbwnC7fruyUC0LRtL6tRgt/BNF52EngENWfHCcCEtLqAWY0deBHmPsmjZF8Iq00
y4AQETNsuh9G1PIGDYGGenqqSR5F75w9RCq0wyu0QaRD0zXKzxpms/UBKr017XFJgWEnQjvDf0d8
UXYQXTe/1SBWpvbC6b1+cPeeldHTJr9tLG5NrNTYpuoMqXufV9ceqR9ISjzCBbYdzbUEvkhfXKa9
zdxoiluWPGgt83XUZRSUYW+O0BdUaUF4D9HwbkPc2OYaDceJtrTjtL2xzdg1dg3gVuz2fgghNUUr
0AbGSA/6yCmGv1N0wH2eySIjT5BKcmKpt8NkfFV+auNe6+LpMwrw8QkKnffKIVzcumUM+qCleNrR
jljaDxUw+bLZtlYTHUHGhpTSeaI+M4IonQBzbzae+d3a8ZijNkcpvOKYNxbhMWtyAkhqoYZQ7Zyw
5nZMU0rgNB/JdXcppp3nzit4JTxFmD0i/bwqAxgz7bhBfuT1u2m2jGgvW+wLQYhvjJGlg2d9WwqD
pnufCUGomjk+1qqb8Gk6rX9mrbdg45DZTG9B0ZT819n2Pyelf4pVu/o/S2kvXqr2e+DZ1//7N+Ws
6f1Bl4sxOSJCBnz/PicJE4YhHDRa06wlrrkeYb4dlGChOaDOENpCRZRMoylXvilnhfUH8AjOVRY1
/L9QaH/jnES77sfKx5DCpspEtvtu0p2xjo7YZgBZLPSsXQsrP+NmoZ95gZZDstjLBJ5nMk7JaPSX
liRnOSDol2EbfcFiwnsMk5lA0Tl9c1o7weJXNPpyQBCPVYHGFbjBsHBukBU5AXHY9imeTKRwA8L3
p3rOxQOHKmbDWWlVA8AlTfBqVKDW3QLbya8m2XgfzboZz8wsxQNJNXylU+0eq5BNkAZiz6aratU3
DIRdX2+FWsRjXRntHppvQYfDntLPoS6jvdnPdX6MxCjfTJGxjRdwAI4jiF+2C9VdQt1eoQUorLag
ccdLisPJ28XlWP5v7s5jSW4mzbJPhDZowJcTWqYWZG5gmUwSwuGQDsCBp+8Tf9V0VbdNj00te2rx
L4oigxEI90/ce+6jhWafL8zQ+M9CygqA1Hi7sgqX7evKllV/cWA2HZEpkP1Ceni24eiwDxjKxMWG
X4vjdKIIygjECQnVTKyHsHCG59Lr87cWx9YH+X/TuRRtD2a5jc6s0YZ3E7dsO0ZPkW8R39aS3DKp
PrZZPTbr0QJHzZvBKh8Tc3bNsRd9eVSFTO3DTu/9yRblulA9c+Z29rc1e9/7MXbUU5QsYi+Y0DKG
6VmCFSDp24Pss+GOCTfWBJGMGVVHUyOZVAXmJhs94RMDfA0GxvD6o/zc5GOB1yeDpOIR0UcVMnS7
cRyb55gwVQpbaCAf0K/UlQPLok7Nw4+qboqdyHTx0muoWllBjLJflh8lC3ncOKIBJpNWl1wNTrWB
esBcn6QuQgtFgn8tG0EgjzJ/GuYS72SskQzcnOjsCTTy2d1gj2bfTwN5hYP/EkcCyEgFMqDBXmHk
LB5UvswAODNsJmgFWC6g/AQh0eoXr15m2A+TuBCSEx/CxPhvObzfhzgkYY5xYE8V4QwP7nRjsqCt
PGnZFgTjdkfdxPE5rORybaVK3/quKH61mMrIGG8cwiP7Vl3oK6zvaDGwnXwfYE1Yq7rccV+GDykp
cqdZV9mmwHT0VWZFzTqQ7eo9t2e+T3VkbrfHMq6LglwGxyArgVfCPhjb9W5Gv8o7qPi4XEo0FHzd
kOyWNsiOOjfWn0KE4jvoTX0caLQWBs09dvsbvulds70Q71l/oXxhfcqkfnksxMitYLvWVP41nseA
EUxoF0ocsdQ7H7gy0h82ULlLZkv7nsbLehbK8oj+9vIHLC8kT3CVvyeO174wko76dZYPsX2oUtfb
mFpUT7A89OPCSP35pmT4jHmSwRvZNiZfEqNgLpTilMRhe1FKpfuJHoTEJDu8hwQZDPhwBn1Qwkyn
hY7ttjYiJmHC4yJhsN9RuJmBf+PUk8duShbajpgzhv4OMSe5nqKriy/lOttEjVXaa4F3ZOHjDPMD
ieNEbi+bA0JEUdrU93RFgkesl/02BYh45Kf7d0wx3U9nrMO3oZiTvej95SmR0CCClqRDqlvaP7te
sA6LLD04o2R6ljrdQ5tE41Y0jXnvIhX8tMU48f7GHWGozqJOgsiH3QQxbjMSPnSm/o2fAcq2u0lR
UtJlxW99A8/KMsG8sXKgpkzSR3mG0z/9nk2RqGd2rfgmlbe8xIOKXzHivBL4sxUFBYC6tOOSXhdg
dw0QNsOAqeKnoN7c1GDksbZnzAZXOCrMA8XafAe2DxUX2pUs0g+JmrPntghQyN4axd9Tn2W4zEsX
uFjiFn8lUzlPke7L3y4wM75V/rlBX3Dngn3eRDaItDEt+nuwlYSZuD0ZZk0U7esxz39nUzs+BGXY
XFWaugfjuPOPQoOHy8PRbV46RGGwAhQ9BdDEarG3remc3ewuMMFjL8PnOWP3WDVT63wIQ7W51m2V
wW7pqmPecd9ilG2b386y/AQmEL0MVaP9fQwa/kgNiPuJmHAw+VZr4yEz2MEiR+/61CJJMLHzw1BK
69LZ5fzgWwvSnnCB3TmHaX8Zqsm82GWSn6siHT5BWza7ihvrTtK90NnfIuWmMV0uTPPtJ68dWyYO
5lSOvrdBanKXe2X+jHbagSJVdPeeOwh67wiIWFRPy5+qccdLgZibky3xmm3ramLsfau9tqyyc7iC
1ppAruqw2IXzWfa5OFbNUu/dZvR/ZnMpXmml+lNa8qBt8evEL5mU0wNbhv7Yx2QqteVggYYp7R0q
WPuuCWW6d+phMuRE2zjk4PWl5B6jBBplqfHfBfPBb9MFHJQhIq+L83cHcPKWAWb7XGK0/+UPGRkh
jsjdF+VLd+O01hKua6JVSYMd/asN8eD36LOEW+WRqO9Ui6drCCMiZOk8f9bGs/bD5LofRFkuxJSQ
pbHSrvJ/8FtUzba5oA0dJEb1mt7vICUtMHGuRKDONUHRkCDLk2abXi8gjeyuHLbFksrDRIbqg4Nt
4reuxW1d2EWMPJoQEo/mkGLLihskxpWu5BMLYXGegMVdvGJYsIwu3YOTOfYJfIt79KyufJ4a411D
v/ZPHumTa2yGOBZ8j/RMKfTsgA3JnD2d14KaLGuDJ7se4q9+BLrtTRFPKrkNqOjgQDuPLFvZSpK0
mr0VoDhPjld3n/aYLPuo8ZC6G19x3Odz12yiyk3rddF1Htu8NnFPSMzau6KNgjP7VbNJVYKl1sBw
5hIPu4eoADW9wv2c3AeVzk5F3+kv9E3LkdRGIEDs0X9XPqYH8gas97RHJmYQf8GqlN1mwUD5lOWu
/BOKAXxWZ4gwXLukUpxYmyM1QSPyXRr0ROdlpSkR1u0c+RDEgDOgDgNwkvnWW8ra+1dGxgXRt7ZQ
n13PCRhZM2FJSa2OXTU493NkWyetZfhocsufiAiW1dFP44YZWBIestKihxtmxB601aF9doZWHEuq
tx1fxubOCrNxz2jE246S+E6LjvirRyR4W4qqfhPHyj43ai5+ZtxvSAnYEb9lGVH2RclguE7n9FqW
UXKI2K5tGMh4V+PccA3ZSCycn8KZEv40ybUbluhMkrDh+xuQ1+r2NZ2byor5ZcCZfpqFiC8eHvAn
+PNy23AZk0LUQSzrMvfe62fzyNVWHWdunMfMjzlbE1j5LDOhb5KVNzinHnDXvK98xgEsG6JnB7Tn
G2IZuZO65qGeGquHo4EKcGuADAborYsScaKvWwQCMcOSjrvEk/0HxMBxoxeZnjC1AqJzK1Kep76O
iVhzCDlqhugjY4fystRaP/etVx48go9+EWFAmeiX5ojhwuIrXnqfS9CWuzgg/6KNp+1yI8VKyZlu
td5NsIJc5tnX/XSwE8eARUujcEWUltlpYU0kONnuEUrEdDXxjJzTXTyWWLz/Wz83ciuVrwMCFu3i
u5yd8VGyYP05K4UOwvXjq92r1ifgUCZsiO343rqhTHyZ+A95iCITF02Oazyrm46UAzdOniUO5I3D
NIvlPo/DPiV1U5FyH7FSHa28YOTYDtHejyTKyAqQ6S5PHZtY1JHSWrcw3LOCIORsHOqHZhzjW1th
33BmzlWkBVKnxTdm5L/JTP8QuncjcRS71qYcg3XlYQh35JBs6mngsSE34kAERHCh70vydVV5N7qq
TLf9nOc/kJxkhFXOIckzc7IxLts9AnSgiIQGeBVypcpZKw+BBsqc6GwJjohVUJfTqRpmsWFtnwJI
K+ozecPltitdTvsS4N+6Ae38tjRuu8tkUCNi0dwnmhrV2mbMAB5BRAb38cB8pqpBHxRaRo828+Ac
4HpjPTlxWp0Sb8zOBDQGH9qgM/WXHJABtuBryWez6/HuHwflFrsiiev7nEf0WGNuz8ES5PVhjAK+
6S3p3VNeE5CrHct8BzIEtSwHphXRCBPSHQZxiUF87GNCXU5htwh/XfvhVWUhnDtmZF9BB6CORka/
NAnUpGwaH0YdgLhdmN4xmiJJC8xfuOsYbTQ4pJU82VMffoHHYb4SubV1CPhyvZDANn2bmIX/lATR
o5cAs2ONKX5HkAT2msTWN1N7VMDSNBuNquJXjLXuKfHVcm8PKZ+37ZeXsBMG4MPC0Cbiyt+pxElf
QZbo32Nap4/cA2LvgT+5mrHqv/yACB2+FcGf0rh4PandH1snbn+Vxo7eGBs70YYlLDrjkC3amyBI
ZQIRwkA0KpAVubpse4R2vMUAeKq7cUlQsJA74p+tngyWWI50NxNo/MKqgX/0C4HBA9VZT7YQ0lI3
78JfI5qanwFshy1vfsA81g3XZGKw6oD2eEd2cf4W9SV7x4mR/sqBMLgaQkbycIT5AsLkR5Rm30oF
etWHNq75y6vOuOcWUtSG2aa1b5sgVqsG6NkrkgghtyhTpoNfN9k3yhlmx3xosJOrQrxHPJE1C+Va
70qiXl+tpJ+Og0gEtnk32vTMlBkV1sVERE8833T2IzkpoQ4A+bWz0QQeesO9T1ThN78X7lPZkH1n
R31yTiLoZsS31/bFJX2RjjF4KGa0+hbDLVKz8YiwdzFKv3mK3iodrKI7G4aIOJJmc87qBaUwk1gP
cztZTytAodNTqYYYjSA7gq2oEBARUoqTztOZe4f707m65BpClrKiP+D2wmsqK3NixxWfNamOpyZb
1IZuaHooSz/6bImD3Xg+4LAmhrAeFv7WbueWczOM1pHhlN0EgHNOdeOP9zpX7YHdSfuJQi3aKQoy
QnkEpz05T0hp6+CDn+0NK3YSEalGbvIqCMu6hsjjrwSoUMcZGycT84x7F7KSho0h/Hu4eOQgd1a0
QZjrEE5WdXujinBr4qF/DgsLSV+SmXeNLqddW8DkrhPw2xNT5QMvi6xJSv/SIo+95mkpi2NAY4uU
w/A9AuX0MUtvUaulX9Jd547eSyL6Hkabks/xpFhtBCzSusAheceu5ZtnNcufRhi+fwx57+aJdOEw
AkI9xYH6mJA/InglvWZl9XAXQgfhckxYH8KdsrzIuCru1XR7tsRCGCCLKuA1qYg+kcHGBFo3s5g5
dlJ5dnkpewJ5h53IhfdG6w+OIU+Jr7PNC3i/5TkGkHdI9NDvCKJqr5X0INYE07AjAlSp1a1bOo6C
nIsUddiWMmRcp44LzK5LholfntMvUAk/EZcG4dbv3OEnMr2FDb5l/3DLvltZlUZRa2IzECQfVT+G
PnmuSePaRq0zX1Ves0zLScxDLVbVB75suMIspPtyHeqZ7WTqWMtXFMnX3pb11vKMk+10OFiPziCt
a133DYBJp/9dEHj6ncnbi25veFpW+snOJvxoO9/kwjb8SpaahLbOwNNWqhIn4/TZfqkRQ62Kv/7d
vhqbM0Sc6mA40w/zHFrXgLwk0NsMg7iI3Xo9u3X4Qbx4cm+kYcScIWJTY6f2tUVPwCa1vtNtWO6L
YoAEz3jsbhTtADcXXgiaYPpiBhOtD3RbTZ67ju22eehR2bS3s6nnxA6dE7pE3BshaQjP2pPpz0zW
RPe1etzwjaieyjES30guWVS5WZNdQjcb4eM3Wf5FbCfpWN0ImQPuEHy4KBmje0/V7l4qGkyu0nZr
N857arOpTPyq/IpB5sM2QpnMzMWkOzOPiQNF3vYuDX7a6mBX1P2FTGEFmtsxd1u4xUc9ROW0dY3X
fg+Z0tEGG8sEose/JZwyZCgOi8GQgTs8zXd11FkoeBJbHBQNIXhGyzwBm4QSV+R4dskOk/axgM0H
pqAwa0LTYnTtBKhlWxSMSDqZkHDTdmn3I+J9wQFBvOPGTgDjMAH0VIi7Mx8YJuFXUqfFKOdPk8sS
fjgJ2OREOvE2h5WjV12e9L/DCDfIina1vU6mjB+8oc8d1pH5cBaN9NwfjAbnhwzS966bC3fiXyHD
CCilCniBJvPuCgc/yCZvc/us3SU6znmHMBZxIl+/sE3Gh7kPeRC60XnxaGh3fTWGr2lSAJaJYKoH
jlSnhgJyhw+IwrXhTrlr4JPtRe5bI3GeeTDuKsiN7sqv6+kdm7C1rDzhINyvdZTvK4KyubQmr3gB
x5osm5CJ27gdwr7a03i6Fzd1SqI34jTZEqc6PcrRBY0XTv13pWig5iJeXHD1jfMnjjkFx8oJX9iX
2Ou2ywagP4KLfkyy+IBux7mETKDkatbj8DJ5fbhHBZ7dqUmUn6MgFhh1IlAmdtjLY+P446PBFMMn
XbcVu9+hApXY58MaeJJ+1IgDcDAu+bLBeM9WXeSAiApcsBtUqbDMAzThIKeYXfZoCJjlpSM7ryDm
BmaNW6c7L+HZSJ1oec6angxmk2cZ3ETL+tN3tbi39WD/saF67krX1mR+Mn/GbsOif0bCteLlMJmx
m/iuWgaAw5mud0MEam09I5v8iE3WgOMKSQ1Vg/WNZGDcwgPPkE17jeHQn8qnbJnDnwuI2N8EqWY/
PUKhD7Un8+/Cy5Krx2f0s2V0OWNiMc4qtwhNWTvTHJ/TpmF62JbOw+BDZ+XRVt7plhr+VkTa2/MZ
jJskQzxv54ZFl/BoOQum2NThumIgqg3hGlI0QLoy0KZcEvMXTR/jGJBJ6iEJXfmr9CpUoV1I0tLi
RTS3yZSS5TDmPl6nsSciXZrX0GeAkubODfEcldvUZyojvfxPY9RuCfXLcEF/NSDHRne990bnlFo0
OKr4cHWef4ukoP5Nk/hahEnKXMCmF5ED69PVkETAUmlw1ylspPd+JrBhheiRGyEdbsZvjDjBW9uF
BHpEuqleQa6Zk8ijYNpAF1J75Skf3XHUt8c5bW9RJp0Jf3Yj7zElb2nfc1VCT0xCX1wo00jjzhlm
rvCqoQxPi+loRNcBqY0zdP+WK/dMMLEC83dV26Xgb1j74ZCs0et0Ym3ZCvw2E+my2apZx2crLany
EjvVu4bs9B9FFuQfXZQuzxEk5+dhhm1pJ7FzmVvCPV1EziQm2N5pKNwKQ7MwmkIfRxvVTShWQ2Yw
6y5hNLzYyAYB8Zfq3HeY1Zyhc8pVhLr35MadfuuWWNLNar1NWJTvb7E+27BR6YNMGuuhDVJCO+Di
fhdO2dx5+bRsKefqI+YnWI6d421xwA0nBgf1XT2W4RsycmiWLG3FIehDOC/VWL41uVu9Zklg35tm
4UasdCN24QDbbTUMlvMZR2yFfE8kOxTQ9g9A0MVWuwVRvbKCYFVWMLGQZJPGm43FM0hid4NuqX9W
BP7e0RJMUASh5CPkCO+CSQU0QoUkldydr1Dn1WcZ4BwaFsZZK7cr/B0LHXUaQWU/UhHbhymT6SXE
IuBu+qh2IGC0y1Njp7i1Mreu1aFt/HQzB03JU4QI/y71Aliei2WP0yYWffVJvaA4OyeLg4+o3vil
JLEsOMRhw/y0Q+hhOUXtAJerQ1ThZYC7wANN+TZH0XRhv8iyghi+kmVMQGAAhOBpyjfd5NflXtKE
F/vM4cA9NpyvVHqNh2lBGZtLPEzAeINXJEqjKzznE8DG8EbWIpx1E3lnQh7rXwRqDjsXZRV+oQHh
LCVmWzbrwB8pLyKgm8xUM0wSO3RZJXDFuSNqKeyxoi5ucBNpJak1bACkyWehuzRa++hj+HeiB2eW
2FvJZ2AQsa5avdg0akCkIKvNYUcVg3eNIPUivas9ekWUIi6/o5L+pI8joYfe2goa+YKxNsHvZwnx
SyfzSAC9CWV27gD3BQcZjEhBPQRX05o41BsgWtSMvk1425wlsxe/jwClUcOCFTEH9qjJvi6lSM8z
YTfBD6EzDuVmicWzV9h6PvS3IQBuWGshSGRAS9xD6l7kzarid2ROODx+1rYqYvVbdllWPLHzqO+x
5pbTLz80ZXAIoT6yBCoL8xtvUlduBqH7ZntTk3RUFXGds5fteNVZ7US/wA5MapcZRu0bnccKaVjt
TltpQbrdLNkUPVnWYCNDoard6sip233jQ/xadXHaOXuSnQo2a5BI142K/QNvL6tL4t82leib9Ggy
0NC7lgD4C9zm7Nek4YCB1B/dYxW23alD8f9Iz8QMHUzouKZMr99xKhTLme1G80Q+d/G9dEO9Lwvm
rWi7eIvT5UCNgOpu7ugOkWJ4+jiFNzGuXXOdoQyCbdfMZrjzGr/84dtLoQ/k9UxqM+C/nYnlTXvo
wLECqMe9ki87S4kG4zQGjFUsw5EhukcbyTKTmVrf98Vl8kJw4slAKVRlVfFEX99ugDKHx4r0L+IW
EjdaASjwPhlUeBgKMVl6LS8h7dLgTF708L7omcgPgoUxtxprPPmNFH+qASykTk1+JQAKyDiI52KP
6yJ6TxlPcCLIuPwz2Er91BmCQnbDA/9v6RtvO0iB/Rwflnu165j+uSRqnNgS74ZfkSUXJaMKFxNH
7T2xKo6eb/uvh4lx59qzSk1qaD2b91jl/p0JY5zcLFcfGb8Vp6luXNLC3eGUl5l7CGKrYf/mmNeZ
ceyF8IHu5MqIrW1U2Ts/ZOphUkRtiB0kfU3qlvcC7dUGNz78V4qbiLjYYBbPczhKdrgtA5kKr6Zo
qO69rmho8721H6XWvbCkd8hlNb3R7t4Skwh9OZLz6a6tNtCvcehhn7Fkq4/MiJydYFoQrslaJRe1
xe11kpaNHxrZzbBj04VgDyAwU1IvfE0Wkq820tbqrpzi5HVQoBFLXhCLBMsU4+V2i/pENCXuRvtN
cnTTyb+6qMg3lZLEdTEt0A8ZiWjzBmds8EugVrtXyUS5CEQkPjltBqmuUENpo3AwVXM/xPj1tq5T
OZJ1eUkk1r+uN/5/gHT9D4oSDW7moP9ePbPKOyB0U17+s4Tmrz/zd6mxT8IfWCU7jFGY/7PU2PP+
DTYXqADhIR4mtROTyT8kNOiTbQeZsUcI1Q3D9b8lNC6ELkwPN4GNQwOH3eJfkRo7NyXxP5TGiJiD
CABREAnbC24LoP9iHfBjaqAYIRzGtbF3vhJ+D1XVApnzT9J4GZO9IhNUVWswJrdUkiD1DQXGMhYo
htaQUCWcUNUFwdO//hz9T4uWjFySQ6F1saWlz0L5dCOr/fdPzv/6mn/n//zU/B///N+eIvcfAvXo
35CEY7pybRcBe2D/Q6Hu2H97oOAY8qChRMe+8XfhFTw4tORotUL4N4jbI/dfemr+sz49+gtqc2Mf
4kOOEYZF/8Ueh8E9maxGf8yVaZgkUca26Ai71EawYRBRUJsQfdccsxuOu/M4mz0guiVSTcW26KmX
QUoyssfso+k+0J53GMCnXKLa7Er27+kGL7sf/fr//5HCSvV/fYQq/dn90vmv/2R0+OsP/V3Ad3Mu
/s3ZYGEu+48DxgptRHpQFLA+hHDfSFv8j2fFinFHBA4UwOBm5vqX+ZY2T+d/OmVCB04D7E3KchR8
YYwykF//JwBTM9vSbYpYICJFCdV3rjpJyeYdadcp9brEdUxM9dNMSGhG/aeJ+lzbDwn2IOsxtNqC
SdiqVh02xjX+Y+W7SMNSr7euCP8ayPJlzOK3PUVzwbrrjo7cZwofpEkWdKt+hoyLvH5kH/bc+4Ff
WNvFYsw3nioWiSSZpjGP3LRCCzsDsPAH/ATdZGn/vtbGMdcmKRxinYQNWBzB3Nx9270e1XZWvph/
4UFF3Z6m9DPbYly6ZktkX+fuG6ARqj5V2KUg1OqEql+uEpRX9mEOfOVQKfqJkEQDEcjUNiwWPW1v
xlk5cjeIYLmU6djKu4Zpb37q87KJ6XgQ1tS/4Boo/b7UJnniw2P9OJVDhBgLjWB2TfpaTO9gJOYt
27F042cMftAtzqIlAspqmkdBBNMrP6H6xNPe3Bnc0ABHGYeoNUK8sD6Q/zyfenjXQEQE88p90unx
uxReq88zleQDO/MA5ssN21Bc/MXK99IL4/GHhmZyvPlatksf+p+S1meNVj3M3BXBMnRRijCVvUkJ
gx2Qib4hvevAfkS+zXKgk6gxifEq2AEY5jfryi6nbC1H9OPJhAzjpLOufp9UBnl8mC25SRYVnY0Y
DIaCJVp6lsYKV4GsYcDVPV5wSBbsPoug18veWF7ku88dMHf5Rm6pVfzpAccTVEJSrFeuDFqWe5o5
czt7iHCFPM1xfQxzUoX4pEkJOnex28ove/DVHiGfu7FJTiLPJkjPo0vRmJpQPI+DXZIDlM3MdFHy
RZs2lNY9sWL5pifDYt3Tv5IDcjPmikk+LPPUMZiXmfqI2zHbkQZS+GsnxdS++GSvrG0roM0y0oWl
4CHapk2wElJYZ+9oyqF7d5HPIyoL6UBXCYfmK3Pp6YErgKS7oFnyl6Uz44ADpMMOXzlNo+G01NP4
SC6ppFtlUXbfzh4f5xaDJHyPrQfAI9tWWU/fN6duDA/PqHXpeNq5OJ1iMQtxL7+OCjjMGn0+KodK
8lec8y7qQnLnrNQiPS7rBRg/aZWxZl6TD7zKjgX4GzrCavxUTuntiE1dDskECP80WBk86MqdEvc3
32ASwyqTnEi+6K1LBqu6P2A8GdkCkxcZrwDad28qUmGGn0OaTdsl3raPvH7Xo8RBe8QO6PeEH+pd
LLk6AAmxfozDIJO1myzcNONYl1dGweUz1f6yTkDcO5tEDNmuXmz0lcPgEn4UiaW/lxms1HOXVYg9
3IEZPKOxRhv2bhF2monlD0GQwzS0mwi0wLJmrIUguMp7WqFhiQ/LNDXb8WagoE/zZHwFrJHaj7Y9
sBDSQRmlv9Bfd++lx3j3DKI7NocUWAbucSuy5JZhppdtiE9bDpNb1Q5oKMtNLsbPy+sYx/mTQybT
e8ta91XP7vQ+IxrdSDUGNskrOqWTcSU8o7TGVr9GdhSrbVUH3daRNnG2o/H3OJrTh7GMXGefDn1I
/BGOJaAVDaudobDiS92Y4orCAfgvTMTu2uM2JRSw5n+rCaGq3kTZKDfRTcrHAzETaumnzM1wyZsd
jpbo2megRTe+iqt6P7peS/zPDMllHJYOcs/QxesqKdO72JaKDOnad3eaLZD70fnLiL9gbllsOjVn
x3rsLSD3MKv8dV/d4nqUQb8oWUZz3HMtbgQS3+jK4CB4Y93PB+VWy9gzXJlZBJoWHFFlOQLkE4it
4Kfb1cXD0qSCQGUZ4pcKauMEK6/UY3KxEqMI8J37S9El5rmOBFrPHv73xi4D5wllmn9fEX7zRn5n
a/2B7x3LjalqQkbmVqVhxXmL5Thz5zIh9lSiB1bEPuqSmyw3Q7qpxnpJ3npF8wkWSNjtQxtyxKza
gkHPbsKqNT1igy4IgGI4se/zPPhY6gj5LD9jste3hSVDQVW0hypDDoBkiI/PY/QHRGm0/IrUMgs5
Ys4CwEBKCqL8KdTGOi9eU8mfCefTCcpGR+BRUke3xKakfgwDNBlr4Hl6M9qz/VjHMW6mcgj8R4hN
nOTgTVM2iNX0SqyTG0HhIcfvd987wY+Mc6lFcmlu+YdlubdvX6ZUiljter6eJLTFmQvQUt/MhQVy
6vsG94q9TUyRXdOBkTc33Ijra3SZN2NYg7x5EG1JqGFfR3pa4YvPANTqXtdfbdjffgQxKwRDyyI9
MLFpnEM/2ljOam8gMlTwa+x9rSpAUdsS+8P13gd+XzpkQpP6C8IJrBVjUrYWwC0i3LcrV4cdINGY
jCdeWpeo/eSxB2RfHkz3MQvQCr+KVTU7EwbMsknYjUh8azQwjbmy1cTJ52XZxsm0t/Nse9nhzRJb
vJw3tIffKqZ7NoPNnS+d8RT3vXF5r5DIH9PhtnPULlyer6kmWLmlx+eCJmsmS+Ydd7zzYJRt4ZLr
02i6p2aaOf6Kcj8tmncrLXNqngJc9OeoGj/e4yZjoAYtX1g1uMHCOdxokdV6FJL3RnIRVuu8Mlb5
KsguMluWwEO/1lMCCq9wGTczd5d3TOJKHHANQ3T+UZXq1l3CLAR/dIFJjPKxRwAmMUwjsarV2kEt
vuVO4mMSJVvoW+Yz0Bq0Tn13asNE6GMTLI7Lwtz4vypnwXqURqIjmZbI+fFpkGoqr7Yt5EMlOPZW
DHobc6hsrw5WNSu2R7aoTbAOBsHJ7VR+8e7yPcct5HPTvqL7s18YXfLSANeJV7tbeHqjsqyeMnJE
PiY4jz8LQu6aazKSznmfcVTdss/xrTaqwNyq4ZLkW5dd/EM7LZjUHDl50TqOZJS/g6hNv1Se+OGa
LTzWqVkmqX8ZQEtV53ixHL0auy7gnmpt1Poitbxv/iYm2oHJq6e4DsBnmSilKnExtfyop84mvpwB
EIHTDbarchuQ9Gk2sfbmo7bsgJzTfmF+mAEaDVe5IOFmZYkF/YfHLfeBNo5ohI6IJWs3sadVT6On
U4Q6mAOn58Xtpu8lJ1B2dqob8pSxFxZMB5vnihjsCJNfI8LHkSCFYN9nTsMwDS1zs0XcJ3h8CcUQ
O8Q8YUngbycufMSaTG1LhoeOL9XjYhFFTC48ie35SDu8lkhFNSBF2fL6rEGWm2CqsKR2A3HUPPgR
R3ju+2O4jTNGItS5RdScuhBDLvK6WNTnzm49q917ZAaH5OuIKWHK2rgTOPwinF7mwZfffdT35I0a
NgeMQUcLHiPRveuYWBRK8EnHz6OrLedUGSQ4TNfsqt6NVYHODhSt7d3NAI9IDeszoC2ij7trXaZw
IgiLT/qrRlv0OcA7pQbhn5+tZ3h3X0SJpfohqLIsOemgAb9W6uRmDEiDfR2oqPlsNSPbdIMSp9oS
jme3Twa2Y/tYLuHCIUnGrOWsRzduRUi0rhe8tsuEPdhla37ugxTg0hiWs9p7wiBvTzqFpw6N+/SV
wEBwTka4XrVuWuK1V0M9iledCWHtRqdyLwElF+lPRVrhvl2sutg605jhFsRxhFpYT+zPb4B0JD3/
ztF5LcetY1H0i1jFAKbXbnZUTrbkF5aDLgHmCIL4+lk9L1N1XfZIapHACXuvXYSiOmyog86brlPU
oWpZyVMO+5i9Rs5Oaj8YbV9nMxliQxxL0khL7NWOop4sV8Abyj0OghOfX4cO73NM5CGPhb8y6tSq
/08hP7/B8KLwvbvdqGwe+uIRdUWgviK0cIgOReubQxL20n+uelifxyJZB3lFMJz8acB5YA0K8/wa
E7QrdsM495AFOxMpth2l/BW07ercce0G5DwXYzw9J6CzvkdaRNwrfrk8DIY+4YI8B7qZa53it0Hi
dWf1GL00peOoYwsbTe+SZFUPtJ0EgPH/Pu/Qpvi8Fhtx5epSW5WKe3+FbHO3lU3P7HzqnH+9L5fg
miyFW/0RBHzqf26RE8pXosW6pSqplYpzjZo/W7luJ9bq0IrgC18RQUgKtaL4E1chVsd5wrGNwQqC
JeIKCf/NMt4v+655ibSKf/AzkwER9ZwHO9UDOONsmtDjk1wSY9POu/lDu7OfP9ThnMYHTiWWRgU8
nODBS52Q2B9l6uHHbT2g3glXRN0LK9arXo27NeO1cSNFCFJX0POBW02q+mIK9sI3fYVaDj1SEDxq
OWm9hHcG8hOtOBJkZC/bu8DR4B6YP69YC8ak1I++ifJfi8+HfNBa4i7fNYvdipNVfmgyUCesfFZ3
7sMPNlT+dGowJGTlHOqT2obidbGxywY08T8aHS2XxlW2/yEQ4mekx8xfSESc5KUcWf/vdMLemQS0
xM2WkhXfLkejiP177tRIUC0RjpciDgaH/XIv9hChmyd4uNU5HtvkpOD7HXIh4xPugfzBM4hcXXww
P1grswr3pzzsd3E7oIFa2LzvSk0Jx8q0STFd0b49RzbyCGpUNpghbWFMIrBQVVhJIoNxnbAjtzhg
xk4fqHWXL8pQSZ46Muwz6+XtHsk4kv22bcK04O7y4yPVs/IAAIyo6mDQEbrGJcgb3aboZn9KnoX2
oQ89Wgoz0fISiGYpLuAxle84E6cN25FgKbCskd7DUSlPeTuZS+Mk1d+Omj/L86J5M26bu48li79D
rNLoyaze8MAusqWBME1MQ06wLi59FxRs4tV0LgSPTk9gzlApoClsr2EnzOPqdWb56oKtuIZlQtJf
vcXyLkkmfbfUk/1ngxrjDmYC1hiF0CeTFn2JbFWXeF5a5j6ZZX3+2uKx05o8L4BgEev3t8qUbHt9
fNn48FvbkVOL2vqfDeX4kQexjq6IRKTY95WL2W7EhPER5TfkIAlbtzwgw1TGChdxujMuxWkR7fY7
RM/w5qzC+8Fit9gXo3VYdJIdfOoSX4MARopHactihku+tI8EOPIbtQmKTjIkp5zqMiKxLiLjmd9I
tC6osNnEnJxWrk9EKCenFCl2CvNrdo58wQl1lWTxlSINMfeLv4T5Hh8PcQ1J6ANbo4nw9qocdbBf
APcDPpwmdzdJRFSfIezA8uQmjESzSlH7v3gDVSzgTNRM36S9F5+w/ek5DU/pFa5591r67DxpyYe+
zagD5/ap87AFEC1fp/7BJ+rganHGjydqgf6vB+Qk/pwdHUUkdyWRIM+7xpyB9eqhoms1r9xo4a+B
NS8p7jpQO8GK67NNu2S7jt6o9r4K05cEQA5gyGpEH2n9ITpUGzhR6MJwRvaY7Ja7cCNnEU1wF4lL
HrfdJ/pOVCs9Cq7nwt4AqapGYNbeqCdUyNz4Z5vq5MPAk1wPuDm2+q7CuqXh4qK5ykrf0ezIw+Ah
wN2Iz2cIHoVa9V8rRI/Rj5kSUXppcYqVLn4WaK6b3eKvcC8CEjLJ9PXCMyHQnd2z8wzfGtShmYoL
1BPpovrpkZI4Pt7c62yLIzxCHKyk1am8yaEphMKML7By1yGzy+ioN3zvPDlYclashRvoRe7mIQoX
xtvt/CQXpglLhBbzTUGSxu+4yuB3IefxTmmVQLArwzi+eu2WvAUutQ9vS3nyw6LCORLnL6GTJM9u
QPQXdsOlic6OC+ZjJtzlmoYlsAsStDqUfl314VjZnJtm6eXOFjS9yKrjYONejodfTZ7U3g9Euqt/
10/smTgsBPv6IkA6APfPNqQH38YR+75ME77UmOYn7sr0DVuSQ75aWXfAW5bavkCLKH85eXjT+TBu
eBjzmuY/RVsB82lOS/5y5OizQ8QnH9eaOF+UVCSUshFq//VcZlndAqa7MXTp1h1nvEpwKg4obaaQ
VA5pl1+HFsIOMkrpPcgy1yHL2K4nu054dTt+xHPdL0+VJWb3PyR15jnhVtoeS7sxDYtaxnNrE7SP
Nnek/lmWbo+VQK4iu/lzhgNMBFWVmQWAMx4QX9XTY1wGc50NzFEf+jls2o9AKjFAljLLTZ/f9tFG
STxtCcYCJ2Lm60fjd98SI8/2K5FHoNqNOUoxeWzcwbD46YudCG/cOTnrkWfE0DN5X1s+H4uKJncn
LPG6m4riR/A+YYCaWLvguZSDWz3ZcJhFTZ9IlGbomwKmlP9Kpixo72P63+O6YJLbdaBQ7yny+3Pk
s7k+KqbUT7zK20eT5+vrnBdMAka1SiRYfYzA0cVGd4PmitPWJqSNR7JS8CYcXRxKaBOfJo6q+0ot
t1MwmhYDeJcH5LCmskrOiEXwamPIKs3FV7xqmZJr/TkUPlpC7STzc+Bv84esV7fapzYR1SUJth7X
OdSJ90YiTtkROqzTDL3tZrJxbCJ9r2Q773rtur/qqVLiMLdtuZzBkuj1Y/OS5ZfuE4g9nTvvGxlM
EBKJrqeyCLbrbWnOPGlYlw+AqpyZizu4N/1CkpxVJKo26/Ip3U4cp233kldOist5k3H1IuqU8ZtT
pBzeJh2S36Vk3LLrilkRaR7X/ZNf9VBMor79ZfHY3ztRs2XIW5ZDOt/iGSOJv2PS0RrsmIGEZyUh
ku9JGQJuOPZx9Q/5nH9kmCZRgAzOKQlm575dZnPWBM1cotELn3SXumjfV33Pz9U/STShZy1teFd2
+F5PsHIg30abE363SYd8s9YIbXDY9KctyItvNSXiowJuALzGdAb897rlP8umbl+K1ikRgc8tzXU6
TldvwiUCzsgBEE+UmGh23QT/ifIdfBmzLH9G6WRk8jeorfgzVM50CRjPXgagKTgzN1Ue0S6WP9Qg
bOvv01XP5RFUZ/fLZxjPa4TA6wVdkFRXRpr4CFWQIK2tYJka/AbKS7JmLqfznGhvyNJkA7Hvy9QG
xxmSTH2qhUYOmc8+qr/akYLLv+s2antPyPQOOVL0s41yB0OfsCujP7907pcyGOJvBo1kBuYmge/s
+ITBAqFZGD2PnGYohdb0tBpqXiC4/WMBjkfsGMcW6xFB38w8wQksqwMRQZ2Fw88rt0TFiy6X2cda
12IzJVU1UrQR8y1IN/Hr525bls9884t3NchIcWxJFhHhuMKbDb3NX54F+MQs0RR9Zm970TBdqwGc
P2tiEF5CkHXjo+gb4m7HaUNFxbmXf9pwibprFJfJgy4H/5kJO7+CoHHOwCJAqfteEAGxzIV/DVVf
9l+xrJPfC2LPh7yGXx5W1fCJFbua9jbFG7Wzjk7OXgBfJRspPJujXm9jSxf6UXvmoHHut2qCIuHV
OVKkaZbVU4Q8+aU2cmuvzpA0aEqiPvkd8Hp7hzoMQHbnZFxmqs8rPHVM/Vk0WS7wyRHxXqsWj72d
B/DdVVUl3C2twArQbSuC+om/bt7muKhOjZ+EVzSz028LC3vPW4r1o/AjB7q+dIIzvopUZ/Ak1F1t
MFVm7DAwAM5J1hFWiSGsOOrJJ7W7EnN5SXAyECu8jtsR2LXzvQQb4xTdcpBaNTKUoc1eCP1s5pvb
1hcb5oYluVfu5DDrJYHlydO1+IsCrjtbQNOvnCsmW2EP5MdcO/l96GMROcQsb+RpKgfi6i2+ivIQ
QhbYV/XWl692vdFzdYAy9TiMLmMCi5F0bxK3/kA3N2XwtwEglbP7WnRh97MuLIEEpU77n2r2NDOr
Bq/XwTXARKYEHDgHiOf+N4poe2B0HnTXQPvU3RFYKMNpWIvuPKRF1expdCxkfAwQwwujETNSR8ji
GbwT8ZX1lk64gSYt5YVaZn4C/eYn7y1I2+E59HpoXAV/FD3j3UxPjDuC5LQp+F6vcxeud7MISU8G
0RUXpwRSGupTQjt3KIgA/4ysXRbaqjEvTjOor+ImkmfdFVUEcrt6SSAwpQacWe03HrJA6wO56Dwn
wJhUe6WHni2cgVkzqojuRuXid2HCR640pn0iwndi60PxsFIj/81tMqjHekQOdhF9HLgZ/TDS8Zjg
i5wjr5I/UzFMLGAcvbzdAkNwn9dOhAv4hv9Ffg+DhctE7NFMlW+ykiuJ705F8IRTJjqLUBgc6Aln
YBMhMzmbJU0XMpN2gjKEarzUuVBYJqGO70InXW+x6DXT3ZsTej2tvP1v1k3cGYquZji96XYc9/Hs
FDzJlf8nDRRxpqMc4k/+7fIqq6C/GKA5J3ZLy2/rz/5PN5229wTovMlEjil+VwXFvBANEVik3xqU
/BWSia1/QPJYnfskbuXwEoqCraevcFaxqIu6d6fqo5do7HR7rUpBlKm1U3y/6UHQ+Md517+0aeLE
5z73J+eUN72+6Sn6ePnKpxwGvSgm23xb4rg3DqKY9l94qmyPA0SZGhrYmiBdlamnuPWref03tmmP
8DFfRHIAvVFGe8MGj21myKpjv+Vp/pc5FeMyCpb1dz8D5Dh3fJw48+L1IQ+r+eaTgry/ctUwlVrk
wg2PQcU7JKhF669oGqLf/oypCRaVV4Gfysc/3cYOhSiRpcfxOkO1Li9w6cgYoQ//v257Ufsw8lly
tIiSMxKp44c6ag2wnm0JJ7ppfCfsG1wP6hlTkXcumnhkyhPFwMXmQFGiMNVYPlAe5OSuIFQ/hZs2
0WOBvJo1ZemHHmEDWLX1AxC5KL14TBinY1JNt9k6c48PVfk8pbbQy3+G0Fz/Oum2k1d+qeKOZcNN
R0n2zpJN1WxFltZh472biMBpBIwDSs7W2bqvnM08c9L/D9xv36lFBAB74mjWdVnfblbXA5qN7bNv
KhojmLqTvNacFvpiBrV6F/CU8hINDt5DRLdFFiTNWv1huO4clrT3TZYilhQn9OLVgw0DRZiL369Z
tcyERQcTvfzI0PbOqVPvdYsQUSeV5K1O4lCf/XoQh8V1zeWGRgS5ZmgR8n6Ip/cwzrfksNQoxB9G
x1vrixcBoA+N9g5r7bnYsWT/Ez1mzNtrgCltmVdhR/bW0XutBCLTrKN9oA7etjDKHGmmzB2hCBFY
0NYf2Hcd15KckYdZzXao4rIJi08cxsMdpTiLM0OeEPnySR/VH36y2d+YPSzvD4qFH9x7uL1TNhSN
ujcdAlvvTHHjri4gKGbRn0UNleMIXn2InsivYrDDUr3bjmU3LuqNThWUeR9T+p1z/JN1s4vSRttf
E4JRGCasi3p1j2a+WTDuFFBqwAJIurj7ZvGTtTyIsdfwm/D7jlF6Krsozb9iKHtthrt0msUfM3YO
mIomYAYzM+3UL+CB0t5mxQKF8wI6UElcgd3c2yvJB4K077QQEGRAPc7Jzf4Pv6K9SN7M9bMKVeE/
d52O1Wek8g3ylJ1oQcnyGEsC59FAu86j79NZk7Uy6Pm0dWGx7RpVVu7Jeu7AwJs9DWjJaUm7eY/Q
gZYXx5zbrwdnSScULHD/U9a4DKaPq1h6JDjI5Ke3gQUMgTS8mrJ89/C8ofEiU5mZ/ZWcWqci1iUM
xbxlul+xwu+1hesvM9CfMh1OKUNpyZw19NZzuDlUeI9ETcfdn5anhip/M7Y7KEqEmaI49pkl8biI
cL2vc6oFFkwsy2gRmGEPz40JpXnWgDWaYT8MSKiBxSDLiTMjXKGJ4p7qAiO96RmznXHkp8S9AJpc
KtAltUeRbBjOe/sEQ8lyloyssV0JeE13JFUM8omTY6aeZrXLOhDgXunBMMWxTeAiH+MU4nImPARk
wbrWU39MW2h51TWHPNg5e6VmHX93Ih7jDy+BLHxPIzs0h7UF655VJZDuvWKEbe8GMIJcjzezysz7
x3z5R0fW2nzAKEMAMMt+Drc2RDpy6YfCqx4ZpAEtwFqwrhcrk/mm38/T9HtEtANHAgUTMRBnTPBd
kIkNlTPoV2JckAN1BQgPRPPQYOJrRCgrxjSkfMwEWRMXKYWEhIy20crVZRmcIR3KCUtrOmNPjGiK
KZ3Rj6h/Y8lu7FastxNYUBiFRFSA1QTtv6Lu6wvPvqXuGIQnpDTs4qmUZuGeJNMY1NcbEpNxV6RD
AOogtqhd9l3clno/J2K+EZMGWYKzQb4VX9hezN05Tguzneaoc4PDWNWalPqxqBhHdXO9JSd3VNGY
nzgbVpfUeSwGczY5A+vgutqc9ZsVTD1iRksWoIP8fOF4wcDqTi+YRoz7H1Yjh9k2b0X/ZygwVTj/
4TchF41cgxZwXEixbNN9Qf5VhyswxujCTeSG3KAONktndL5HM0DQTdaAUPoafcl4RNPvroyEGQWz
lGOut+uLrUb+X4d8x9Ifpblq3OPOY4nzqtsb61XpcxqkLdeo7Ct8HvupX8vubSA+Pf3PmSK1EWJE
ltZ9DW6shB45Q7mbSYX1f5ekRLHsiphmeXdFNZHWDnlmjP8Djo6Ti3OwbQ4+w+WpyrDG+gsedVMt
D7oT7bvr0yzvx85L6z+lcTHZbfOGMBgPvWV40rI+xu/jdRdrUCK8L8Hc5POhIlSkfKwY1vtHPbAo
OCxxo9yT03V9ekAbthSfXU0RdBHSMc6v244gukxc2PEXxyMMrWSFS/sjd9DuP05DDzVn10xeofH7
9IW9SxtDsBkjaR/r1qI467gtltLoWzOR+McE6G7fHXI/kfaYToUrsnqsN4er0krzO4mmgjwFhqHh
PYMoimeSv7gC3moROfWppXlwzMnz+smGRLdNpa05sWIWyWwF05Qtqovep16Yibn9DTfQNCRwO62b
zO0xtl5RQy+l7E2vzHK6+WKpj+0n9gEC4wcnXxwXLdU4pFmPHcdc0On4EAaJz0n+43+J/DpC5+3m
xyRmC9VcGI3QnJnOK9dD4288kbQ+eVJe1hLw7VExC8PhKliqguhxi32ztHQJnIlOBPuUe1jTVQTY
CGhicj6ax5b1VfozarthSzGT6g0eS1wEzXVCupCffI+z+tlE/Mc5dl3SxYDqTXCnd2KAXVPsU4mC
4HmGZTDsrcDNy1Bn88f8Eq1F1xzr1aubt74lXO6V8wNRxYk9u21eS6LL6mzTauY4n4BwbPcFuXMu
tbdWDeCEJm6XHwKzR/etG+kW31EPxueVE7ljE9WLKc9Gzhr/fiR8QxwZVFbzD1qwpDjbggnT75jY
rDg84pxtqice8nX4sKYnqKnYVjGa10XKWdzX3opHjxKT/dkWWYXhIfLirfkkl4Mt6taVW2FJ9OtV
eBSzX3n/CTj9ut25MyFBbAIisMniKS60PyExKUO+yadyI+GG8BfjDaa9NLFeDKzV2cUFxThw0L91
T8JATjcfLjnP0+IRzkWEK3axO8YgUg8ouKKQpA6b8HuCQZDw/v6tEmW1fgLlYuq/fh7TFDKGUt0c
7WtN3R/c4xIMDdULUysSf4YFz3zlluQnLgRcHSpS19hFQXSB7FaXkGpehazBWJzW23r+za/I+TrL
hZsULY6p61uOWDq25VcErqPvDwlo4Bu/FXe6NceK/BPyb/h4h+ChIOFWPNJFNfA3PBBR5rlD1wc0
qkK6Ba+KcrneNdzhxWfu+3hWD/3cbAUrfT1FFKtax4k5TmLhi6YI6l5KvchoF8NWZscSoawzw9B8
hMIDRzXaKfgnVzl+aTWJl8YBsbILpDPfL0MfiYzQ0Ak7JESd9NEJZIBgF19osqCKmG1zyhMsyYcx
aQJabegxy3yI3NHtBtYXWr7mfgCNLSXvvvmeNWO/J7Rc/vrlw/FKuX+GAsfPjrgjID0pZKjmhGRy
4aG10GjA4myu2O49M+JOajp1HPMBkno5O4g6VYVgzvVyAgYnR5Gn6HhifG6nPD3nCdSd3Qin/Gxb
Oz4adGEE63ngLhgfdtm8VjfPZrnaV1EW4klOrK1YxQzlFw776KR0EF3DIFKCeeYYXLzQcb6iSPDP
c4cJD9ErBRE5aZypSLq/KTfJ2atC7w44HYQU3Ycb5j+0HEvH0i9qQ3Ed3ZA0SFta9jrkyT23utFP
ZK86PqysxU3xM8HFCigeHsGnwe4FVv2QboXL4pgZ9KVLdPOGwRE/JWFor74vnZ22KcHJjGr9gaZ7
Q+DHCfGjpTM+xKVdPmNkxCT+qfYUN32R9UOiQHiv09VJvXBGzjb2bzRNmJBpLiRLWaJR7huobKCI
/B58yBLj8i1b1spxa/5z4yLaQGv4BRXaWIuzrHL5b5rWet7Dj8QARsHp/62FHbd9mnjFaYi2eTzy
9xF3FjLmrQjVY7IE5a+mWFC2eOMUfiCYRZdBTB/VgcZ0PkZtAgxW5vd+FDBidAqEKf4KZHTnjMID
TDT0iC0Bn5ymfC5GRJPjlMm+bA4EaMMs+r82l7E6bMbNwAjgUnAfA0PbScBYHj9LX7FG66p1fHfn
EN0u37B8APADnRy/PYXSWDcPVcVc5uKhJgEjmMOv7wkX73eAg3xiA8fRZqkDBzGaictl99acYHjL
g9fOSHG4VHwejcEEOFPbEso1Q4pzuw7RqdoSgjj9GDl3SqxrxlaYUXdZs5ffS2zydOoGOXwoNdmO
hqHJaYyk+GKUhWluKs0pSGxyZEvGsBCfPHOCFb856VcBrLS2hTQmqdZLHVnmk6hYZ7A3vKY0d81b
7bC0Z2KQwNiNh5B4uk3R7Q5tsiMJb/T2K8tdBpWyQeMVVctCV1OxnJWjhcUCHKi1x9xnboQpyZ8O
bAqhDzGRDO5WX7ClqLYhyRy/J2aPZh7naBsEFwVy7KxdfKpsLvz8knP2XJZ57M/wrueLHJhK1m2z
3Cn+8BPxbPumFppTAl2DTM9MhekZEnlWTbA+DWul7vNEpg9EH4KkY79ZPXp6ZQbtRlH8KpsUSVkQ
OuIMEsO55rERsLgl+VC3VIFeXCCUlO4xQODw0eVO/e5CT/vwsQlffTP6OHQ9FqPeZoszVStbjVzL
UN7PxKBA9KDItFC/i9mz9z2jk/tlLaeO9Y3n3a9K9g8KOctnQoiEfxjxCx7aJkqw5mBwABUxpyMJ
8nVYXbEP8BZ6BL4+jfWMoCjhkpGCxx3PtCfvR+Qs6ki4wZQZnSzLVaB42VP4gdFIRjM/Vmz0PtsA
Mb8B4XemMW6BcdiOBSr2VX+v5/aL57m6A+hRgEmg2jiMDnz8vs5JM2d9AAmVywltJ3tObgl2Umew
z7xukN7yd0bR9p5gXXbZ4K2ubLXHQ4eYtCAWi+lg4aMmlnmtn9M+sVldBiHhP6Y8hsQ/PgpK1Pu0
tnOGp9+We+VROD9P6zyMWAiG8q2Lk/U55vew59b2i6PHmfO9oWXtD2A789OAVO439Ve6nVu/BX0B
juqVZOX5nCTwwbj7IsjAdjDqZ8k9+6XqjbAwgDc9dZPLtg0z10pTXUdGZXqdNav8KPzbj3n+JvtR
MCuhcGHSMg2pfw7YesC36CfyNhiFkIgas9t6pnFa6QfC5mNCK3wX9EH6viT+HF4mZlmnJbZr9wSJ
hNH3mgoDv6R1HwtsLiwo+vTFY4Z0cc24XjoWCT3R11MCljR3xalg3vyNADMMn42Z5jcmkJNzLNSw
pNlC7bryjhaML+1W4unPp1pn49C03yE5HxcZhQARMUSP7yCIgjTTyh26C/hGSRkQ98l7jA7TJ/bP
gIW+0T/4qjr0/ds6L3qsfTGR4ux70x8tUu/jpohIMMZYeYHWQd40rKrm5A4EAZ4I7HDtJwbsuGQm
afj3Zz54cFTMz8TyrzDSZ60GwJ4lv85R+7jGxxlSxq66zBta6YMj0npa2Xd0gmJQplPZPs15SRJC
hBKxeslddg+3Dt/LIciEy0YbCV8iDe647nD+g764pYzk27JSHDnoVSbE3bXKXNFjotw1VhVEBXYp
8ncqRjzG03uwheo+4ZtDisCekNAFPvP+J0LyhmoFEMdyRwUGsKhfouA5NPnSvThpLdyjEydjcukY
cQkaSM7CK7eg2ZtwQQECR6xwM1hdpEkaZzXol5eCybZDqGH9Q4IIkgjrkM8fZw4du6tAxylo/OGE
FjFNpy+hYhpFEiTDo1Oqfv6naQr3ddoO85Wzy/ntUmoMIBwWfnrCktV+QvjJyzVwiOyqQVdkisti
w2Veiliec7PaK8N+9VI0N8OIhRwgvvp5GIafiVQoGuzqpM1ejg7MiMpJWMhyT1ECk4cNm3tBn4k5
vBQ35aEhnHwAKrxOpFYIPoZT6Nt0+K/R8ImRDvD5U6uC2vDPcASG+Bez2hXUUYjotYnjVHKVgJ74
MW01gtsU7sCAn70NjzA+y+Evnpp+5rbeIu+1HxkS3rN8WVqmDGaKvawxXdzBvpSYmg7uAjD0Bl/D
4nphCjm+05T6EtNH1V69FOoC2nTXm56laefUI1Ycazs4J+7/H3PZxEHWbzgV/obeyLiyiht+IZYN
+sYErRCkYI6+Ss/UIE5PBTVxQkGX7RST4tjPSZxwYuaRLf6KHL8bgSQmWPMntqPOMZzH6u8YkGfZ
Tq7b/C6spme1ihnKTlZES+Cjal9j3Zr9NpORvV9Bvqdn6SkgOotbmXuH4Sv2TFnV6oDZbFr/pmFo
6n0OnvmuN6KMX3LkN98IkNeb470ZDBs7LuibPQ7zRVcUf5tJTPxwtmKMZ9zoTLhW+V0603pluRZF
5zl1t3vUv9/uFENFO5WxCtova0Y8dIy/wmYl6XvgviFJKOZ7jtl6cfANjnQfkVh1cg84py3+DhbQ
x4lonylYsrVkM4uKcGumc7DJPKr3QxeSaL6npUvd8yJoZSF9NISlNI3IAawWvjb0wViokGZVSVqr
53Zl33xqUjs3n87cb2zhhjG11VGbWG2/lAvtcFdRthOQ2/gat5Y/kO9cxd38bcmdncAOtcLg+lsR
5DA7twh25OZw/BC0mUWE2Ux0exAy/vauJ80duugYf0dazCEp6RHhdg3FzKrTfz3LR/vQVzNyn3FV
aFg2JGDVgyScps1cXVQlI0s7T93JFUxhDrjNc5Da5HKk7KFR3puzGps0JZF5Cts/g50Z5l1XgyYz
z9bIb6ZrCE+ChI2pdLvYRRgASbAJ3+pig/VzB7J4ZIpC2bVYPwOepVHXM9VszaOccGt1exaEYiDw
ZZuFwMDDHLxd9qGHGphJp1tnkbLbz2iC+v0Gva8u4U8mHo8x1UukAJg6eqwvNxjrX8snVfOlXLcw
YMgTZ/xqR2QHu9Cyoh+R/EMS3Y1xsiFcknHQjwAC+3Y+SO00K69EI7b2yevEypddfPiUD/PSG+fF
7WQZiQ+GVUCy3GSU6UkJhut0SGIeUUdvIdlOoBkwlN0XqJTnPKtxkDb/zZX0/L9eKtljHuBv4/HR
hMcE6NlfhropgiuNrxfu/ZjBzos/9ehROz9w1zuj+HjeCEb1zEGgfF2Id63EJayQQO3c7jafGlbj
Hr2RASnqeNOwsKz77uLgubrjTCJxSbObIpBVoSLsC/23YquYVWiRbuBtVsypWstrLPMV9HXaimMw
xN59h6xd/x77mTPoMAVlPh5DuaxeejRCTFyiuNLC2+Bjk+ul7yWpiD7fX4Uvwon+2RIG1sGGY/kr
hrp40qvd1MkPmjhkVMQgg4d0Y7dejyDubvIJ8liKLQE4UUIbBBoMBgwI8eoeQrHMD2ON7ZFDoWtf
kMDmV78Pu7cNaWxONzmaxwjv6Oc8sRqAlduJnV4KnLwsavv1KQBS3Z23MfKQP6GAXS7oLexdFQSY
StDi1hKjGNckI2ImBHqnm7Qj/tYdR/6I4NsLsbvlE9gRmrDZ+OqZ6X7U3Yku1zz57qpewjCF0Bji
K3/wiYjuaaJZmwasRPWe4d/kPrULi9Tb6hPFekUX/NpDJMLsWo/B3qLJ83dFnZQtL/YE+i6QnZ8c
Gowxw7GN2M/v41z2WR/76mfgleRSpUvi0cNUbNJqxObOY2Tr6UR4IUebUDn5halBAY8EhrgLRaaa
AfwyFQDZhSeXBzsJujisbpNFrlCxisJIRMo4g9U+/QJf07/HkhCm/YI7h3NwyCd7aYJQeycuk/X3
1uE1wIODSqevtfzw0w0wrjs7LaoyPEjjHZDIBCOoTbOh0kpnfW3E5cZYk0fShm4sFsm6rWQN/iNa
1f9IOq/lxpFtiX4RImAKqMIrCVqJkigvvSCk7ml4Uyj4r7+L576eMzFDkTC7dmautBXh4mH5L/VJ
7N5pGY7PVTr55iT9dXx1JmqHA9sa8oMPcLnZ2yHnyT19l+JostydOT47lXg0bFKe6iLTZy0m7T9o
2Xe0YpMU9FOm6r7q5pO9luFp6k1w8oPS/yNDak4GA1JxK0TRPnE65ufaZvFQdbuAZMcfOST5ERq+
PHKrUAnnpBMDmGHpds4WznYnh1gIQc2iW8NLC3ZxOmoLR8ze9hbmt4qGdnGwcLZil4knhHUwZf5B
6rTb2RlzKi/NUf8HC4ejLWf4gM3fOq2g4rP2Lmcvz93c9tZXmCLbvFClJoDCjYaFhyDSRn4jRTbm
Pe1yaKj7QwsNEPLWCAlv7pOWqWksXPjCPhYCtgXhcGoGxy+ikHHgpQtztjqejtl/VXJgvGwr0O0o
dOFjM5mY8Zqg5WbMvOC6ODkxvnle6l1ZJ/ayaQZreIqtPN+vhVWdwURSdU3l8Mkb+uVaEX7cWuAa
CHmMXf+wlAW5Fm47zYmzlFPkjHkX+ZrBA71Y6v3iu9Wj5prbeiw4I+XaWXGG4xxHDr5eC58//RsI
pgkyFlK59zbwYKKWo5fU/SkLe1OWjcFNfocst3U8QLM0avuNfepUn1tRYOkQW8EQt4cV+etsYc1h
9oYSbPa4YTA4rxDiL9S/N822IpJIdCl3MQWm8ODZggwBtP8Mgzh562lQTBmuAIiHgnDs7cnZU+zC
nix1/tdpAkg0LIP02+/w5IIus72TO8C2QxCVjdy4bBPZsXjxtyBX9C6KarC2Ha6pMwmzZp/6A1RO
UYf5V287HgAjH1aTKlAp3rXlzCejhePta9QiToaZG/Ybrg6wAH6Wln+tYQjo1lit8lgRAba3tWdh
BqZL7E+lyQ0KQo9XKujp+cHNXG9TM+NraC3gehqF9qQRc5/yYume+t4r4+cMVfSxHdBfsDMEnKUK
DEcs8mvIsO5oEn9Xc/xrNpmDfdbYDQfACabkn2Cql/inrpv4HjWBuwziN3zHdkgCwtisuI59jmut
2sDfsh+HqulzQu9YISw6+qAqDUv+mmq7zo8DtWs7B02I4WdwAXs1M+syzNG5LeMX4TscgHuiWRjB
qjn7N3WmtzdWyq5/Q9M5D1XCK1akBkKGqfYWe+/iG3hZ4gVzLQs1+9AZsF48NpuKQw5Biz/KWomD
2bRna8iej/RJZPToNTw2qKG3arYgjBwXEsYtTDeElgdY/d37pGHt3CDNKV9QPPXYpdlwufQ9eV1/
K5wMivGZQ2+qLhIK+alqOu9euR3oqZAsRbjXDdr9Jhhb0kk2ECv9gUySM6Ci0nWnGfZXTTkRe0HM
20Ot8gjbKmYFEgH2Jeb60EecB8MPPoLyzsjFv+VBxoFsd+jLyI3HZtwHOpPsCXJqW7yxpJNdaLZp
ydyY49Tn9U/jVYCqWZsvJ/5v78Frajyz/IqWe4YmOzmXlrjawxQ66dnyTHW0etl+cnateyiI4byc
pnb02XC3vEVJk0gxkdaSOmFLDt/h3N8Oq1WjyXo1QK3zk5mnns2zXfzLTM3pop397h+0oFhscMpo
Qq/Ug/N+suh0OscOY8XrJHubQUGECV1PNNtm5AIKlK1qpLjqZp3Mj6XqiidLNCI5VNUtbTk5EzEq
h2SdfjMpvT02+NIqwF1WLY7f/iU0pe8gfJhlSwwTy6QxdgALActqucPDzTRiu2OvDyTYWrkBOVAw
DFaDOaLfhWRqgIVEvLWnR4bXrvskM0LyHIOa15wUs5M6rlTZnNfFmr8Dw7p4ae0Kl1AYf5YLiZ/r
bYk8fWoZLKTRUHmb7RC7xVe+sL/YcHxd3xwcNVzRaLy4F2POYw9uWjl2BJKM+F8eeNmxo6pH7UXT
j3f8idAXOCF0/5QC/OWujmGfrHH85WXmCoQeCF03E2axbkEY9vIg0URAsOOMS8hpYJ1JiCHiLxpv
tX3sS9cvHo5Adzecyj241jHpWQR3FM9jMpOYpj0rBsHo1SPmO7WCLN+bUniQ7/RAEOKwuln36wZD
e+3xJKybpRQsHbkUUP5B31fXQjnBc13eCgux4UZ9TTOG1Y7tjucLjFpX4dXtcZLNr/6IHQMiZX/A
SxfqZwVvP71LZZq2BwqWl5yta7FQV+KD8NglC5nfCHnJvTcVKpVFNubUUCZL4E02C0vfCfUmZP3r
Gf4w6BLDY4zV7pywGP9jgZD57FJABLy0xpigssJlU5E12tujfXtsprAcOHCIBsUns/aB8U1wnHMx
7khL8dSZLJcm+WUBS38AAUM+xtjZgO8Xwl3aEJdY+Pdy3/v80Q3yAvDkQQFZj9UsK1YVMHYssvNM
TAf8GsuPhP927PQIVIBxFr6NuOWgGkwP/3Ej1inp/aR/4FjpgmBVonwO8UX+nZzZ53pi0brp6nIE
dT32FxwtiLtmAuZNIqB9XNnBnPzFHQ96XkuMuUPDgi9xES93fC/WS9/7ZKZTKtL2uULxZ7XTN7ux
D/heS04CO5t0wqedcG/+W+zW2N/WgmXS7VeM3s6SMZWTS66iUY76kdCROhnHZolUjD2U8iCh/HiT
JaHBHbvO7Gzqadvj5X7pONMcjQZtzemqzg/wT6nvFP6CKZTCC8s6ltJhroCXVynAhn7YR6tmJ068
OuCX9Y3yGZ+KlauM/5l0C6VoTKVh9dBRUXCJ+cHv8Q0RMCtjx+e66wgUp0tFOE0nRE3opK2g3XVi
RyRE/TWDTyK1M8Lb4sLpqJczNiopwI2QFKCZMHCSNHj1K99r3/M2pSFEKlpDCjYr5dGXLUHcAug+
zwVFUB6xuA6AgUovS/ZAkwEIcKyBMS8RAMpXp+t9Ci9qfj2keFSG4+hJo3YOtRjldqBhB5Q2q+Rm
V4JnwfoiUdXJwo5BqB3s3FNKPsiFpILY7JfJoaXdyXkiZzqMNNEV6rFKC869amLJ/0SNAA5+TJIC
VwO62sGxkoxlH7+8tVHEVzX8j36mey1fH5N5MvwrAoI8BKo/ZsSyV+ZMzIxCpEF1h605A6c6LAUG
vWm4YR7bXql9o3zL3GdOGzr33WoHArXSxXQf940++ixvPjCr5t9zWIz03bgKcyzvovatszhH2by7
M3x8+PLMYaqtFPKB4x/IyLJ89FFIyb62M8ZEN7+jgaT4yqZS/vWUCK5lEvruZXWqKbvjPICRkbf7
XEUpuwQWr+yeH2hS9f4oyqgeDT/nFQt7T8hblrlCE3MBom+DQTjxCfSL610lXmRv57k9COaFnThF
TTUhhm0w4XlBvCiRhWxOZHoD8tUBl4ncMOIwTBhN5w5mK9uZeR/zL/yPRmUKXGos7MlOJtnAWaCj
rG2bp32o9kvGxEfqBYvJu5yxqx9UjOFlJynJPC1Drg6eSNvHZtAZna45cJGIT9MTKcKcdzKg77vt
tFCgOBVr+49OyLmJyiUgylwHTGjwhwcaZCk/K7cUB4BLaHBA3cuAtdPDDO6db8drcJzKpkNRVhQI
QY6IsbBfVpWUVwtesLxYq4eThV60TB4saPhnd7WWXbM4wbn0VPzHnjE78BQODNjzBsvaBeZVtUaL
bWsZYd8tm3Na9vZjmdVdhGQZXxuQxK8FlmKaJmMsX3cN84WCmLQKJLoCq1+wduSltpTuDVDXi4q9
WcJOe/oeBr6g8hbkjLG4+9qujqjwYK7zOB5IAlXNbkmK9ugPdX5pZtc+Ql1a3E/EeoWvumBySHN8
yQx1ve6fLU70YsupXylw0tTTomotpOD0KF4WMcThI+YITnRtQ8z3EpK/oIihsryoGskjmDlEC3cd
nHXnybLFPrdcTFVbuhXd4Kt0ZuDtXW3qGV20BkBEHCt0mY8b/l7Uckd4BLl06ryS5uHBgMXBde+c
IVQPRTzOkckMkNiO3QofFzbeCxb/cLjizqeop6Wyiw/KFg+lAv6ZvobCX/UdedFiFJxxCAfwq3TF
P5vRTrx5VUu39QYRiQaSfrTV3TQl8H2atMFRQSS/NzxpVcwRMQPA8NcRo9lLVdoUTeselwpZKOOT
ERiqFRlrw47IVnQrkkzCbhV6drbRclgu3Ch65/sGRlE5hxG1PdjfM3sYDqvFRnFD4REUIaqCCjDU
mfHP+cI87oZucF8R7CBUsXjJldxui7+AvpSIkkr/UsZu8EPBvK4F8wI5lSfXIlRyBBhFYgD0AUHg
ZjNg6we57NA6OV4KGdbuTpKD6iJ41z3IB2eZsvuBE0QKhrxn5Z2PrL82DWT08eA1FnngvNfyvuio
Ef4mJuN7b5r81Y/2+aBpV9X5vh14CBKCNhDW9OTcXjgy2OF2p8qEPa69ngT7os3i9GV/pgOXtOME
k+5+8BLslYB2BDpHPS/+9zBPAbDqXnLgxuuEwpGagPeGnVOA9HdRRfvSIXCBtEfTwEy4rcuCxf1S
F4X8V8KLzz8QIOzkiLMhr/4nfOMV0cEsMOr7OQXyrcdpt/BbISJTDpVCXpf6JJgoUKTd1lTrvsPQ
xa0vSLYoe6rCOw7B68jfqtafW/fzfTNk3UeMKpU9yYlyIpZDaxF1Y6c6eDyoXy2VrZn1XzV1nYM/
R3ZnREyeZGiD1n0Je32HxbMkMEp/UE4LzrEzRRABE2pgf2Bgz3GRNsJ9s4YK79coKvkDoOB2cJvy
PMm/TOjMiJIL3rZhnhmoA26NBPy/e4QvwyPEdckxv+OpxfkFpotH8x7uEy5RGP013ZD2tA7H2Xfh
SJUslj+oWGStwmKxYEHkTzEWp2q9L9j8gPXSuKgi/viGHG4cspcZcsTvruPmI3LxXIR5djBjUrUA
2CbWEq0zWc1pNPydNIgnYwgHh0jq41Avbn+1HBljkgyCDNeo4R8JMudmfOnNlVt5vsJics75WJVP
/kRx3oZGE3i8tLRf8Ir3UTlDWSWFwmQJug179w3lZYJPVw+3jUh200HTlcjamb1w9uW1ofQ3ROq9
h9ZHL2d1MleF/4vAj0kqRlujAUQUj7SFSEIrrpi/oZCEdPvgn9ytxE1sUpr2cpgFUwPlOVZ8K7xr
tb8rl9x+N/jpWSgKAbEvwQfcH7nRJHA4ikkoZakxTVDN4U/mXufl+Nop7MMkSpKpPMDAmYrIp7uF
9uI5r59Xzstb8O7lQ4fwPW9CR/lbQLIruAi8aRLT4KHHrLOzOOr/x+1PKsoyLtOXQxoUYNWg4lM7
D7M6DgWd5UeCX+tbu47TfAgqYYnnosvR7hLMq+U2CGG4bHBzBazjFRiFL+LlKzesSYLwanK2WFsO
5u2H4oPPwC5snnAVI8U5CNKYbGxqsQAVs3HG7ajM+oWpvv/hkFBQU98v0OHiGYKU9FkhJtjVaO7z
+hcnLVb2BQgL9r4nYJZT1EGJHmQj7OTx3nNszHG5g6kUYSXFM86L09/3PKDaa5vIDOeZHeT7mgaf
y+zw+rsSYRrdS+iU4iwqUdmcxtHKTljdO+/OcgJ4Szdu8HcOpUI55LXrlkiC5VftPpVapQ8lPun8
M/Sa4KR9jJ8QrAYjITBQFfE89k71phpmvjJMhh26TtHeUTmw5pEM4NjAQq+E/TGlzfwbV7SPzaZx
0+06LctzafmyR2w2zT//ZrvdTmXXuU8EC7xyz1Bq4QksJYQnkWYpXUOx1d6XzDIXyAloBqEnKLP1
RiySJ1UN8U7GLKzKPWdQRq6ehqX20NF+TNCdjjC2tVZoX0tnvaVzF69s8VFNszhSTpfRkkDLLvyy
NuPwMa+nMQ4Cb0+bCmI2NBTsQ1QwD80pqefw6DVh9uT7eI/Acjn1a4Ml+09IA8nWxft0n7Wm+2/2
C8/BazvC2Ehs+8KLdES+1OGHTdRy3qQaOxJXl5guI8b1c8PGcgtyhMIrvNWF/YRWQ0LQmdDkzmHK
fvJ1EXWGu4kKkrX6XlbL3scziUhGdDoTt64NUmmXui3yBuchDJ0M7U17Pyc23NJsIt+j2XG4OxWE
60dZDNXfYpksYOQ2AofWVCmS5WckDa0ESjNu9vAlQ5y4b5u2eMvGAQMxXz6UM58bYgxiu4sqWEzy
NTcWImg7BR55RR8r4y1/gXGg7+WpRo3WV41bHp+s7Mq/sBGIS6RiZhnq2fL2oFxQx6DVtb9r2DXX
NVvW33SU4s0KLUvew2qsrQtrk4ybBTXQY+1Re9POt/HYvFGFqng5sVu5YdHG+Q7hXrYEengpnqpM
jqeEDWCwX3K90otAIuPAizVNeMLnwyOvYo2SnYTVXpWVQ8166+QHOZQDLX46t+/pS+T9QJUQ9dIu
V5QFYjGsf1kRQxwNCV5ghDC3HVjam+O60oGysUfoEeQtyxM3Zo9vzNOnDren2JThEru7uMaQBLqq
41UI34yoTFL2TRAZSBspuoyX/7HtKd1huZd3Hj4A5mhBCzL6fYIfruuDqKk04TguBvDHSXzr5KEa
wD+3dSjB2QA7qgncEqphcENLQyZySErtSYvM21ootpfTnI0vNKumpNha0jnXMu0ZzeNlyemBJ+Ue
DPbgPoJhWN2D01UmPa0O4Qw4WkH62rKNBo3jdDq9MGsklzEl1AKOlCGCx/1qb0QbhvUTkvHaPcJX
xHkFEc+o+7mT6Hv1Umnv3KCqc+2CXsTCZSV62Yl+bPTduixVhh/Hqsm2eSGB+Rita6GL3CNJ3WvA
t+SpcBZGeId7bwsyA4dkaCdu/U+vqn4IeH19e7lRzxRTjUdBk99AhgAjs2O7c4342yDTC4z9D3lT
anrV+0k99r5Tv69+Xky7dtTTC/tEmT6HZFkkBWt1Zo9fyeqEDXAxFaI9BI5ms9EPRNZHwd7hn8qS
SnwLjhr/pnIhltrls/ySDcUvCQYSRSS9k8hL5eBdvdrvfP7qaV5fmZO92xuLjU0ZJYFZ5bHkgNW+
BWPcdH9L+qazX04YGfEGeuSKs1o7QucIQ7x5JXrfilG2VGJf0lEJLkRW6l9LZ9O7n6QANFC6ee3j
tuC6QGU14yvLQO7MXU8K4sG3RjrLsBxiRNxU1DAD282U/xGoUlxnCq4ortTlcvJEjQHCXZoXkY0Y
q2wREl80E/QoHcZtv7GzbjnnNB9+txoA1Z+aJMZv3fEYRcykFebP5FMy8RDjs/BOsAz9GmeZ4ixg
CIOy5ajxmLffHOv08pcIVVNExJLd/7Tj+tWTvFE+bLQADz9kHff1ocMtRERccaDceDJW55wn78Wf
KNiCAyLdn9Edg6MXephMZFurnRcHXOVmaOl8k3JycG543Q7AAAewZg4JzQDBWE85rqj5Uw8i0F/w
NtycOWdJxm/j6mnirZwFH3gNJvPMleJ070AENeyIOex7tZ3ZAhLgboonnhEAYLopxfphWNnroKPf
VIbhnWYO7wGgOQCxiLsN4lgVc5VSsOom/7C0yzriSe0+MbgO57BZ5W3vHfa/ha7azzafCV3kSaKP
JDz6ZwMo4NCqrv0ZgT49aHwT5kXROIp7xXLDS9C7/+uiy2zEZvyQwKqYevJfdvGTE9OMiVGFIK2n
av412eLvUEf9GGwrlj9+Na/yp7/UC3pAixtsgkMU5uC1v3hy859cGZhidj+xeNApJyfaSHz33AlE
FcxP1BmWm8l2Mjvy4U2/FzA+aJ81OegKwiZSbvkanS+GPQmJJS11DkuMSDFXNJUuaSRBCk/7PMGn
8kmIIccEaI1ivNpVx9VP7aII2vuBEGAb1WaBSeP3qTmEuRxZmDV4hiLih1kGrcsQxBKKEq0nPxtL
BvKejWDT+Rwb1qxUFhlb0/mAWw1VnCew8rWP97Wd//Y14/h9nioWwGOXJ/czOYifLERrT3YJ0h0e
NdtFQ/XAmc7AJ2LAaaZc0yvndJxQpqPfOTPzfI094NkUmTrgRVmgoqDURAF+KLOjQiqrRQX3FV/H
wdNIT2h4PHggucV2NLn0YR5TXroYl7miq/6busvgkhNFqRENm8z/j4qQyuaFGhcc2zCVcs3coJA6
vhLCasq3KoPiuOuY0nLK4enZLV34xPskpst4R1VuWIOgKOLqj014z/nwAjrCeeFAKHwbyC0UHwoP
ArIontk4PcOsdF8Q/XK2LRn8xsKWYbtpeHTthIjRJZw2bQ61x8OWznVd3ctpJmKd4XS9Vo6RZivp
Z31i+00rd+HAsP3Tu+nABQJJNOgPjDbkTSAucugd3VPMYONGyE449tTcpVbkhQMxBdxGBC99KuZs
Up6HuqQBgKnSWo8rRdDWa92D8T6oIU2ym2bvJPerZ4HY86pZ6Dszsd+/9Fw9+lAYQ5G7EaxnoyTJ
+nuu3/Ud0JYpeQe1mJF1j+OkCWyquWon07/p3A0UKnl1XhDjSHNuCyW88WD7wKt2y+BMMNDyhXCF
x0kdclG9nJrZpr+wzN1yF2L8ZnlGqOPkeD7EdKkGtJTKJUK5KZ242XVek9wjiuQvld/iCMk9Ub2H
JRATTjhN+oOalfxC9bShkEwj1mw8nPy2sEi2uCI9IFOWn1QVHrbVL8130S7BeMxnTvsFhQ1iJ8Ht
7BM0CzKwdCAw8Png/d5vmLOc2Zm7edcx64Qbz0ML5Zpq3G6HLXSMyHxBISNnAXeJBdNNjIcYCeSr
qdeNMwaqfmQRT8A/K2vW0QrnF74g387Yoriks2p2BT7BT9iadPSstFhbZmSjEgeLbXary96S66pb
nDiiA2lSXy0PJLCtLbuMF4iCVvYcZCwvXhASmQhCBzz7kaljSd9WnoPJzk1SglEcmk4VeiL0mXg8
+GmDll6I5YwVH/AblNHjQuaXKlWRI2rQCSYJztzuZNuGVn/gZZj59ibBf6BZvHcwWTCOzNOv4jtc
7lnCriDbHIdEG2772qCy9lwNLyuXbXHq8SOQgutJy+KXDdSbKrPpBz6K135YBCoIM9R8jISlzrkO
pLzP2dD842QZ41LsTIke39feex67sXdku53fpxyVOZ8WXpc8YU5xcUosE+J0MiUX9kXoZXmCsOuT
A9uwvhYs+EYhrn1tgYr0nZm0kWAvvuOJReUWw9hzU7g4Q4URkHbBjlzmAfJJCs4VjXxqm58GRNed
qTuz59hFWknYVGKP+Bte0xQ0/kWRb45AR1g2dDKRiS0el/Ix1Z27ksEmP7wtnAnpH+3L26HyLs2O
P3B8WTjcvmKED+xDQOSRr2kqWtbicwH635cFXe9aWvumjeVjMPYSUXNJ8CBiL3D79zSsmj+Twwaa
jHHXYM+zg/gukws4FeQH981DSK9Pc7VO3Y3iY7IjxIP4khhefqThbvuzTR+SIrrdbcb5bCRkwx+m
UBE+9lhGu5c5GWgVV/Aq11cVdpn56kCG7us2BEobOk0hIndlrnpc2fhGyumWT9cl23kTv/7BOMSY
ZGvAtHWAxSoeuvZbVAtzRlsPxt9mbV7cQ0kOhqs3e2xMGoYbkFe+jafS9rsjwdrEPXUdo8agfHRz
3fAP0i+8dN+ttc6flkXwHKSVJo3UjwegIn7A1aDr02i5Nes8n4+ICrco/SDViN9m1WV+cRQUmmdI
GG6MEyxwj7wz1irB8IqHhf7zNfiyQVpcyWsWwE6akFXSalzOi1iso4p5AW4OPagHcAWc68E9F/+l
oTUjKdPK8zD1dTX/6FxhspuDYJGQbgZzEM5QjvuRCnuiX5jyaZSDovSlAxfGatuQGJ9KX3kbdnXi
kTeEfCk5vWI8ocYSz44qfgHU6gtA75n+aey4T1CM86jKeE7vmCTWFyHDIlo6adUHjzT/rhYxoVKa
4wsyJpBYeDDZB5th+y2diKtvkmAUX/1C/puDMD/TzLk+cizOe5wdrezdppnghWQD3btO+YMndfqF
Zp8eZ2gzLO+L8lxilTl6wARZwYs2Z3k8+ScpJaCf7BZh3ii7t7stvPXpzjGUK+96q5CseqrEvgqh
gh+jeVjj/Em7Y1nVEvjF4H64LBNYEg3a5fHQx8GRJkOEbXHD+GBT4FOyKk7/rZmgka8Ll18wkxZ0
Cz/20PgIr7g2dmo8k1n4OE92/WL42F+wa7snJlRGMQEuiFSanV3LcfJ/8txtCQjIMbyE9hgsd4mX
BvJA0JbYymzNwYEaqp5kgQcnS5LKeRBOzeGLSWEnUrz0dFmC34W5inN0XNaLi+We1mOIz0jpWMzG
MK2QrexkjYTtjUGEpyj7aFKdvpec+nnIm/CBelLz0rYZ2CzmmeJjkP1n1pU+X1eBocEYr744cSy+
GkAub6k3k4CUfZ4dgxlNfxXL3zZV0yFPVv9KvU9eHBU33s7jrUelr+/KR1132G4CQnf3g81BfDf1
wUByK6BHVHt8q7LtP5k/ll1HMmbvNkk4//pdZQd7C+bKnoL6JN8kOkMexfaNS9bCJGf4tSgyCcf4
aM116EZWb7+oUEwP9u2QhW+E6zedwFBiMA7v3CqPn202CbRDqjISqF5oGzSYnE3rZSe29LtFFNO+
SiVzFhHzLkfqa9V5HPUA0kRcxzkFACeW5mwNWfK+jMELUStr78Lnu9i4no917agnSZj8sJbNMp4c
qo4inkUt5wWs0nXkeJ57zvh9IBihHjgb4U0CJWZwGDNEWb8vPIbP4O74bVGaUjSeLlMfDTrmehTY
NK6Cl9Uxp635A/sD1RWYnhFVJdiPoFuHIpo8oQSnx/4Ha6Z5DfMGK1AZ5B8YMek79GEQl4M7erjw
QUNi8U7/oBSlu6zuO+pw8cMFhs9Vz7Cs8sHBN82hKmo8DwpWISdqrdXEOpjGsuKRYMMQjakKn1PE
Jo70Y5ZgC7MCFPtclCk9PdC7MFRU9hFP1vR3nNv5x8udinG2/8ZvOO+obp/xqlZx+G6pGLdaYl3X
21+KCbJZqMLgHrkRYIhdVDJAWADBDaiXE+yAH6DvxmNBxc4WXJ17h52Cg6iSM/W7U5Hbm3JusrMk
aMNHXaHlVhk2Dttl1AF7ujUjG20BmHrj0KDxhEAFLJq9Tz4zMHVu4fE4TDoaEUx7An1g6HkZevMU
Uv3Idx3uWr1iB5QW8h+R2h8Xa0DUOaN1njNKAG1gvps26PN/yknNxupdXn6Gb3WFrly8rEuoVDQE
E70nEA8MUSa95fhZ8kIDyPWZcN69DWxD190kIcZDXFJP9GioL8v4l9TX4x24gMQ9h4nDQ5XS5vDB
HrDx91CftqTjIZjiqrkwLJUXf76Fz6lzHX/j1uH79qnjasNCBXuaQjoH+gZXtOVY/+UaPJibLYAW
yRns2bvQ2noLmpTak/UWgCgvYiWrl6KRBZzLonRPim3zl5K6uZvlQASdcfiXyb3+U1XNY3lLWHLr
0vU995QdbWzHcr6ntnxsjE4+FRzzTY8i+hiroNpDRqdQfErAum5zP6TptI0bXuqZ+K0tp7zywprP
PpNWu5nA8myGjm6fo/aYnxluIcl5ElwItTu3V2jJG+vdS2wAuuxy+QbD/siWwmYBycdcNbsLvWTL
GWcPbus0J72AKYRKzVKyPWC23TDShx96TogSDI08YgMCwJGXRGzzUr+a0nDYpBDIYD7yb8jUdcp2
TeBnPGT+/46gY/4v4lRY78SSOA96XBOXQAM7oz7poc1rDzbXlNW/EFd6b8PldzO86j59K+LYfaDH
JX8WyOZRaWYFeZz5f95q3CFy59HQnkdlNaQcWZMWeRZmwwaFv7tNFumfOXb7F876X23sxQeTgz0m
Uc+EgERKBUGlvxHiKdFd7VbfjSZXYpuiYsMGYEH3vUDZSbeB39bjnW048uuh+8t2OI6M8iZgVvPQ
PmeBraBOhdnNeF7hAKJUWB3bAeQ76XD31fcmSnb8ri2/de6khxX3/TbvBItt2GbNYYFk9pR0Y/vM
KYVnSTC2418aPcZNO6xYCca6YtXS+n665bkgqdsB8LMza5D2+5tdYcupctqOFrCgZtFxZFUW/g56
QHetW3D2wctao2YE9tmN2e12hLUizMRm14yZJtBQEVW187HbBvNAI0TeKN3vspXC1k2Du4pGrjYa
AFbyOFnegc3hf/Qmq9+aKSTaOn20aeKj499AHbidYN8kn+NErhSKXkjIF6dyOs8jPHN09oDHGZkK
x3p1F2Qbj4bUe1vSZ8+OJv0apd2ewj4MxoNTFgcIkTf7UcHvQzzcTZ/immXYXrrwFztK4Fl2lSvW
mLijh2cigJ1n+gTWzTplCI/NwepZD4pRBi8lqewX6flpFJJ/o5crhIEmjftRamN/WuDarEOZ2fnv
MAosN7y1qj+Fb6ZLhhsrBO5OTdfWZd9/y4sz7NPAUfHkGLKHug/KOzHR965HGrILuA8EOoDvxH3A
cbkhLkTztRE3Hzuk0mxoj1muCApkSF2VTAROv/m/ZMYYRVrynNsEyxumYxxV+SeLF/5jQ3itepTT
sKjOhATCTasm85FDoyejMi+s1tciMW9jsbwm8W1GyLnTDhNebozAwo8WmEK7oFflieBZ8qSRHL7y
2Lu1blSStfZNa3DnlMcnGSdGLqDrB0QGthrKrujXsduHTkH+zJdCv07wKbZFMXrdFmOCc/Mppq83
r987kYelOscsPZimaLCmEAjE6/0KRn1HEYr5JYAdjohZSc0DLsxwgvmSClfAm5a3a/t5/tPoHO2S
3naSg1PGlZVV8dZqHUD/Dlmd73YspruK7Yx3YARS4LlRwsmicYFjuM0qi40uvhK43H+gT8wf7E/s
gypDX1N0ZbzroJouPRUOcvberEIQ5CEIR9k5Ma1/riN4Fc2YSaMhtfu//8fReS03i6xR9ImoogkN
3EoIRSc5+4ayPb/JqYEmPP1ZOrdT58zIEnR/Ye+1eXxFva/Y2L9aeTbVX6bW9cOq1vbRg/nwOCE7
obfrAoGz35+KG6YfhM0RNZtDqlRAJjkGEl1OYQ+NHSuPtJSsrjSOjmLa0XKDI3LNrYNn1zeKXlxN
Zz1Pc/A10ud5CKV63BuoloznFdnt8l+X8QqsngdplmkTMpFxTQEbEkpan7PF5+blB8zz6smbRg2E
Y22LU2Z5Kcy8JvtZrFRwq6KtdiOANG75iAeAfOkJnNg7aXTUWhoDXJTKuj7QHaKRzsfaexAT6D1/
cAg0TsrVf06TwgUopxH7PZuMfjOODXg2VBOjrccdsod6Fw/CCC4oYCy5HcrK3WW5a+6mjr4bvSD8
wiIj8i+icWW1NNjF1eLlQ2S2lkezr7obOlPQOy6+Q2SSh2dbn1tz7tMn0UDUPRjEDkRwSvrfDIHm
A3Mb0nuqwHFQCMc2akwYDqwcfaxEOtRKM/MxoRMwyMHYvx0dxuiR63vrJyobV288Z5Wvui+XOkxM
srAfJgKeERcyWwvGYVMOLoBAV2X5jQVn0dulIebWjnxCPuBwZ4PCq19YXRkLepyb3/fLpG1tPlIH
PQGigpb1CU4KOn3+562F0dSdjYoii8ymfmv1zKE6tLtJvxzpDviY2KHyZ/glTKC2bDcEn44NKL6u
1Ckk5CjgqlscPnX8ZCdFmuQhcqp07ihmGTlnBw4DIxHMRO3EvgaoKDAJo4hMXyEn5vFbXI06+Jyw
xQ8nPSHgx7HSGBpptoY/10zcPyQTWnv0AMN0SHk784qtTqoNcBxNbGZ3VhzbJjhqSE7w23xSH4pj
kWTeTIbVupoDqUqdmitCsoaspGjjH+XozKXAwE6BkcQYv2g8dPbH/tGU/6YS8gmp7fRlTouCo5RT
d03LuItRVNARFy4APGgvKmKYDPibq2a9IgQJbo4Vsi+vQW4a/aGLgQURm8IFsqHtEpjsWjMIK9mR
g5SgbNhgjWUSls4JI2Nk0f1nkcy3TVRp6Tt62hiIOqwLai48JYRRK7crDmM1rUOkA6f6JD7DrI5G
QTaBwAE0hlZuFvmB/pm0RLlMa07GuJd7+6XzbP84Q1aLEXHWVJkgZKyTtke6Erg8rJpc+tVnYDyw
HjeG0w7DuSLTPt+jxm9qqFp+Nl9xMqEVrrWkaba4y8f7Ypg991CpOpgi38jWDktdoz8ta4TIu6FE
mp0L/cp06PFDIsAvlaee1Y3P0YhbOCMqV0GrfNP+ErUYZ9ji0TH0W5wdyRAJ6F1fTTYiB3EAWnO7
VK716KXucqNkDQiaeklWyhE5mL8cVWvLNBLWVFYX/pOyI0S0Q4LLASAJMTWGN2Us3hOSJz29kErU
P0hPO/xRBM+AJrHtbl/3lQ3GLmAGI6yOFt9FUEYJW5oTp3navFIe1OPvCOXnl0g6/E8W63AfAxmW
/TtECeq9LdMWmC3j9afaGIe/wMERcsDlioi1RER6z+TQzh+czqLUsf15x2OXfuOn8PqjwTx1I9sk
f8g5Dsq9nsq0iGrC7n6kJBknzHAdEmzBsDI5FJDcUoyfGZ8T4nB1BhEmCacyrMwJ16K1lj8m8ONV
JV0z7oNF+T8w4kxc1GQmMli0B6pmCU7DDNNENsfGyZv/enAiTJJMgzS6fp3Ms8le7QsH6Xxd5tZ4
47Ul7wl9EJlm/piP3rF3Y3E/0ac4US10cU4HaL/UYy2HO7987kROV7ATVowIMGlg9Gdl0eXBXQl7
zQgTjBg0h5xA4jyVa/OGJ0cy5qc1QkctrAwPy+wJOjVL2rRFZLKpe7IPco/QphapSCmt7jsmduPi
ujI+jS7mca7oqYB0IxoMhLJnUxl6tSFf1gQjB/8OfB+EgyYNQKVReBcSFHBHSQNW4M2Tk2qGdqWs
QvRsbvFWQUKfDtU4Vj9GOSNHG5nG8sxms8AwBJLox8lxpeKcF7H3ArW8eOYXrdkCqLI/EfThfQiX
ru3A2M9CddRr5MZZ7Y+RqlvXiHy63ma/2ozVQ7wo9Ju26ThzpBC9aZytJpa+Hpf3Z7ZOcXsuXXjA
J2SvafKfUmmV74xhGpKdMXVdeYzBMWawYYldw1wxi2fQ5tC2Jdu9W4InpdmI7e/JU2PHCETEotiW
JUXgZuLLBA7aAhY/FXQSTzmKrbMJYzPbC5f+hNBEumQ2tvJKHQLCVJe3TzyMJhOK2qgJwHHzEh/8
NAbsK3yTWsEu8xk1cSU4t/XaWt4eZwusZk5K/MQ9J+8T3oHqQzQuKbc8vVgIEg0VKSQbDPYaVyKB
EB0H0VEnWZa8qIVh824EmDVuGRjYjxmosCbs+BteEg2PK5xtJ9kCixV3xpCZuFGStbg0Q02x1TNm
rT6Vayj1ygC1vhjDOiU4tqY2O9HoObsOb8awZ5bGs8cCrJ6BfkKGdBDgX5jBmSeRcGqINNbfovJL
rDPlyrRT4Jpj/7NAvLw9c0l97NgQopch0EwgmsTPm4f1ZKlXEGFy+c+KKyJANpVgaPed2xphAsWm
LQ+UgFpuemUKVNLQl9PrUNR8G8UiJvKOHDkH8HcCZkfz3AT9bpnw8G8EnNNpWxqVXvbmZMT5Xme+
b+8HgwGY1fHsbNqpG358wUY7kmU7XQQynPa7ZYJcIGFI1HBkHm4kl5YIUbm3dS4lNVMJNmZinHAt
Z9tHz6QosjGT5nD4JD4hokzYs0E3YQor+KqlTibzwCJgyL7Y6Y7dnSNxmB8sy2nca8542dyYamzX
Q9n0pIrZzVS7h8VUuX/ktpgYgWc3jOmQ0AFDn7HYkNomEPWt2bbeS40RkoQpMFDJ96DHuj0l3P5/
RLOwmeHHVs+GQq8Z9nBB1nsnqc0/tMjzw5hMYKTbDJYLVgdhPi4d/IJwnuDEnFRjeX8oF9jLScfM
vK2H0NE/kS+yel8dvNBw9BE9DXALqR6qMrv3lKPNneYmNuiEsL8JhLzbpUy90+oHpB9TWjFzy1UK
xg/Ke1gRKMlhQCiyiHKTDeezDWLtWALBoXyY6t/ZQwa90WpANaJdCM47kdQMAwZnBIlYl93woCCF
UFFWmiI46zL3hb8pfp5dExAcd3ZgApaLiW/Kfb8ZnzLEgcd8Za9/w6aZ9xje00vTiQ+zY7kbDhAb
H9ZphrRC+l23ccG27LrGXDHgG/bJByuYcFBLtO21H4t3HKhD/rSMpguSisn31uLcZfFhWA8ePCET
r3MlGX01xqNAdX7JmaAW24rRXtQaORGEt6QHVSPT2pUMxo8IJFLYInMV7BGKscm3g7z6WCuNo7Wy
CYnaT3o2iotabKRJWsAIG7qA70LH8Sp28NG6ls1WvJYFWtgVA1KTW/+KDhdUWs3cSE1T36op//NG
h7nnM3T3QNnYntrsVlvETWVhbbKpgV5WV8uXtCsFanfFm2JiRzk5lv2SMNzexZV/41RpcUIrBaeh
qYIPiDH/QTdyAK/q6RGFIe9/Pq68BExq3YeZtukKKHjmwGOGGiFzTN4GY3D2hc9jWExLSrJFlQmo
+SltgNva5R3cAtRNSzD8a92hONWtKVm0Fogzd0FWVJfAiotDX+byrfFL7kBW1ziNFGzgzdThEUcf
6Kf5hjvB22UuQmRQQ3Gw6YbAApOGZWifjmRQo/3GKTesiuDvYmq8u0zgagaigVxNY49hdwKXxHbW
nRs73KTgC+6zIpUPKVK3iy8IF2IeDa/IY0iKurLtfkaqjTGkblte9GoDPqISD5zvhoGqTcnLH7ad
bYthVMNlwWis3Zc8AmaEVj1u+PY67o6l72Du1G0xq91gjdl8ZIFrxqEuqwHULJUFzhfejWdeawIW
GSYXbaS9dDRDz+na4rtYNJsD15g5cnNQWyAEKkIJXzK0UChsWg2NDDW0TMF1EPEGdAC92BEsr8tY
ejZBMURC8PqFNB/V8tGbbVpvxdr76mE2kmG6MF3ByiHx6Dk8+wFahk0SY0LdJ8aNbMlJAKeqZXRi
b0trQgPAmCdAOGk6wd5pdXmj1pLrw/WSuPfwKG6LsyH9FyR4yKAFtMst8ocThNxDZPKAPqyY/JGI
hTnRtigkKtBkAclndNkjR7Jdm5p8PMZk5Nf1FaoYvUiPP17Qfd4mxwiUtlladQu3USVGBlYwztCU
I5EOayvxnuFnsTvjP5+/d3XDcbb4Qftlxyz2tpCOAm4QXLvttcdZy887E8a5m1Hr4vDCgIwRFYcs
sBDf68cIgaXzDH8sYBmHViNB2Ze32T4tKHl2nNksJfMhDXwYuTFaeo/7iNecBGY4nqmeoC+mwIJC
p7ac5YAbaNJbVc+DvceVagV7G6jRsQlAuiDlSLVmWNJ1+QU/RNfth4Ktyk70LfkTgexbwCi+0T84
4y0Rwydv/q0yWrR7A0aRa+cU0GSBCCIEzrWfLZwkrWnuCY5hdsiTRMpsRgaxfVakKVqYt2qV/gLn
ALxc+0v8ZQIuQ2AydFkX5kFZsm+yY/ViEkP4uy49yGySnLjvkeg2NPieI26fTfve25oMuH2oOks8
dAru7alb+ozcQCL37KhZVhKCaEUcOiaLyo3XlQS6CLTksIZoYGkRESRTBpLnq9cQUrcFkc/Op/nQ
grL4s/hhv2oGvf5dveTGfObQxBBNDpyDxY4G64nXGwerNyufLVVAwAsVQZAZRNPIGxEArcJTgLoZ
3lzMJofnySyOUwcAa6v7Jfg0Ysuwtl5+cwmhXa1daKaLslgu9O0nglLQbFQIZjTSUhB9Y6E/IMxa
BUPkoGpC4mn7S4PmYux9Jkz0M7uhcSA0WSVwqM3ol1AzdGelxblnOOIy6m7c7MCOzTCPriXR7Om4
rcAYau37u7kdeIQgkMhxy1KrsdnUVP3VzRHF3/yikwkej8OPM8VGRlznNe2toMb3QxZYnDilEMTm
JDgbJcRpEnB3fA9NAYsmbp0jchU7eXZ8xHQPLNd7IjXcxp0/XWE3XQTe0xr3RelbwRa5iHTZxCLA
Im7L779TLhKyaIrJuw1ZidbbpiiNn+esJAoS197g7hNpTO6OIlzZrxlAfvNF0HIZMKG9LMCuwPMZ
Ij0pi8uI8A8AEoXwqZCG+p3t4QYvr+Z6TyGYPI8eFpFd2wic5LBoZv9iSpH5FRRqXUJmcHW97OTc
QJj1UACyjh9uulQqUvkHZZj1HZWD65+Wyor/ZnfMSaEq7ex3SUV7qYirZpQC14XffXXKmMRQBJSI
gALUP4o9KmsVyGKfCO+ansGtBeUIcysCtTQxDNgYXvbNzEBrZrMtyqS4k6cqQYyFhaJdnvln3lOA
1LbdrTbauShl9GxtsdH3P6xeZyOkVOnccDTSfnxgUFuk7M6HGuyqmFy6yR4d0p2V+JX7YcTYdo5L
kTPgcZQm0h3+41hs5zgfLyCV4GUuCE3qHSOmttsmePuuqCDofnMFk89IXeetXNzlrFDl94BjW+8R
NjNhNKRtdMNxoTbloFWsV4BnISSEMzmmB/IJ+j9zbPIfo8+ohace4eTRwlIsDi639csCrPIPMFHc
PdYW1thNa1Xr/UgR86D63L2vk5YFRMxhCr5maoynZGkb41L1XfmdkgX/zxkSIr+6Fjksg4GWIAYS
P50QYr9EhKd7IiQDZcBR06b9c5ML8roaWX4vWSH+B8lI/KJKrx/9ZEGOlmPv26NvglNrJjaZYayo
YL8p0kVw+2U3lFbgyZHFmV1QrzlCUMzi+7TfiWoZ8i2ls/NUdiDNd0Ut0ai1hsMyU7VAvZ6hZVpt
qJAX/rQmfTnRE2b7JogZ87bEYWR9pPye9U2umALdVGbBFec1+VyuyBPM4ThU4Y5kqOmwB2vTC70l
TVmk4j8Y2ir4jrtMMUOBpLTaCyVdxyfsWM5EWSvlvTR65xUq5rVolhfQi49lls+PxrwQ16BmcUFN
Bt1HpckDDtnlXvFIZcCs5+JYIr09SksjskCfnB573cuIW6Y4IL/unsn0Wa7s79cdHR7BlLNnfCFZ
NM/E8nI+w7vZtT0pXTmoqUj4/fKeyOFlqp0JpUKeb+3U9s4zZqE7WfconQvfONX+bIZm736uPCi7
2B2eOxA1YQ1qDzUCWXZod2rWsUwe2cB22GYCL9UfWBPeWdH7vyXmpidjgE1AfZ8dUrSTJD2XwVcr
gSMlQrMqaxnebuKmLDlVxz5aAkd+uWCU3o20vvGqRqt6rIVn3tlTGm8RcH3FPnE0ACK9FpFqC/OB
UUh3weD0snLjbwb8APC0DBViz8jJMZyz38aEJ7cso3EqggREeA6TwSzV8ohckDwMZZAh5PvqjPK6
OhfFmP+0bQLuI6/ygyIF8MHQ4/oueSlD2lgPT5C7ftGyL0fuT8wMKaDR9znDq8gk3/3nteZwhqJ0
w1uq+Denkg8Tf1XnoPO7i4X/CIt8Xx+QbY1vI6IwVrl99xB0Ht21gg9pmN7wogiHA5yBxwSYzsLf
Vf/kqRdsB1VZryYyya3vSusIdds+OHqw3+I8kf9GXG17ZZEHhOhAPFqiL15dN+8+bNenv7ca/MYW
a+tWGeUzyWDdfu1MLAz4oncGEBTZdvleVO0/4lbqHeAIhnglI4mz1pDA4wYttKtth2kvoq19DCkB
w4vTE8hDoNF+KZHDUqqgBrMRnoW6KMRd2ensDQpQiTyawhEVyRiNQg4HV9bTHRBXKL6jZABA+hCD
xIDpIn4+9GqMTY7wDhakLvnks9SZ/Q3lcvDIzSIrSNaLdz85/vOIl+SuSHG/cir309EyjfIbBe4V
x0j7aY84b4J0RBjbzEcSmeK3pggigyHap0s7dF76yto3SCCwlDKtxTHXH3iAHvEHf2Q9l7MojfEP
4x8uVXrG0pn7R864T69es/fCdaYQHC2jKAvqU02oIlzmnuk6M663OYNVn9b4faj+3b3ldJwLMAXx
p9q9Z29j8pKuJeAoDTqj2okmKA/AgrtH0sbwflaTd1xxA0WlGI7Y60x0Im2Qh+R807QNvfu6oAL5
5KeYyFgwnlvMeJ9GQcuAXKK+EAVHLo2DigZs34h9qCbc+dBaqXNwga8R6A2bkLVyzdgmmdbfSqQL
Yv9BR6voME5N47swTHTi5MdK9q8JLIR4GplT0ghwvU3Z8iwJAyf01kjeperi7UJI30uhUyJAV7fz
fuCeTA+Fzd5xU6sVUwIuOCbyKEOtn6Tv3VBCcBIbtx1y+P6J3X6tbfWUti4ggV5eOvCiiGsqMjH4
dxS4xDpzSyTr8J6ntX7mN5Eb7mtvL/C5M2B29X+mYwYf3oT0MZ3h23edWzm7NUG+n8ANg/SLTCas
10S82EuHbcO1sHVaNUGnRF9fRd6gu86hxq1IN738lR6k3ftWNYflWkLDQ1reHmUCorxs0Sc4DRNY
iW6hA4f5ULomC9C+WT/NmeSPOUaCz3rQOrOQHXbORA6hsJBYePDVj10cfEwuGP+B7umaJX72x9AT
xUSb0f+bRZNHXia9EE8B7g5qwpiZazv8WB5DaypeEm2YzJPZ03nA/RobcVFPoYodQGANJVEI2UO7
QuztupOforQpZEDvx+R7q+KgOyRT9f+GFBcGPdF7Npr6A2MftTsLq+bEaZx+lYm0zkrpf6ZGjwAR
7StzhH3uLMKwJ6IAohjM3FYMlobpUSf3rLAwf9psyUP0WTj5S3OJzGGo73GnAJwoFIuUPsUh2uSy
7jBHs5oDqNd9D3nu3OW+jh+EO+eIAo10a47uG/DX5I0BDEtnNG4PhlFmnxOjhadZKLyDFVT4Dvrk
HUEDD+QU2I+l9sReLXP2aBtCv1sl8tuhEMMNRHqDuxqtf+78XO2DAEwvhaCNwwuIxD1WEry+ctRb
ZjzNS+OY6F+Lqds1QWxtITnpiHmbfMx4J6iWU4IPEWnjl1u9/q+IwX4h7JnsK9uZGOu4FoeOwWBo
lUN8XUsfOENCHh7KxPhOewQK006Th4S0y/7G9YWRZp57ykRn5LTCj3mGqwLnBl3G/AY8rUlCGdBx
blyTVduQ2M5lWbL2Dr8i23uRWOHK0P3eSFpxgSvZn+fZ7064J7p3T9FASuF1OybBy5dK0iewkGhn
E/8RIO6X6bgtylOGdZvKwpQj09q6xoAuosFd+rNttdw+XIORlKN9FEt5vdmBd0RXwaQvLIPdyTDt
l4AvZPLKsdu2U0Jn5rt9sNFovh4yDJQnjaLh2XMH8ToMSsKJN4Ea7mL8ncOmljTAZ5m78uD3tXmk
dBeHeVEdyRi090d6JpOyo7E+5WrHxwJv/6lbaX0C1gyhiqXejUg4BMJkpZ6WphoOdTbP73j064M/
1GDc+GI9mIIsRJ/nrl3vAsUS3ZyN9KyCxn7JLZ9P6/d5wFiJH/iG0BgfDFUY28JIX+YMuiFBAaBA
JYQkZzuZREJoDVV2xqKF0NVPWOM7jCKBsTrpd9fHTSimOP7Q5nAPMMx9srIbuazy4vhs9zJ9KJux
esWnhvC1BF8ajCTOsrIdm686Z0jDttH8LSziVOqhGUPldSUM6IZkC2OMr4R4sFGEc/xD0LbzDcNl
P9G44tuBsHERolr2NWQSGkVE0TWzx9EO+4XgtlPes6e6QfbDLM7sNGR/RFgj4kwki0azILyOLSdj
C12tO7Mckn08Mwjlycm3dS7sBaUlt0rcURfYq2x+01QPe3cevLdh1tkvgmAUFUC8Qhfr+N9SC2QA
nBlqMxAQvM88+32YsLNugsWdphB/eXllTFJACHdN49nCe/I51lqjiXCNOJKNG99nk0xRdtMm7Igz
fkuHbiAkQzqPKJpgjXGCF1R8c00ugIP7IidUAyMOG5qPmOiEF1pS1G/2kIToEf1IVa6xTyoh/oJ8
AuxxQ6zD/k+pzWP3xSHQHduP1T0jWFbwBOMFhAUZ3Fk1D+T/ksrD2rAcqVwndcUesz6BTzPo7heP
yV5Z6mMGa4iKbvFIb2j9kCzBGM1mMn67dmVGjd3W1yaTQcYNYqZhIgSL38Qn4KCJG8oDlaVwmAN5
JNg6uO/yQX0PXEWXqfS8V0xXY7gkA0sBGm+XTCebB6FTaxFsGCY325jp9XfRkhfPKmq+CIbJhwxH
yTVPSUUMbdusP3PWqr/4KNOIyEvWbIU5PPYt4AWrSLPf1rLRPRnjLS4rds4I9PL7NZiJqVwM561G
7Ro2QzVGSSC8m+Cv9d8RdKhXVpPx0bar+G3pxvumWYfTkIPtr4m5+UlonHd4Ozg2lt7apGAybmgU
AVzHJ/dZFMZwQgzZ//N6PUb8/+IXwzdphzuXoLkRmv4JqrIbWfT6+Lm85SJjMR/rhHt7qljbMIK0
hvuMuqglLvbG39LVf9NSj/c1zL4718UvhrwTjro5Yyosq/yXjT+ne5YaN3Ku7r7HmdhYBnqnGTzW
Bshz8o9JVvFAG9B+LrMmi6bTon5dtfWGfY7pRU/a4LYdKLaD1hsfAvjGxc0LXjMcctx3baCsw4bv
TYQruPKkVmabOuaerccquVqt7u7zbtAg6eeu2pC4Nj0BTdQRr6hJ1ILhn5isB8PeY9KEmOH/DrbO
Wvvr7Cf6NAAZ6U/kIo4HEmWqOwX5cyMn2qwNKNwB7lhZG5y7WfJZuCMRyFjP5KZM5jLKpoQOk5Hw
m9urGstszp4WLuu1ANa5J2TMhwVlkjiKDWRGbgrpSGOwwCWysYDN/T9tAu+GrUm+RcyKg4zKgaYc
/VCVxvEBXWEwX0k4GeUFCVERkiMRP8PVEFT6MJIawPu3JDK1LcFIR0raiiAI/xbB4uckQAur/w/s
ZvZAMpabfenF53Gb6RN4/197K+MjKXv4YB1ShCVfVrl1Vl/ucpdrMWHM/O6DMiUSdE6azWRISt0B
ITdjpclpmSkI+zDLut3Pgeh/Ui71/+9O/C9UgQ6R6eAiOULG3YqtpTquRqcyprUBSyv2MwQ+Ut+0
xU6xb3yK8Rb9xgr6adHFEgpe5fwl7qgYyDASv3DqBMbG5c3Bo9J3Rw9XvYzU7H0BKoUt3yw28UJA
ZA42gXo8USllG7sG7HDtYhorMFXYkhL88T9wKa24y1vsEluQP+q8ko7zPA2AIHCYpecgm7t/qVL9
NQ7qAhNupz4zTqUT/lkdJkSzPhP4kR8DbLwXVqjD3pDUQ1nlIr1cHKPe+daQHUpTqWoXOK26CkOu
b0aVyPNSGK6PFA+tIOKGCj0eoxTJT9KbEWT4NBxmNzvZVmXvjHkeruhAzWPAJPqj6HJrh32uYLJd
9+59mRsDUk4qM/nY2kb3kbGo5NBihNLGzoKBZG2zw4zY8rNPkuVHWuX62PlD8bC0q8uZQJKF35ni
QfSSZGhd1e8OAarhEDv/QbTqSaIAYtpXvfFtTMTdzLbODh70sJtMv/7sZ4v5/S2VIq5SyejKTX8K
hB9sAmrrLIlw3EzaznDf4zGD0JF4QMwAVjzGKYqpDaBIeUy0tAH41PnTDbm10SlBUnLiyc5FC1AD
Y1VPrWmV/iOO6eEFg7K6q+nxSPAsonZCuDvaB0Aw9n5F68DQyFnuyJzU32ufG9AiVqb9eaAxWaAw
reueUoohY4K1fPbro8llhsM/iFP7bmyRRJkM/xFulvJN0zUFGwBq79gg8E8b+Es+47jV9ziUp6c1
TYZjzdVW438lJsSR+Mht6BloegE5sHSZ/B2JDGs0VrLcZ0E8vYJNGc7EXFdXcUscAb7hIHJlucsm
EXQUM7VeBFfDRd0BqRleV44v4OpW+JMJlaHzxmCt8yEi5NT9opCa5qgeB9IBUSCLs0ThLSLLYN0O
0YBSWrHI248tXGTubOeDUW2O5TnTExBQfyFmwrH8yzLNHuiMOXOZvvfZ+AsyQ1hIw2TK944Wb6ea
DBVPMEsiL26ukchBJfVe3/j2TwychdwBhLNO6M3YATGGrlyC/lzXDHYZJdILu0YmT0Plsf3LcuLZ
frApTk9MwBMRpc3UtdsJ9cl8ttMeFS8hdUn+iPLGIjOJ/ubXlsK0t1XJIuUOlX/fgBpO808mkWie
iB9N1w0GHyTMopjdalu1fBkM3GT5qDOFyWLJKxubWjFBQGQwjuie9xglMqFCKJMDmsNhnY07Xd6A
MuhiEZgpbjaSl7ziuQicWyK2yCp2M4XOU1J4UnQMVaCSpwk10hVqEgKJtDAwP0Nk2cEKpOj3bLs+
tEg7qFDK2u/R5wnFei8AjHSsDHEjZnrB+g+rAk4hfx2mk9KrWE/QK9sX0Msg4BTLanAJza0Syz0R
+49gXdn84pvitnRS6EJgyQqDX9udcEwGdFfMvmrci2cLaysvQzZUhBb5yVAeNBgwgPczGDA8ny2g
N5js5n6SPZaUvC4+JkSqlIXY5OQGFTIpcLppg/OaKX6VzLRWsHyQfrew9yxGZ2zv0czSAntVwM5T
Oylsj86AZrGbF9/8V/QG4Se4o8xzBgSAXrNpwVHyR+Kt6bNFQMSrXPc0TaPn3ePNaXnvW0F0sml4
xnkRuop3lhR1FSpgKO25EoF3IITN7I5TUcK98+ZMfN94plS/WjV/tjt5USUJv9jk7BdeWL32K+Ez
cBKijtC06ZwJ0/kz9UjrUqZ+ewf2wXkglcV7TzjMaWGZg770MU3STiA2JsgXPNnerRrwNQG3K6xO
4xO8qXmESKsZtFpV40eILoW/8yoWqiFjLxQZJBvtp66cni3mrb/GULwSDAywJQmYpeJex8PgwErR
yzcw4ROiW1TYcWEtyGq7+Rm2in+mpaHwSGjN35HLE9lAICpTNcDycaF3AfjNTWnZ73SODBh0Zeyp
tIO3TM1/i51nEWkpNHtyZLbuVMGhQ1hPKYGxgen3kD6huyBsFQVC+s8e0XXwMoCqlj8Lx/U7GKeT
i3F0MxOu3djTIxkO29rFEw4O7hFb5NW/GRQDikictu+yd9EuzpMixRwS7q5CZxWKUWLUg3JIwGJi
RSiosLXKNj9YfV8iCfHHvUUMIiBK2d3jYvEe24ER/DYmhwtYwTJFOEs+EDhOd8ytzXOetN7RdH3x
4QxDfIKMR6aVbwTN59p2wV2hb1qp2HkpR6Tsoxlk/y009nsTVzVOWuAiDQKbMmAh7eiNVfgXf7bm
OwFjcFs2poQVimcNTUP60rEwczfOgD4U6uGV8bJ4YyDo3zGva36TWOhHv7kVKfEdoCGQlSg4/LNX
ivaBCsBXt1JqPQw3bX5BVTpbwn9K4b0ChoKUUAkP6YpqK4z0qwOfogRvBRb6vfLVX8BePQJlE38t
gJP+xaRv0xlr59EFYxgVcTtvbN84sA1j7F35XNgmdpzLKAUmM9lz8WR185oY7tNIiXkU0FQiRTLk
PRiHgnUqRxR7rkNS4CPpg9iIaittNzkDaxXOYOTvau1WZ5pZZnD+lR1hhraik2e4wDH219RMqQun
Z7GWi7PxFcTiciK6tObE2TFRZueAUm+PwIR2kd0V844RReLifip8EJthtN98dks71jrVBsP6g9cG
8b0xW3c5NrnNiMs6Ao3EV9WXQ7isno6WOWhDJsH1bjUgh45u3/4A7Rsi5KxD1DvOe7pggCSGfUsd
D0oSYDEVLIuFwPT8C9pSeXI18mMlCM1SMXo7rfA5Wzp4KRMocQQHw4CRPyuGRzCOurbPHkLqY52m
8p2V+NldEYoLlWVkIrvMVEfxuSz6P6sr7nqoB32nLZsRqtmd7bjK97Ynj6hVnVD6bsNMJ04PSJPL
XaJSpoiNu0TNoP5H0Xktt40sWvSLUIXUaOCVJJgpSlSwRi8oS7aRQyM0wtfPwss9t+rU8XgkEuje
YW37Gcnfv4h0voDRQ2uOxjcQOi5noSXUiTtfyFl+JdYgKdq04LBJK+/JPP0G+4jBFrMgSYwTQASz
Xmu8MKYKutjx+DyYaCkFI+88Jcwz+xukeqZG7trJtWjVObOrNjKp1H8WmeP9qGp4wGokNXxhmFN6
Wy15N/DNAMNqWZvJJ8KLwSMOUJDsF7VmGzi+cpydCzfsNKiJcSXj8XgiRd3W3pMi+0ke3Up2Jgu4
yGosk3Na3Vn0nknD2/2RehjRtNHSm0QXf0uHj0/vL8aj5RR49s22O4JvGbetn9bXyOnfA7zH17h1
kJoyIo6apdEucg6NdKZvyxRcJ1z/KlHAuIMBCQJq0e6hrIHRop53hHOUP3VwYg5Nb3xrcMUbhrR6
QsJ0LXzP69jG4FF0lGkrvxkUJCWSF2PN+DxFV1PjPxWBpZ8IkN2oKLMsLkxcHH+u6tBx5+hUSIPb
Lifn9JxUA/IGSIDDKE0LC4MSQwn2H1ZkplisZZvApVnLWHZmMXBoeP/R4+57gmmFgKAhrYHLOHHM
DTSvnsqolT4pGEN7UFJqp4ImfU8s4xs8+zCe/dQAlkkf+h9xYxOADKTqA5n/mtx0yqy3UU1iv7TM
1SKcjtOJczXvwdoZLvBrjGMmh+aZ9ZXsPy705KOA+POzRG9Lm7l+ZvxBXm1H74P5x61TF42opRG7
IsVATyy0DWuKiZ5neycdoFtk5pA/+4UjNoFvGw9eNwRXxt+K4E12mBAI/3Od3vujB5/sjBXP81Zn
cWefsH+51qf/DZ0b3T3eShd0xT1hAv9Gy+EqHMm6ala58bDDM/hVaYL4vGEBUvVcE1JWfsqpIIZd
D5RG+exjkv1JO0miPFD5jv8nOJvJ0swXa6niX6nBUrUf2XKLQOezBOT9np35rxq1flEJw+Uu+BEk
g+Lb9CNyH8ly9dksuKuGrJcZl1dVqhZX1M4JL+dmWDLQs11IfhQbIfxmP4+D/44tTJujGLhSDmyW
HDK75a2kZHD1V5N9SFEf2VMCwxHHpnVpppYXYCPKN/wVVmb5Wk+uWUPqSPJ3rlc8kHDcKK/x+Hdr
5IBM4DEBGvVKecfDv8frsREgXHHLl0Gdnaq394Ty61fGuCOmrRli2tkmc+1eTKWy5Lj2RZ6KffKh
f28NQnFl5Xus+dUQkhrJWcrEZVbByhfBfX5Mlj6bw/TLV/E+6IlYVZRrlsmZIK1XDS60Xf6Jnblp
WPMwYKxIjoSo2Lc+zeRHvjDVMs3Z3RQeryzVinM1Rvuizb87owBqA9c/AB7ozfwy6ZVRbIr/dMYy
XGj0QFoaeV5DctFPbhA4yPRpe5iTfv07dPHds5P15ec54mr4cXeIrbR741U6h+ZYg/5wy774lJ7n
/ZiTlf2QL4OhkqR1yCpd/S+S0XOaUoYJh6H/7Jzlrr0McWHCxdr2TAEki9c9PLs5DD2kEtl+x2SR
t1hVGYWpyTyOotJXzLF1MnpFuOTYNWOiQ0GUccsr5JsT3BkI6XSqFx40LkXsk93OdEamPk43Xcvs
2qCbMkSCrQ5iMP3Q6IbV72jecYFevTaPaITE3SU3q/y9W/BhBqmZ7EQl1TiHdf5eOzxXpRFTboX1
exz84ACA/S9a9wK8ugsLKGOXNCdfmYLzPvE1cW+1kRymmfbX6FRRtusQwXdtZcOwTofRwAbG1xDN
e0sWZ4NvDkjF4tA7mSVYTsFST+6u6+nFIp7o1I0m12Y40FH3X9DoI+CNEnelrIHLBM95Rh1LRiQw
KPOwxCXn9MRWXnbh+BUfJkITV119EuUhhj28GYyTefBEGlpHRBRQ0RdoJodY1j4H76rTbLPBFDVg
7B2GkbhhNeZHs1PWXkm3fNE0BMM6XbXCrGTzqSs4DJfePXazo6Vp+9Aj6X6T31cHxzXmPft+HL5t
CZ1vGJqbXpKHD4+GIwkM5xKCc7PK4LYl6m9ayelPl3evfIEsdjqL6a1yCbzjsoofrulsMjgUqR95
U7Q3m/Yhu6JIx7Y/fLVCUHbZaCt9JKNNitoL4lXd5BCVg9iEp41Q46XNNej1nQzhS2MRep7ZKdxA
KfkOdFVfAM/UYT8nnBb1ujOeYxxfWqNRp95Lg90UM0gsK85tafw9ly0vR3dy9wQ13hKrujdNy6sU
aXQCuxHL48hx6DHgZtITmkgh40MVY+ofOi2N14RqDuItPrVNQHf97lsfzgqkywKOOUQ0i6MhkpcF
e4ckTl7vYrLTL0bUPxc5XF0OFWaIVmOGja+yPyY5Ah4zfHF7EeSHCQEr5AnSwmgiohQybCnYnDeG
l3QYNMM+tDY2hH6zmCTROtOXeulnI+isMNq1znirSzxjZVL832v+nk3jyj2FEm56MeBdLsDgtndt
6lbHNktgNkVQZTz/X9QlV5csNaxT/Jnc/811wDst8EYO9uiIm+TRfjAyOr8Tn4sq4uUIs8QKyexy
pUUs7cd9E/njmy/iepcKP3tj7eCscHNujlTOX3o1WHVDFn06lHNXuB7Ut2bwQzy1j9g3B3q1XIp8
ujfzRFqnXlDUg3Eesb9IA+/M9dCxMyJOrVTxGc+Og/gMdPgpMNwRlR36S+4wjnBeaELfCoj5Z7kA
S+ST28ivoJTdozWcpwZ+ARYX0vyJxD/5xCTo00viw+C3OXBsyLRn9yXHNxkGdgQyvh3vUVum26mx
us8Fiw75g8ltODTpOR3i2DuVgpRqjR7CWR5NDGA0aD5oPVw37SJxDjSrih3ftfoA2qCl0QLJz2Vc
DiCzJKzMuZONJLCj/FCmybhDreMnIwrjk1Mo+HuqY1tikk8rJxIn1i7PDZlI2iUzr8aLLafy1Z3i
/l0roZ7qPDb3XbKMbxb8f/Q75KJz56FTiHK+FJoJndouORuyCPwPbHXAcXJcO1WSKacdsUCQV2Wc
DsWeZaXmSTWdsx8663ceVGfh9+OP5g53oQBo8eyl/DLhdjndv4QfdHHIS9cjV6gUJIA0W6L+wJ7D
iLsaRc/Et4dLrGMvexSINe5+FKhBJ8/qeOw3XJkpeKJCbJKm6yysmVp+KNoToctA9LNMEaSNpSfp
TeCxcnkH5N2LlP6PNaQJWlXrHAoIWuHkzWSSczsQkJi9KXS5eu0XDhKH2ud7Uw4SZtJEiShm7Yf8
ulr9OnMCf0PrlsC6my9/dJ+q33Mp/8xV5x0K3eYh/neSkyMs+S6jth0XYDEvmSiNL7+pI0aj1sY6
8WEqpr7NAi98Y8XFtBg24GT/QOulX2nztll5atuczc0DF6d+q3rmY/jLw79I1ns9d/n63NVxQ5ue
Krkbs8pGhLq3t0uQnUSVEpZTrSYSO6srj0zoA6TFiWKbw/yrG+wapBAtKh6WDFsWb4ODVXmW45gR
22grPqbwrAgr9gmeIAIDizApP5E9gR1PHmAFdKeiIiK09QiQHUiutdiaadl+sANDtReKjCvOJayD
enySxLPwfI1BJ+t5jOCEpvJapwTxzOG6EF8GteJJES5l9B+n7eXh0qM2N9TS7SMSlT4NABXeKC1L
cCKEAj+U1JD5iSKWD1OP4yFPAiKXPf9z0+zifxAnhzBg/PJMCf6L5kZ1XAiwr2E6NmDLdYndmOGH
7mGmqCp0ZO0+OL33l3yCNUb4CgEv0FZ8j7zWC9OAzyVRdwIazYhWa2efLMN050Rj4HPBbQGVSuww
avXD2YQwipmODonxj72AU54QQ2SAj30MLOxvOmR0ZZ3EtzfApRjIYq3Rp8WCuIZiskFzyA8YD04W
FhbBDcL8ifVu5/ojmytkyHmGakPR3yG0J9S/LikBe4IlRXW3w1HO95xl3c2QEDPi+7ObqsF/Imvj
3VqSumCLwTIqF+N3Fqwo8T74kzqDtY/KOcEBGz9i2wHeClkOdgx3uJNaloEISJNHqHJajmfW6JdN
uuhi5ftY1mUwE3nrOAgfqYY4rPHAIgVQz3iOAvlFeG08T1ZKTwszKCyYYl+cekFFOJoKF6AKkuTY
+4q2dQrT2y26YNeiwxAz5cn7xemKMHvUu+9RYv/ip7oq4GRzN7GRXZdILr8qF2Jh3Y1E2lqbAc0l
rZ6t3NShr2fy1Jl6sDyKaR8Bcl43Lqx/MfoH9L/VzkHfsyjGw57gH7IaDIjmvKnAeEJhkTx9+fTM
7c5vifA0Zs1JKWOhjI23gD0+VV3YHRmYoYx8jKUuD7P1JBrBJ2QMY/JRWojZ72jGbmon4xQZjOxE
wQa/N5n8Ny/+354iP4UaWCS9wcoVCaWCtGXvEgJdGGQPeyFt7k6C7CdEQuibaVbvbb9akzNLxR+4
iHc6aAy3e9JL/+NF8kLJk0UFixI7eHIO/Mx4LfgY7E1HjxkKCI2FuZ+eeP+ql4lm5nyicu5QpeI/
ZjIGM08NNMCekRj3ObOtc0/y9YioWh6zrGcUxGaWDwcv2OEP1NicFlFdO84uE/GMhx9MuwSS8EGa
DvZ3YX4vsXHQqmW3soCrqMYCfSuxg5d5ZElBTsyMFHNz8hvWpwiBGZ9xVjtAHlsz4tvkLbAClfVV
dUPS7NkTBRQywgatPNEfOIS253Ih6sUYZnP329k+tum4UhyYhwtsTY3ACfB4suyCOxU8Z4HxGB27
3rlwb8nHGmi4xWhPTP4oYu7t2AGM6Zcu8VfA6vzVsLQGZJ/J+ktfwldZKxH+V+1oMYdTNi/lxYRy
/iqRauszYQH0Ct12J13WI/jS1o+edM/X9o6hWxfhVOeQHpK5HMa98BZqsTt8v6qjdlPal6ldH95K
q9cpnx6ZbYqdrfQ3paKp2c6atCX6ECe/ZmH5Ecw5pdg2hrJDRiomyCZAD+wmbobHMg34BU6m+DP1
QXOO0OmINSL9tX7xbhg0D+MZHd0kDpYAS9+0FN5jKrkTjvY0xWiTBeGe3MyJW5gFNKKIOjBqTWsV
F39h0VXMxXjN3QLOmyVjtS0av+Rtm42mvSWswPz2PNofPNbrv5wCll8Nl8spbBc5vaK16ld3gTee
UcM+WiiS58IwP1YmdsigRBfGph28EX/uqfokI+Fwp++wKM3m7JnKP3GYAHmRTzIkbo5gZzPL8gxR
YS7oJKuMPnQcXQVvpfxuONoaL3jA8xmWikd0y2/6IzGLMcDqIMCUcU89Sj1GN8ta4Ej3Mv+cy8L7
3TAf9HCXwvlgyxVXQJXa39jAoPkWacaCtphVMR2RiOXrEkkgAHAAXrJx2/eMP/iXKupmP2g3RK1g
H3GhqLvnr2hzLNOCEjRP8Wg5ezJKHyn4tdvogy1DE4OdBRQym/bpPFFYKUeRb2epuz9+jSvfSYX8
xJNq73tcsms+u0aZzkkIbgLUu6KPdgRap/gMcsVjqZZEM0OyWboDF0UUOvXnnUlN5JiWgXyql/w/
eOJxuFAnphon1Tnx2qeyW95q4FS2xjICw8QgjbG0f/sY9TCQNVlsb1Sb0XMl/mJZGBvPKxVIiEQM
6z/rLarS4qckChIGalDksNJgocRq5PuhjdyjCdGZzGZR/1q87OCm5bOXpP9yj4cABXza2H1GOQEb
gvdXM6p1CENIRsFTI9vGCZSkbAC0G0MADasOAY2CX1d+6N7L8coAbqPD8oBtyTLtDa79J1M7+W3R
tO071GeUG4yiJgqOHRGyY84tQdJwm18H9t2fGUqu+dDMqMCD0vs06MUF+YarsyyHQ02b+RqDFPqb
whQAHwzmCTk54PpR2PVdznNwxJW2SWBRQl8mJfed9P9KJr4vzP5w5ICpfuCRA5NVZPwQ+Brv5cQZ
gUTrQgvMqz8bnASf4dGFwZlei61oB+tY+/a7FUxFTaelUP9NxHPo78KOSvZFKu0XkuUvzDY4527F
JUS2/+Q3hngiI4ibibHMMq2Vg6lPopcEl3LHlKUtdyTpe7Y/BicIoT/O72rore/YIwRs+/Sjhqy2
7s1gcb5RcJzNYxW03k60dXkvg2zaOTSbHiAMRbCf+a+rTec4GjI2IacLJmfz4Qip2r3Wyfia68J+
WrKIj6uTZkeakcWZsyAOiWdTEAdXufrqHG6xjlh0Hg0yCZ4qev0YpWh+923s/sc5pj/n8WwcGm1l
lyDpew+9w3APYLWsH0T85K85WwTeEcmLuatucipuo6vvNUYSVfqAyvhYpMVjqYZ8z4LHuq5C6Wkb
jJ4Dfddgrpp5qlPJjZf/41aAptmOxlVgiqNWf9MUHJDd8lhHiOWFR10el7BCztksVQUWdrQerZr4
Q/jOstdefFpZp/Yjt5Vsa5qs2wtXRvtxqhgOY7MDNkfAliHO5ylR0D9Rr+plhmWEIX2sJiuOqHT0
jnEyeJrTAavV+OhsZUxoMFZ0Vaqyh2PW87t4XQAXAeLMPW7GLohpJnqYydSwNnasjZJQiSSOuwtN
5iDARR6sLiK2uwieC2qEWCaYIUMV1zRD2Qn2rJ8E1/IOIIF574Yfxb9ELsVpKEZp4O3wuKtMFkHC
kSbc3SdFdoFPFez5BBbPcyn+aFp/YWRBP04E4EJaBe1m5NuWjZSnZ0+zoQ5+ovgbCMpkdEaw4Xs0
pH9ZEyOI91YxHjphHG1RFtT3qheHuwVJeCoNCDpMNMRNQuYFOBiWgIUJYnmGfXAaxQ+F5tQrcHU6
u6wEoY42E/ApjM09kT1AGlNFwtvT3nRb6OuiBSkRIeAi+RFKRDF1/AA2VuXVx7jGPiA37QTLm+i7
xAvbVnZfujHLgnWGck530UQIdksjji8d4YhBfwBTImzj1oN5lexmn4MsN4JX9te8UFoKAGsFPiVk
Idr+Z1EGfvHcONKbiejSThMs+Ew6KHubPHGdm4rmnq01Qt/7LEiX6EDCvWrRgEq9rgzi0udTj34y
2V2fvnIBnJwQECZydqX8ctcZU/YpEjvfO9wivC/u4+NwMnQzZnvX7BgfhadFQs3jqX2x51S91C14
KhBckfyCeC/L5wQB033thIuvBOShTl40L4M6DKKgqe7gtQXXPpajh+asKX9Oey0yQ6wiWnLtUsYb
mzHNnFd8Taotjhn73QYSCquDW+4h8T6NKCwj0zAdjTBmMwndLMWVnqjDfHVl+JzxJzHrETGDSV+c
KgSMU+nKHMWDVCTx3lpD0UpZYfYbV1PJLriDbWSzTO1l9myreJ1AtxiHPpWjGW0srWr0EFJaLGMt
v9uSPbqLC7zoNxVVe19UIl7u5C6zNmyjLp7fOapR4EdnT6sf3+3EC4e+Uh4K14+oNg4ISF0puiej
MHOLbfd89D7pNdfN3WkssRywA0i3bBYLbXA7J7BWmg1i0wDrMAf2GRkRZbDUdnnj1ex+NVtjcouJ
r1+PVM11y+TsRWA3YM+8dk5UFcVv180YMifGJna8Ilh6jTJreEoxEotrDKCWJA3BsNOStaX7ZNUA
eG+sI1QPLn+5OHIBGnns5hO94cgCLLpJEv7um9yHWwU5ZoD2OPK6mJETeFsGQVnwbXVthgUGWTfW
jqdO+snx0GFE0WzK97nNB/ULpJ3M+A0SjwdLoA9tlGG8K+ZmozOrYaZ1KpM+nq4Y7bNg4Zfr1hac
fvKrLtta7sZooMKi+cFfy1S445nMWdXBjnP8IxGwzv6g3suKqctY6MHjbPyTscnxgRmixE86uel1
FD0nVIGHGgJvyc8wbPp7MVrV0VzLJLXJ/tTGaJDYETS8NdoPJOcDRS1nerKScfRVc2IdXzzSxzzD
2JN2SsNlvKXuqvW6Ww50mLwuSsd/E4XneleJRKo9AZyp/y4MHcTfGbvm49m0Rzu/Fr0cTtpDMWU7
qC3WLvrYkkk24ujckDgyH0SzpweFRPB/badZxPbKBYw90zcJt58nwks28beUx8XkpMS/FuEO6bWi
A5c9maXNYmM829nZITLeQKdJXFwy7sq6QEBkteFYmRlBX0vFOSkZJ37EOmCLQBQtffuhLNiF7LP5
ahDi7jGcRfrLWCqUdrdiD/munMggAOsA0fLY95a3bFr8X8NAdnhjTMzER0jwH6ppxK6aIvPh1011
EqnX/47twJPwTWxhEa6kF3YJFriyaQrRFurdrKuBDVcUD/TirE4PiGIM8o06NpOD7VBw4MFO3YAn
DlsufRuR2SbPXH85Xjw4nBQyTelvwqs/NbE5/jAJNXwuOYpmQuWtGKYQVjh6aBvDvVljF1bUnKJO
2US6im4hEW4qsz5nYDlAqubxgNjGtEs5YbtAkQYZRFXeWezl2xpEP36wNxF3+2yqszXmkaSsdqgp
9bNDO5rureUqvjwcixhcDuFIVht6N4LeP0s8jBnpRj0nM+sL5MiY6dtYg8HWT1UhAoUarxYNFm2/
v3RGP7gImrH0n0w4/BFgidT+r+YyA1sRnp11SNjSOis07YmMqW28A1WDRcA8x+BDeF0Jysm2tbCr
ucZ1NtjYs58T0ldISBkT2kUWEyswo3qds7YqOHgOlGBiCry6p75Vb7mCryDWgO9HM7RO8E9TDh7u
9E1rCPJCU3YxMDeJwjxZc2ciZ9amLMTZZ711X0ekJrftAL3qmo6DrVlRcKrk1PicEI4DPn9IYrF/
d9oUMFoT11xe16DNSboQG0jsAvhhukr+cPzvQtbeCBXF4DSfAxvr8tJYRPcevbcmDPu5tiGRtlib
ZPvY/nkarMKnc53SAGcfi3EpVgOm0nZq2nc6IL1cVOqkrTUYaK5Jmn3WBMk/NjEs/wm50iufiFu6
pEADy1eUgS2Ud6TITEjKXNnIq0cmZm/tHTxPeXeCOMFZwa7YOQt01R2H1Hy+Tj0v2GezblG9CBqp
iyzH+oN+x8RRqTK6X4VpqzBPy8b65NxWnlJOJzjPIvaAvhDW7t4bquUJxovj7cwWR/JgxxEULi/x
T1nZRn8kcH409KG5AMaOzsw0j1eZWiWkHP4GLhvGndMS7+ypfWT4e7BBBXGCjosYZhf/ARTPSQp4
AVITj+fqmOwJ03fTzk0EYEAyVC7xMcfFgKWtmISxRVH4UpVBsm5c9MPiXzzXhsE1DnRXej4LlN9q
MRSHDvoAJlElzXe/WlHNQLCQFu0lLcMcl7LcBmoGkE/jkntcwVNlm2klC/bpWmebcHb+SAcZ3PnX
xNcjuTusMdM5uUvMLXtjD06fHDh4d4SImdkQ95ac7snwMWYpmk9kDoGcknWLlTCxLJz5w7Fc78NO
tPWSDzm2+bhuENz81mn7m8m6SXXrkWCinxKHjyeHLXmewqNjyurIFRPFEa2JXaZYpoWR7gJqlHHB
a4LP79EYU4dXDqGUt3gq5VXKfjSyDXM1RnGbTe480KkSUPATz/1m05WG/ORkahkvpolN+mlCFD0Q
dSo+Bgp14w+hXMhnvM+d5FP2HE8O5Nib8VFlc8LgyyTJ8nhzM+/ahvkPdm6lS0dH1i8OaNqZZjV3
153HZg6/tpp6xWUpM03+a6W0/hqMNgu5FDcPPhORvtLUs99YG2Fz3OTScEpxVyWetog/qU31846E
XMBXi195dIngSNLkbFQIBmRgCmk05NbppsrFZbJF4j0JzQXpDIaxFMsGnMpMHkrF6QqQcOj+vyNs
xMS1HfT4OQoowJpJ+cezfP5YmxBkiJ81OmS+OEIfo9kOTsDueyx+viahOQ8qvjgT9+ltTs6+vGfK
g/2AlMXZtxiVB+6wt7HxbDOH81FLrzNIeAkh6dT5Nh1c2ZHJhX4ZeCHLDd70FYAnfTIsfnv2DuV4
/Biq3nCqHVtX3Sd0bFbCVcNBxKFT0V3iXskzAkGSbUlCrGKB5/KBczO3pZFowZz0N5bv2ulJuJ4V
nKoslfnWNnhjbNBgiSMm0htD6l3LFQl4+Yw7y2wPw6w8pJd2Zv5nWBivops2bgnvudcKYB6cP5FU
2S5nKXShwBt1xgdpz+jky1byMARb5Txqu1LTS0rfs862BXQiemK5in2xt3qraV/KZB6xLiChUiIQ
RFD5ECgNhsTRJ/RYfSWQZTOSPMMWMYS4SvgvwY6osoBQkdWd9aWAyXu7oeXUvM1gk8zEVaw0KEBQ
yWo8W8HqUdWJLRq1q6GLBFyj5SjmYZeNfCZxv1iaLtjd5uvA/WtPKTDexdMgvjNa9zefT+mRKW7Z
M+W31NPDNUz0YDVGoM97GigghIvMpV7fIsh7TjC1OzHDlStaRaaWVPX4jUmUJD9+w8LwjZZ0QfHU
Zg9wbyNkRqQwsy7vXxJ3wEx3er8qDrB/LPFAI4dXP0qnOiQqMtAEVFRSjWO0rtGU5Y+eSbs0zOqs
vhAgKEKtTHmMJ2Knu7JGfxomAXNKVolcmZMxP+alvTE9zFk6FmPXhQTrnD1S+kjmCidQwcXJhvKt
n/w8v+amP9YE3BfzT5Ao6w9CDUTf2nACi/858MEvxRdG7JYWkE089QDCN6lXYi33hftOk9PdUZkY
wIlVxsWk8MyhDm2wNnZN4VsVTLiigAQSgVwgx2NX0e9l6sZQQ+kYXHBk8QK5s68M+6xi11x7ivjb
A3W0d68wGu+32SXtjUD4AnSpqQ/EE9g7wUbKHHI/87CHMjZh9tcDug20QDfh55HZQwhisOVW03T9
Xigi6qiW/vjgBJfV77DbSB3wltWS7mDPqaYRM28BpX3P31Yu2c25nsiVw/iPtzV7mWSYG2POX5iK
XvyDHjiqnbrejcTRr2OreSvWZhHSOwiZ35OeJ5iAFaSpbE1ON815AVFGHVya9sCdYInTF1LhrfsC
QGukD+Zqn8t4kBiwapiwbsbxDFcxadnjqzj2vMGO4x61s70VhFkHhgiFlw54rQtvx45rTZMlz37P
7OBm0GQJcyLWeU1vzsSCYhyEEcoubOTY/3WL1QfPkGfOrfTh3HAlZejK7tV7ncbBIRWWo/axbSU+
QS7hvpVTF7z2Q96/WW2Q/J2AKphfAjjDCnf3rT/EDkdS5rnQzxzaE5AkyUQgIRdq5EWegPdp+VO6
oEY4Nfo4eTOG2fgPkWh+BHHmRkxL+PBtwfZB/rpG8OReIi7rf5UZIBbxLPDewGGzf1Tk4zDfC1Do
tybo+ZcHmuCwserqMg7dRrk266cKavfgJXUblhbF0K1rFfPFyLAX2R219NuUtMnvgASWtSfjnpTP
fmNSKIkCWlkh2jFPNXPiHBGTPn4DT2mI8+z6w8S5pwDMDddK1BWo75xJFJwPvDpzCIIbXZemYcpV
MRNUekhll5IIbsGYKsOatE4S1woHljoudoMBDcCNVW28PN57IXHAaHqmFBR80gQp3rGkRx22uNcn
WXpQ/QECPRYb6+XMldQrzzHO53ditvrDN7V/o9FgzEgY/sz6tQ0kNIitsf9ix1KNzWVRaEI1ISre
VU+pxvljH9ho9H/M2hBQIcSzYJmBGYyoXAYm4TEwtwsCGY91COc+gRi3NtRlYi+33mLMYwUlQzfi
CzJNxYCv8L0W2jD5vOlJW4G+a9XLJzuty1cPlmF0N6acRVo70hM7yY3sA2tXWU3HuS9qgjq0oV4m
wPVVekyHRnwkLut0J0x62b11nF4onRd2Yu0CVmMkV+kGeu6GHuQIYsYAzm8xJniMWjf9Foml3oXb
ArjJtPlTZEVwJgaj/vWp2V+z1HcvTRHHxcEONJNIAeUI5LqxTP+Uc7diW50l1kzsGN6TjDC3nrok
SgLuhhyJL7MwW/tK5rlTR0fzb0xiC7JRkFSUtOrJTxU0ZNtzvlzdGydK9t34QSctMJHduZACcW9p
Hf+tfV7+99It0XpxJZY6+CPczs1uxThkKEw2eC+mA3ilELSLnIn3i8W7f1cxGGxtAsBjR62XVN+4
dpCmph/PFWHKMhCGTJc2C1PBCyfNk+dlZGLHuQlYNp91/Ggpmg3hMFs5KPElcZw7YRdjIJLKkf88
MZLBP2POKMtEjj8+aV4PL7Zc5juDwV7zzMJQ8V9VxUiqYxB7EB/SJqWAtv7uANSSVKpoMu866i/G
w7UBXlRHK2YqBLT73AbNi+EGYJCNTADO22ieOXa9DgFn4OdFEoD0kJGoSaXKkVvCBuN0NKB3NGKC
7cXf9xxBOmWwQTRDqX8ZOIKJsxV9Qz0MOSqd4iNaM7ho21lW59dl1vRqKp4+RBgR5JCR5uQjBirX
0C6vl3aHr04HHCllku8uI2gQwYmOZFc36GSfwgsEOtNseGUF7VVgOf3yIvD/Xz2MiAKlpI655Jcz
w6gZTAewEZNb03EGAM/NUoicfZCeOqb1qyzbHmzLrJPYvHGN7InuFbQ1MdGd2s3pSFAcISrnu4uB
Gk8zFt8KbejEeXfih9fV3rG0KpoacTsZTOD54uR4Mu/Ah3AqgQYL+MR7XWvHzV9QueUhHkVzcBRX
7r9SrB+SgUmOkwxsnEndpOXPlDl2xuXeWnaacXO5Y7mbT+M4KITWZGBw7XsZabAei5rrx1NqyKa+
27YxqH1LNCzeWrpyi5PRTaZH/dqtxC2PcwKT7O9RPGGl5zjx+QeL6Yye+dclkl8caLLx2My42l+8
MYaim+aFuoOt5lUe5c10q3EMzGDT9rHy3goKl+4r7YWyiDeEn4yQaBsxwgaSFYG/YPyFEwiLIQ1M
YvIoRjFZjsawbwVH73eLM0j5smRV+uqh2HJ3Qzf+YZqDo53vxu2L1bVZvfufszNbkhPJ1vWrtPX1
xjbggMOxs89FzEFmKlM5KCXdYCpJxTzPPP35qL5REGERlru7rLqtq6o9APfla/gHvBXsu4xz/Q26
44RmMvzdLQUZzSJmmdoQr0xKjwEl9Ty17sLc5y+gco+2IK4LNkKdtVIVnxivhWifBpMorS+WJscD
0gQGbNkMW0KaeWLVygiF3ywuj7UoYuWxpgYCwqEJc3jMiadMRBkppNNmqKVvgXpxxGuIFCCIqNDJ
Ejdkdr52ACa3xaZPI716AE0bpt+yAPTsd8OyuhbbQkDva8urm34dh6riPQUKBCEm6wYZAnzYXLe+
5kh6SGXloz+mv0MCYkgGqMuJj4CPigd9MBC1YdZg/nDwhPOgJOF1jK0P0cjaKxPNi5Qqh+b9g6J5
sffbyelboVVGUEZW93vBF7UOHKuqwbkgVbXyQdR4H3/pTBrgu6jVCw0SpirllnEUzDm/6actLATc
hiVzKOReGmOS9/aI8gHyFJN8yHBVkYyBRlofzjahn8P8BmHLV/pdAfg15qAkITaUfJhQgiIqhwQh
49aNbCBDRwLaZD1j4F36iKMoXk3OXDBHTDDqE4/JJLJ14WlAGkkYg8x+q+lSUakXqRx+0T4Hxkrl
OYJaoN1YxLQhMcEaut/C4QnXmhHSo3CGtn6NkyAz1indoK8jsZhxqGIFKRnYOLzWJNdPydQpnKyg
fEdHxziUhdZO96XZUZaGyL3uLGQX/DdDUweaGZMWW7+oMQzIa4y39JckKO33CYsI39/p+oSIx0D0
R/ZDajG6WIYXvWZ57nuPLRz9HZYZCKbX8fTSaqjvza7Mnd++GUOiBVunG9FOxaSszJrPXDsRgOc0
zfJ3vfQ5nrBggm+EGPtrPfaShksyYT6L87jxpCmmo0JGKLuOjloyAZhIDePzSH2gHhusMb7ndmuH
7wCMUDAbzCrGM9r2xHOXezo8oTKmJAp646uONb0LDxlOLfmq6b826HXZn7Ejpdri5Dg/xm7o9o7Q
ICkPRXpXaTPkniZp8k4COx5o/8KitIXVbLFnRioRYf8GJTBgA+NDao7VO0SJcHiJ7aQfq1Xe6fyd
c4eUpiOp7c+GWfaM3LfwuUKjBuWktoBYl6WV3E5UzBBefGrB9dQ4IvztITh5P4x4M7pa5OTM6uLG
KvZ6O5GAospX7IOwjRjKVCX6LjpJKzRapl449w6Wsc762v6EITQpNwwQJrtxntrfGDkXn1tD71DY
MNOu7ra8fkW9zxzZV9809H2Utx6SuLKeYHytC4K0cdSkVqH/lUulw49BdMEvSX6aHKsOvQgdPwx5
TzO7qw4CgnK3QWQuBRvl1HHxaDt2DxuOSksx/6b/ZELsVlBaKJ4TMNP5VpMSPiKymChkQy/uGa+a
SuI/CQV1NzUc8HrYKlNd2s9+VEEpJYfx1ow4Ef5AugvZqhDOnLLl98nioejVHPyxTWTGTwF1wtyj
rN94k2n/nBgpYc7MKXjzkd0AZxGjuwyfQsEqk6xQT9b1lPbOhppIF385GQTeNdrJTInR/VFHkmGw
+cyaUDBAXAgmIO0CRmQvolGwqSiZgqL7aDGm7PV0ayLT1TJTktQBiHGBOdGDWaNWqg1UFDq7/q4X
kLQ7BEzFWjCNewUjr8a7iOxknpCro/0jQ3AWWatAL7MdQ2kPAivmr+7Q59lb2lQVA4+oHX2QlbNs
J9UtiL5dQIIKw7dFVAVJPT/53hLBhkc7dvT4TovasKl36lhI5b1Adkt+K1oHXcbG595xUd0CnVdq
/HeaeLRPX1E4SEiMSZ4f9aFV42llCGBcv1XVinhvBBYHQWJ02SacL8vGRoiFT/y1QAB7eoctYPko
6URp0L7k+AS+MLsdfCwUbP9vBLbb+HNZ2gby3iAV9onCOyQrluCdsO80ne84PGl4EIhw/DE2OBoH
ic+UFVqoWNmjDwZbqj4lBAOKWTfJ96OHovXz34lnOzQANJM/Qzewdpbd0Wuax9+jC7zbrN6rcPB+
M8Kz8x89FwU2keC6SY8Ur6peM6QZUI6nB/jsmSWtgRiBIO4P3Z5+xEpQQIojsYPYhws5njUFQcds
gaU+WIPaH5JJLe6qoPeaV8A+g3ieRQKqfaM3SBZsirYccRNpPeKIEcCYf8GuKA1eGDHprKnGcE6F
glvNHrMK6zfORBSikd0EjJaidlc6tnwsjS4+6jIut6UWqX9JaH1w6UHmA0fD16a8tyYdZyraYgC0
Jo7kDp6CqgKiCqe9lmcUQS1nwx6EQnvH8Gip0HBCUEM1p8+VAsxqY6Rm/zXz08HZx1hVjmg3eQ6e
CSKiG7FGkj3DfJDggTwDKv6ePkxfM4ZgAEW1bIpGaBDc7WtmUtYsfkmGsep00y5eGdDZ09GHABpT
9Iw2kmvExfIQmF3F6GgsHhhHZhWUHDMTP9vAKt5spdUMhHvG3pwA3ij8g002dk9WVrX3gHjkAccc
Be5OrAO4yHqkCEZHOnPLP0Pi1cm66V00RYiIlTr07yp8aJMOE/RQtUvZwiHv1TiQLPnYEGbOCwMm
3nGq2JFCIHNM6J0Z5udwctNIy198p0ix2CPEAZVsc/JrD20UFwQq3UUfhexkS7o1gcNwjEKsY1C4
2T5vmYL6YJAN9NHBFx5SazBjzn1Xmd9AV+ZRQ7chKukLTBPASXEwoBuwQjSqgf0ZBGz4MNVpkiNs
YHfKUzfZPRZmpWOpj0OpNapLLINESBVWfa/wvnmKVaXwvsiiVcxZckKvjoGn67sSIoaLqe74yTBG
ZrJKaD2MlFb1185iBrumE6f/osuSh2+4MUxvpSLJ2qgF5Tq3ea2f8UMM32qmOGtwsIX5i9nDVLi4
ZTp3aYuvzhrNU4c5VIQREVRinA3ukNyPn7gXoCZREghlG8rSYXodpfAad3UqJygsfcgRHdwSyTxE
gA06v3jd4YKKd7RmYe6AFKrTR2stIXvQAbp0MCgPcaNaMtr4nE9S3dRs5UvUU1lu6nbqqe7FqDwV
9qjAM07nhvb9BJzc3/cRTB1slByz+64huxi/jvUQ+0jQqTVtCbN3oMlAtKKb7KM1NeyUDndNdS2w
M0iVVWsUzGFKGy8QxOwL3Ru7Z8gA/lT+LdWq7aAtdsUIjRJaVDPQt8zBrWXjpiuDrFFf0MuNcPz2
FEb79WsokMr70th5NzwA1FEK/5dDsh15O+ZnHDAw3wNw+b3dgjfGYS2F0vuJWm/ChsOQquMnCFkg
BHHATwTqgzlSfX6ip29PmzbX8+9hpeXdPjKUkgGSVgqj3UdcZC10vQGCULaWKRBOcWBcFATfgs4g
Yh1G3ELHYqdl4OPM5u9//+u//9///Tn8H/93/pQnI1ZG/0L+6gkQSFP/z7817d//IqzP//Px1//8
mzIElUpTouhC1uaYdLj46z9/PId4vPF3/5eI/bSBfVX88KymLDdUPv0+URPt3dKpJ2D7wdOGOI8N
d606I9VLZTO5H2LmWiHwpOu/Rp7+GF3S5MYrwoHTaTnzBPX0xzC9G62ee/9brAH32GhG4XzV4LQ0
W71Lx3SPkQp04DIOSCk+uDKkfNPUVSksgWq/ME5X1g1mQEqg9O/kivG+SkdsWSzAcVJa/j3kyJ+a
h8DV9TU15/RxBYJzwtYMeuZowEns3E8XBTZFK0mC98YApK8fbNFaCEc2hpmumMcyelr1HBtCc1Gb
2pOpwztFCN90Em5nIWkLFUxTN/i85urBok0b0cSqWpICLDVnfKKCwXU8REX30mutZ7t+SmFzf/0h
Fp9MqI5AUtg2HUM3QFo59ukz6LygyfQ79XmUWgc8qRi+o57XbWtdRapLkNR8HXXdP15fdf5//WPX
Ck1XNQxW6GKyUUzNmHf1H7s2n+o4MD0rf0HqEROLIrPT+y6GWQiNeGrWtIMl82U8Zo+BjTvHjW1q
XlhdGNJgt+r8h6qfrt6Cla3qWs1fvLxvnuNUmC9+PcN00Ue8sdS845cPKmxTFwDzLMcw5i30x4PW
ulAYCBj5S91QWWYAP9aQiapdGzvDrpKq/Xb9xS4/p6YbbEjwhrbJvtTVxec0EewpB+gPz7hOwlsI
nHnMQh8DYbkwO9DwZ25kkR5fX/X8hbKqSQPf0HSScFM9fUp6HDwow7fnPCZFX02K9VdQ08FmaqZM
Pz+8FtuUzphtauieLmMMe7NUabF5z4zOxRuJIrol0NHCuRsFm+76YhdepyEMTdq6ZjBolYudYkAC
t2hdz8ZAM50f9bof48zGQQpIh79GsY6tZBJq4/b6utr5vjFY2Lb4isRRR8w/7I99YyqAR3Un8Z5B
X7mFIqpkVwm0eH16LZhq10jUh/1U/Ugt7d2YPXrWcd3gM+ChWFERbS2IDz31nIP+yxOSJa+O0xk3
DvGF32hRcNKFtmg6quriN5ZB4fc14hXPo4EzySpILdpy8KWNu6zG9zFM8vL9+mtZBlx2t9SJU+wz
Xgkh5PStBFTLkx0oxrPO2QYYCH+goSkAPtpCwVmgInUwLIXpPfSTZhdiibu+/gMubHTipcbvoLul
WWKx0eNOgybS+vLZagf9mBg1naQi8QDjdu2NpZY3OzHSmCFBxFkAbchliNOH9aPBa+20sJ4RtHM2
BbzaHfB7akLG+fssKu4KMr8V/Fex0TQPlY08BxxQTenh+jOfx2rT0RyTH6Py5Kq5uOUazFzA8Q/m
s9I7Onq3g60diyT5CpueTD9HirVL1HEDRza8sfL55+ZaslnUtrnSeQ2nb8CZ+soxC8N4BvLBBFQx
B7kZ6D/t7Ck27xlKPSZgjXZea83gELu4u/7g5x/b5HriatQ0UgrQFqfLc0PZcAZq7VmPyGS1qM8H
RJ+CaSPCuvvr+lrnZ8mSUsWoztA59ozaTtfCYhrfjdr2nlXgjDu1duaCLjD3QKSbdaYO0f76etp8
OE8uJgm2UkiCDIxkFSmp0wVTEBedraZM+XxFK+4wN4zEoWPiSWs49MxqZzW9ekyxuUFEavSxuZOT
JY4jpnbTU43k5F85YHuxAtgqvzVCVwqOfuShqF4E0ScnMJ3H67948YYsCzw7Z0FaKn8WmrPYhl09
tgjGatmdPmXTAb2w6pArqbZhGJc8+4F66/ydrydU3eKTINvr0LFdrKcCOcIAPS6ZTjo41GY9xHVE
RD10/hlYoC5u764/4D/R649PwhOCV1JtiZqXzel3FvG0Ay+RA2Aq75gjN2+OoaR7w9CztRWowzEU
k/iq9EaMD9wAHKRIm3g/MbneqNQvW1PXhxuX+jIA/ef3SDIGNiS6hs7i+GkJeiqtjpwSeJksDfD0
rMSvPiq84G+vYAR3rIJh1vhRk2ifAZhBZBhl1BcDgyLbFbidvt14QYta558fBATJFoJwyFRlcSAZ
1WnAJRs+iZ8m3RpBaEAKBj5NbE4zUh+xjwRETGMWMSOcGkexM1tF/Tsp9DDYdKnBpPH6L7qwRzTp
OI5pq7o9b5fTQ+SoSk/SPzSAAaxk50Ta+IK21Lin7yB+qxoNo+vrLULx/AK4DzTHskA666q+2JNx
i/1NS5vjrkQxGtlgVJz6Bz22GG6XAkz+wS4ra/hU0dl+xV2zq25sUX2OCostSh7Lrc/718jBFnl7
3SY4xtRBfRcMyXhssKhDGFQdvjhh9Ylk30BGK3icfWt/pfOshvJXcC+VtMstjFMPWCUhLs5cZ1hJ
MFCIAmv2336HwJJv9dHKC6zwZRRSHkKRgARJ6TACmf1x/SUuP5pNycwHQwzS4HqhtXr60WoDLUOq
9uRY8NNxu7FMxGtk+Mj1J9cadgXP19dbXCOWbVuGY0KNVnWG4c4/kfiPVC7Qq0CiBa4cbdvpVEie
NJ8H5oylD9dtlaQjl/eNfbkI7ixJNcqVLXhOTdWsxcm14CbQ67cb12jU4iDpeGP5MaJX1Bj12jLL
YYvWYn5jcyxuaxa1pUkdoFm6OSs5LjYnbnljCtwTPwJb2kwOU9hp5qOVMC45lGpRjTsEvxTlONRa
0TCwB9ewjlomPzceXpz/EEdFckTnLjVtsobFB85UoD0VnC8XZx+1v2fOFjTPKXDylJvbauuvRqtZ
0HpbGn4b4SPSk6Kz1gzjq+xCs75vGLiqX+jsmjRIUBFWw2+9mN1yAPOiuPkpAuQXP5cocngblbma
87M2EN7cakD2CTxBW6nPBaKtARVsCVQOQQtE7IFFNwEZWjGGGEWHfaGpxxppIIx9UmNgZjpGuTLX
oKEaun2bth3+jSHo+jU8KcV/FT3CzG8R2PrkidQaOcKhH4ZWX+EfgSz39T17dkaozR1TCKRqKOd0
a37Ff+xZHbgedghAlKw6Yzgae721YrqIGo4+Fb/oqdg3Ptq8Of4MLOx9BmqqrvGHzZebA88fC8Y1
1G2syFJX7YfmM1q5xQueqP6NVc6utP8sQ1mtcyi4aRfPVaDeEoE3T12wGtg40zQ8VobAqMXoBG7P
hX5UUjQW8f8OoD1hV5IUab2WwRjfyC2XkZwfQklpAo/R6L44xuKuH2KB3iXuAK7vGP2bUSbhLsOW
2s0w4usQmJ8lIMO8cKl2yxsv4cLx0OlKWXQKJHXF8lVrCPPlRahhGQKzcG1lWfiYImO07eddOMDp
OAL3kfhE4j+c0I15ur61Lnxp6hnBviKjN8Q/V8wfXzpIa30aU4CUfqaBeAUOmv5SwjT8+A7WwbSp
XJNAeFVrkSt0fd5KjMj50hPMRJRNB+tB2N5o7vyo999B8iP+f/3JLhwavqhEJpGcCd2YxeaK6mAo
gjQI3NrAEcfo6jvIgyDqW4Blpo4dxvXlLm1m5Jc1FQA4f7CdT89MpcZjwzQscHsr4Rod4or45hE8
hiHeofKAS0pSILExRsW97zEdGO1Ge1Sr8uf1H3KWFbCZ6Y7TcpLW3AFepiWdMQAeqPzURUFVx1p9
kIPtwtMZ4q8GXqXTqsSySnwfakB7a4onPdxYOc3i1WSbiv8rloNaPHqtjtoqSi3VZCkrJhum2FSa
4+tilZNLRm4UTn3xaQKR1D2WmoTp76hoHNXr1GsdccgzowKAA6IWbc7rD3h2g3OZCrrspJ6kwsJY
VP2IROIfrdOIsQGr/57FYvdN16HuCm4I77/riy1bP9yjvE3+MIEQ01RZFh6AGjI75JJANC8R2S5A
VugnFE9UsmN7tA4ENUk1iv/mtNOBDZSzMVf3WuDGk9zzj2YvOlgYby3tOnzAMFsrdnj46j8jcljt
xha8sOOpyWi5S06YRQdwsQPHXIXTW4cuUpiTAKeNVa3hy/rNnHQ7f2gYavx9/e1ciJsWb4XXQgko
9OWeH6xIp9WuxG4/Ot0GWyETRKwM3YgwtiuEXt/XwsfmsPCjt+srn20C/MAFMqqEbS4ohi6nz1on
GqZMZcg+tHCZhcWj+ynAzza8S0F5P1xf7EKQJME3Kb5g+Ak6q6eLCRMygFaUuOgJezg28CvX2hj/
Ly4h4hSTI2noFoXVIpvvMXjoQgjPbj3FdDMBOIMdVTUFD080lRBSaDEcGsHBeUm6vf6Al74jqZlq
qcTLuVl9+oATuBynMfLIxUwooX2n5/sGyeFNYLN8WkNahR5lrH196vfXVz7PjRk5zHGaDcv9oC0O
Mxh20bdOHLuNbeTyMVBo/2wxRQledF9nqDvg1Ii1RT54H9+6cy413/dU+fB2Th+5KgwxVooXuQX2
Ltu4L5TVCJr9fhgi6/eABR1OGH4Op4Vea3Hjzj/bvHOjnOa8yqCQhpqYP8cfly7QcT+020l3LUh0
65y/6/Oke0gBRmp6o7w6e79UOEwjNcaAPCRH9HQpE0xHRn9Id7Fz1mHg4ekkgZyvfKsetiPSe4x8
1fSjgYiXOq/KLQS+n7z1dNEqAa4/qkK6Cdodd5RZqFjhCbTKpibcN8w+brzP87uXK4FCx7Lpn6kW
V8PpgrpM8c6JU5MrD+oAzEjMw6Po79LChgD3knGVhSlPX2SItwcwPWA66rt8QLPmg7t5vpo0Se+B
IQHbarGpDCuKDc/3DLduSmdfNyA7kaXINkYlxQqkrvqawU+78fRnh3delHtqPj8s6SzedughiTmo
nnCTOrICwLvtBFimJ19fOaTuLgKHqFFLM5WHCujqRzM7VmdUSaahk/4Qi09fvaFqFdE9MlFcYhD/
XknMA1D/yPNPYLJiNDL8Gq7Bx18z8x+LGMkQj/7c6ZqTgoVj6nckc7iGQUgpo62n5M6jjdnJ3p+l
3gDEptGNXX3h1DpzJsmky9A1vu5iVY0BR+83hjuqqVBRo6prhJ18j2asFoCjvf6M81Y5KcHm94oc
JEeIy5zr53S1NJFtpCiZ4RoFkaEJZLZmaK/twmD8IRAzdK8vd+nhqANIF0k8uNAXO7eFyRYi/iQQ
jBjTdaOH+OSp4Fky1AlulByX9uvcWxU66TKZ8iIxL7WynwwGLG7S4hKhitY5KKh17zKZiWMD5P2t
CTVtQ/syV29sHO3iY9pEJ2ouCs7lDKNC+gD92MBxBcLrqQ26eSryNco4Q7UqoZV4WycEhrbFakPF
WxfvXgOXCN8ZHfpfjbDQ6Pdg7K/4ZyM0MpHZG9XdlKE58Qa6wtNvwAEubQKJjgLRjR4rYfx0E3iN
5/lVCBl4sgEhdoA/UcqQ6SGLKGnGIFZuvJ+zRIdNNyMn2HCUTY5c1DATIPyiHH3ExdOm+YWfY7WH
kJp++vhesy1Vsy1giuyExdY2GnsoVbUy3CYvmxcMltK7pkHdKawn40ZsPP/edC80QZOSFJ4EZ/FA
OBOYCqoUkgS1U9de0OjbtjTQeg47cSMQztv29MDOjRIV1rGtWeeYl9g36wo2oAS6bwO38pFBlnrY
fAEg3u08MvAtSHpvM4oCfoyKKMv1l3p+0bO8ZDYO7AhU8j87/4+cQiC2hOZE5rhjYE/3SWE8xAVC
t7TYPJzogR3qAQoC19c8P8msCbJIskfJjO1F2ogYI36A46xXQavuWZ0GZMxkL/BnlNknM8dmue47
CNi58vP6wuf7dM6d2DnzMHLGGZ2ei9rui7IEDeRaUWoZD4VRI5COXHIZf7m+0KX9M1fzc1FFG2EJ
pegUsytHQbwI0Idwse4u7kMreKtUXu31lS5tH16jMXdt+YDLOjMOGjUcdd92i6BSQLBZDW6UYRXd
aX2PZFycld3nOJHpt75Vo98md+Pn6z/g0judkwgaNJZOEbC4AahdC0VJR8tFOWp69JAHxMiIev/j
MYZ6jfTQ5qQwrVmCjbpIGopEM8E1gyjqUDZtSnsf0178cJRhHe5P4Hg0nRmSnO4R2reTPRUSY0tg
pt+lMWV3UIkqajj11/U3d+EYkOzalg7wb/7XvIn+OHrSCAzw047pDsWobD1VS3f0uId115WYa4M9
I8fGddlkVHrjm11amdSPkGNJwceb//ofKzPnmeHhxBwo4+k3JJOijZM1sDy4T5GsjWS6R9av3YAp
uzV8unAy6E0y/mIgCfhieTLysINPGrTSDZwMGpbCdGtsknjT9na4v/5+z29B0i0HkifBRqWhsrgv
gkjp/uFdunCHGWN5Y9gfUoOmCn1itFYUnAKvL3ghlvJYNgMi7l3+vXytStHLoogIL5qPlnJnHlvT
QdskFDgo9nm1kch+XF/y0jNKgozGVmUXmeL0S1I39CW6bMJ1OjS2fQC0d4YOd0GVuYHGTOzcCDeX
Ph8QB9qUFjUo8JnT9VDEntRRlMIVhg66gF+ECNmEIUlvfzxWM5Wl2BV0pM7bGmEzDmWhdsKdctN5
17qg29jmkN847ZdOAlIfJk0hQopcztj0WkMEEPUVtyhRTy6dVPmCF0C28bsccLtZ6/UaJcbvofQ+
CNkksNCHENK2wfkZIP0WORry9TEGfSTqGrjfbAUN1vpS5867roGxNgZ4EdVcln14u+ikg8hlzkWC
sOZg/ufBzxsZFF1MD5SG1b7xY39jOLn32iJKsinhZoY3MsML+1NHDZHOvcOHBHd0uiDqBBC4e4rM
rqkN/K3D7qhnunfEmIhRu1m/XX++M/TF/FYReqWgRAgYtN/iPKhRNZqh0woXUZ9mbfoREjdADTdh
30NLGMgNVl0oENzoDEmp0FUP+Uzy6Zn9Iu0Q1P2NF37hetZpMDAk4vLieC6+8oDR4phbvXCxtK2Z
mtt4u6/ApEBRtfCFPFS9U+xqeAyHEiTWs21Fye76K7lwYqk5ZyQKujkA6uYv9McnN7zJ9sK20rHC
6b19yDTdHcqq3gZl7t942AvxT2gAVxk52gBf9MXViXygQKC01d0otdU7SCYoorat9SWPpvD3KKPx
oRGdeiPKX3jDgMYBAFARzFF3EXQbx5SdHEzDzVSEfFEUd9oJXwg0XFZJiaPsqkNS8JPfIHuzRptd
3kmjD9obTz6fm0USz30KjsdkHsZZXnxmpCcjRPsogEbcFr+Fde99nrpAnz5+msDNmLRb5zE9IjOn
3zJPehT4ck24mieZu7TomeZFrcPMh5EnMia9H987DtEXpApfk1B1uh4OxT3msUy/KkVLfw2KYbn4
xyufcqgHN+7OC9t0HvTrc3VPKrkEhaLe5yuVkRiuSud2jdjrgHFlg36yrwdol19/rgtRieQDCM5c
ggCenz/nH2fCiaOpEwW3ZgpQ/dXpqOpW8P9wWRJ4OGDz6tjejSUvPB+bkxqLQ8idttymMGIirjNb
d+FuqfdVbhY0+2rU+yzkTa8/3YUTQSvTpDv9n9HDYpfUIaZuXuRh86TNGB0T5Y1+5eMKvoE5B8Vb
dMM3RfTWrkfTgBJzNJ+v/4ALcQCOnM2wjdMA+nIRhMcwkVnoFVArg35SoMeLGfqG6A2yG/qgoU8E
cideQ8yyyxsn5EJLl2gLxQnQNUURFe3pp4XDXNZlHiSkQaYcoQl6CM2pFu5LE97ZmHcpNvp8YRB/
6nUtWnc2Vt72FNi/jUZa2+vv4UJUYJRKiQvKmY39D/Pkj20WD4pKVa3Gd5MSa7/ZGem6SCLz48n8
n6ssO6kdSkQt6vjxnalG3kZ3BgPbD1ShGzvNv0jTeZ7ConLbMLuF4770mblYJCeJCRc0kNNXbWQA
OR1I63c9lDDjbqyQcXh1fFN7YWiZfG8GFRlAqSVyuJG0XThL8/CHdgmFPFpbi3smahTdQpgyukMC
ojrYWa3vo0jDs8IPb93f/wySFpHdtv/JdG0JPWiZwDQ9f03gdHEnq8TATAVUK649YZrib9EWbVMc
ce9rvZ2PTSS+vkMGzPtQlhCOJ6yjYRTduM7PQxe4SaY/c89eJ0wurnOSnnjyxjS9i8j7SyxCqzFc
q+R8n8fC7B/bJrvF8jl/2zNqm2AJUWOGsi/CCawo31SVCEvaYEj3WaKG29JM643UjVu5yvmOEqZD
e2bmYQGhdhYfFovWBpchaG2RVdY/Ai3MUPLkiKLokzVwzgM93aijg2ri9YN64RFnICE3OHgemDOL
oNFZRRvhI+u5A4J0FTdplT60YZDl6yKOGdlfX+285qBTwziYvatBrF2uJuCsYjsCuhZhW/tTghTa
1itavGIw+UY9d2zbZq0XM06ddrf38/ri5/uHcd5MRuB5Jd2FRWzOYXbIHv9J1wxTOnxJO64qs+jg
2FvOKvHD8kYKcR4D5+qGST8tRm6DM2ajSJGvw5THbbySJqqZ6PseFMv2+lOdf0CuVovG8JwHQl5a
nIpe6kj44mHujiTVT3ltT58UOORu0mTOrZLm0lpcayptG1rdZPanYU+GMinAO40uGkMzsCNFhhr1
b3jK8a3m7IWlKJxmyDyHCazXIv+KcLJvevTE3bGV4Q+8tpKnLFKSjTJN0Y1NeXkp1PSYBII7XcY5
HDkKFbGrDgpGPjyhKJId9NzItsiK38I/X9iCUCRmyAlJ7Dz0PH2Bdt3h1eekvduh9rW3K9Sz07AH
85EjEDj1TXvj0f5hQZzGcJOx+QzIkQztUX08XRAmsRr0lte5+AmmmG3aZngcg8F7yY3S/Ib9hLqv
chutviqldWL53GObItX7g55gNkMoL7CixXT3+p49D3YmAYfKBTASPbhlJyyt8IbTIxyv0DpAVUMf
/a1svdgN0JJBiGPYow36QbIXTQe4g6CXaRTP4XyZ0Lep0WcJwpyuQMD3qwKi+ctQBihnogax02rM
6q4/44VdNacGAAigeVmEncWbdwakddKwdWt0ot0MPeQjPf7pIGWt7f8XS8GFAbhArc2U7nSpUGuH
Lki0xkWnK6Hc9r2jUHxjF1CY3RivXXoqwowxt1Hm3uJiP+HA3SJ8FTXu0IX1k61ozp6EV3ul0WHf
eIEXNomkEU3jhJpImsuhZ4jIRqGWsnHVckBxXqmcQy9xVJVB1D9U5YhW1ZR/vKSm4cbXIocG5ULF
efoqfaeubJmqlZv3E3CTDXInHlC0BNvGFHvqALFlDNCGYM/oHi2s3BGJ9wthlqK+MfK9ECnIvbiX
NUCJdCYW+UDbJtgcVzkYcAR+x88NdgfBMatKxOgochQ0UFvDS9Yf3ki2IDDNoCbWXV7Psh5pNExG
7UqRDvsR261diAjMwVAQTrq+1KXnm18xZahDduksri1cuYYY3yiy81lwx1OdX9kUeltwdyMSBkq3
u77ceeJhMvXidmQoxQR9iabV246yMTAr1+Hko8YPw33EL+NQZPln/IXCQz1bdSHvU984mxefkzSA
ApgmwhnwArHCbFQw53WH2gxfUfZIvvaW6W9QX5hlFYtqe/1BL1SBdKjnU0PmCyRgecVEpBlF2RSd
a8LCAoAWxRiVJ7iJrce+QWamrnAo8cfQRloynQYKptT/K66U+PugxfXx+q85DxecJahFc78VpNoy
XAQjgubI0Uz03cre32DCNn1yurgc92qt5bf21PlHnk8uAg4zs3beW6eHtwuqaDSSUnW1MsfKLIrR
gd/gVCfeRjTEXx0LyW1cp6J4U7VxcQPxeB6uGAv8M80mLnLfLg4sUCNtRFpJdZmRlGtZR8V3ra/C
33mmoCrjzFbBZhPZPz78goGik1DTWoFPtcRZRmi1GmaPK6+vISpnRI39mKV6vbH9Or2xky98Sxqc
AJdoVZEBLiFEdm2WgWHSnOrzWHzP5DAeEU1BfFBFfO/6U83v6jRrgao+c7QM+ucqH/P0Q/rckbOm
/uj6IKZ3jFVNpJsz85CA/jvgeQswoFbAwETFgMpEkd04QxeeVAJ/53NyF1AtLC4BGznedCaVuqRM
+b6mFFn1+JKsUJW7laBdWAr0ENMQAFLQ8JZDpVpVBLlnXLoFYPit5ozJS4o9Eg6oVXgjBF7YoDSF
mAvSnKJkWM7LKto/OEMPPBXKqMD7B6V2wbynuNejEv2eFhzku4rjkn/4KmPeiqqCRn0Jr92e38Ef
vSDwseEYBJg/CuxBgC/5cpQk13KaNg1aeT8Lp+qTD5JtwTqDl7GEQUo/E6kWazZ4Eqo4Ymdu6vRF
up9K1Ul3ZRCj6phaLSYoOV3fG8Hu0gsGnzUPXWdphyWGk75g0cHnTt0pxi7VK80fIXLRK7uFD6hb
xa9MweHu+kE5v114TIQkgD/MN+lykqYNs/uQ46VuVYr6wZrqYtcMegoJq0z3vVLfkg9YrgfceO7q
zawqmnr2MivRWuR0rcE2jqOW5D7q9AIXS/xtA7/9FDVq0mareUSl3thBy3gwL8toYR6bz1pByxpX
zfMsgC8tjvhc1d2hGBGqXaeishDDbpGNzXwNIlxq2puAAf62t4d+e/1Fn12rbH50HmlAgTUhJCxR
wVWJC++U+voR76CGZm45ZP1rZYJf2jlTWKpPA46d1s5THM/bFciGYJ2VFLH/0Bf02LcB4vThjVz8
rEHHb6JhI2b4LFwo6JKnByvwLR8QazEek6I0V7nvV3cDk9W1CW0GKEWA0Q0M17WNpRQ9vNjfF1is
fbSknX8EV+2cwsFUAqNy+iM0bnglhE1y7IHpbKXNgpiJD66Uzf/n7Lx65Da6MP2LCDCHW3Zk98wo
S5ZvCNuymVMx89fvU/MtsGr2oIlZX1gGDKiaxeKpE97wj4qZ8UaKur7j5XI01ik9JJ+eNPV2udic
8Tcq9CGI7XESH7PCy2EnxTNO4MeWY5I6PuK1GcbNuL4lMyNPXBE2jqN8pN+vJ34DsDFaE3zkKsi/
1fWEYn2CiYY5BFjk6f/Zy5x/z0Wcv4g2HjYeV77C1VI0IDl5oBxocK45qQtOf2o7Wj0ieaWD2UTT
HmwKsI2r4f6zptXC/FDmEQSwdc7oFVbJJH4cgmGo52eRQ+tFqgJXmnxSfRd1O//x1/TGS5SyK1yy
shSn73n7Er0UfmapLX1g8PbGr0NWkY/3hTFPBW6HhZ1foLjpIQ6JGBf7Ud6Z6sbkYB2rGcmTLZHK
QGwGDKeujpFdZw6q41EbcMhSPApSs5zzI/Q6yCRZ46B8VSpJjwVlYeDhvSWqdEc4k8vz6FxRtGdI
dOQG/XYl9qU3OJiyLwFGXJHunQdBYZ/5Lv5P+RE5beFeXWZ/6rfSRCqPdrrb1d64E4s6uD97nFa0
l3FxXeOU23qi/FQQ2KuPxoD8+UFRkS84tRDMIrGLJtoF/8ShSPOPWp86eHNUkgj1p+vhxPy5xboc
Hc0kRoXzvW8YVAnXhMZ8hs9knUKZiZeA942YfSXN1zLusYLuMLVplRw2xTCU197Ru6OhJcpGlnr/
wRjgcSUcjwghq/jbnc0MTKsnew4DVQVJmlJ77WJ7Lr6/+/FYhcmwSVHH6Vm9P4FrcKWbfRjgWaen
ftT2UivKHEa6hr1VuyfXBhx+cKZMN8GSFtGX964PoAT+BmkGuFnsT26fMnaqcoJi5QWLE8INJVIJ
vx+YOS1xFv6FPWC0z6K899Dqsrstfvp9tEDRhnKG1h1UQtLJ28VR5KtRtlm8YBo0/IFUq3hKG7f4
OGgIPjYuqz5+2DfWoxGDHp/k/cBekP//t4/FQ+R2iNPJCdqswdO4MowBs1MBuaytFQqANmo2ssc3
blb0ckg4KEMkpmF9qdl2SALelE4QLZ2kguB2vlSUH+rMjNxpQgP1yiauGGQApkkSkuc5ga06anHx
nLVeXm58Tm9tAdhyGtR8nVJW6XYLRI4eAEN6tgALiosSTV9RC28O4aBmz0WtJBvZzhvLMSGxIY4B
bJWUg9vlxjJ1OtyfrCCa0sKPO4ghVTTbBy3SJn9WmS48fsP3+R1AN5oWlO+67C6u7oPJZC9xpYku
fYWVgb/UOnakKIhof9lVWD41g2Xj8TWbwzcU4HEl8rArKc+Pf8P9jcBtwPoQFlG5uAschc0gOTRa
8FmTVp37Frf2LIlzTBpokpQRCoc54e6d41x6qIxzEX7kT1luymj229EuGHLRJBijC2p63r5gZnry
Kqc8QuzfUre4T1pYSpYnsj5hBrZ6p4ZK3xnPmOiCmbiiHxGhjKqDpcLTPAx5670X7MqT0beUBTyK
I3KOc/tkWp3VeBnpeDM7Shvgdan4ZWFnP7E13mpMvPW1AgqivUS/ixNrrb6OOjTwD9V6LNssazka
GQaepY1VWa0hHy7G0dylE8qoyMnhZw4TCQdeLz4+Pj5vbC83DmU1BYKEwa6eN8yVSK0Hzwu6vq+O
42h9cuclfQpBoLw/FpAxkLwQ+NnddcsnyT1rsZCxCQb24+QWpVr7wsAbYVcOudjlUZG8U2+SqINu
D5cq3V+KeKrN25eZLCba/KOCbNqk6c8gHiyY+VpzhlHWbehKvPEyZQOPNhMzcPkxrs6pHo2FFuGj
ECx1S5+gaVr137ButD/sIcMapYE3fTHnbsLjee7V58VU0h84AZobIek+BL5SyDjEQLMob2TI+u3L
rKulM6AtN8FUKy6N2g7dLJFlz24lRKBR4Z8en59XgdfbTB/KGikLhRSjYqrs2wWrDpNDLEzqwMO5
BskSOy+U6oImuWN/XbCj4IGNsECgXGrTnDrPbJTPE4YozZM1qlnzX9gos3Wxk1mxP4+Yo+JdI9rC
+MtJezvCmWc04mRnhn1SBJM+1/3R08YSgeZE4GPkp7qOjyfGgxj7+hPjXDXx5yjyjB+x52Dec9JE
08ZHy8wG8PpwKfSfKo5x/6CxhcWii0y4c8jHNMo+umVV9H4SilI5PN6i+wiNgjGngqsCwgXp5e0O
lUalsxH8/qStw5M3LZ+ZmE5nBiPFsZ3B86pTOG3kHvefNam6lO+j5ymnUKs1FcXE6NrOkHHFyHGf
COyb1dKysbeiCfnexwMuRVoF8YJKj+H36vHSuShjpciDqZn17ybuFdG+y9x22oWO3k+nepjAKC+C
eLqx8n05xkwfwg6TSr5t8Ku3KxdeVAimwH1gowA0wVmPVNAnSoSBC82Q7OiaCb6RzYB360KM24ic
96+VChCqAo0dGmd0QW9Xh/XVCK6tKbCGwkCZGy4hnYTpMNDZeS5zd/lUSiL2481+4716jCSYrNF8
hTG6ujJ6oNLM3PGhdvQpbs5DCW3wrOpVjDh2+/67EIk1x0B4U069mXfdPmES4f4wa+0QqI1qHewW
v3ASHM9fUmOrT3W3ma+gMB1tAIeygGHX7VIOos3zVMVdUIO1xEkzbw74/I0vU6RqlzLNM9xUsy1M
6d1mSuwJvR+mW6DEGOuvFqWuNMcqaYMujJC9px1mvTjN7NXop9XRt8dvTh6HmziJwhIZOWglAKW8
vtUTJnOK5SbGLEHfjt5hYr71Uoy150dIlB1mmIv7OSN7dPtSmnQ35sbte38/ycJLIilkyx7jgNX9
lCXAorA7aoLKgLCOIr53MssxR3B6EfEHBI3z3czcyeQXYCi+x4u40bEVeTe4neQc/B/dfOYHnOS1
Zk3mVTgou5oIisVAhaLrLZwPMAL3c9Rsvz7e87vLUK4l1UMMJsP03FZRsLd05DUR4Q2s2QDJWmKa
mfplh4jpkYhiHc24CbWNL/StNcGUk+kwVEN3eh0WTBQ2hB02QdNadXyuCy2evtlCwdC6oi302YE2
/97Bj9xTk1ElkUiOiteCqaGTT0rWWw2Nvb7614ZDtbOXyP4292h8PN7S+4Yya5FccJDJrci8V3ta
p0loW0UvAoU3nPZMZ+syj3a56Fpatko4a2cSAq84uHXtfSNRr61DnCV6+1nBwDRM/dZoqm4jFr+x
6SSWQK5Avcsu6+pHoSrSdbhaF0GKr9sPIInDn9T3seID2xtO9KWi9v2vmSY2habUJZLf9W3sqMvF
cpTKKII+L5qW6fSkJfsYc7blz9DMzO9Gh2vkRo6py2/0NobAdqH9CGnC4EivixM1G43Eok0WLAA7
Csdf+HCSemdhWDgjYiLbZHqc13N8MQysij7ZdpmOxwaDNutlbnTEbDprHqt/NEx2jF1taV30arSY
Yu7T23RBvCRSvf4wxp6H5hwWYKPlxzWOZV9VZ5rEuVnsujs9PlFvvDuphUsO4dqAjtYTirgyWqec
mhxUbpWcS8XSz5kipoNeW99qN043pg+yNF3tIe1iSlYp801BuYqDdVFUWp2kbaAy37tkU9deS2fe
6iO+SqKuloHeB3iCK42bet1rF7GHwtbSjAGuK4MTUOGWSLGouIscG9dhyB0qYPnt/aRgkvC1QS9V
u0TkaihJG3mZ/cwWnEY+YhI9ht9pz3jxh9TE/m3eW15p6Ae8BCOs/jIyZWnZOtV4suGbaQfWOBHT
4YO6iMLPTW4crCQLuxMo+0Q5Qxml41aKsoEJCORAPye1OWj4QNeO5WdLPjufkLVVUcgJc2/5s6sw
qcUEE1evv0tFU+NDEepm/RJ7WpIccgQ7xl3SYgq0z91mmb7nponkS6Lrw3/YTxTzy1JqXX/N51gx
kKk14kUjP4/LUrkIr0FuyNd0ZDUyH1yH5b0geRi69CNnXIgeH7L7q57BB7milF2GML0GdIBl4TdQ
BAQdYrrTua31CZPuKE7yHZSZ9t/Hq90lpoCEgRyQC6MOxzFYJRYwyKPZY2gdTHbuNPEeOXGz+YhV
veOcynlKsn+7Jkp7be/iWeYckglvlc+Pf8IbDwwsG8InTGU6C+v4pIwiB448N/QWpvKHAaXih8Bz
BtdTnFX+P5aSXxITH5gc6xvPKwtntpNSBB2y0NqPBcLE+FPJyFD/m9DpMj89Xu4+VWRr4SbSUnzV
F1z1sMe+SWuAAHaAG1z7XAjM4GC4Brkm+mc8V3Mf9KC1EXnfWFM2jinribuQuVZBw0zBqGJKhSus
mMt+r/edLna2YhbfhqhVdojT9F9iD9ebx4969xIldQzsg6Tk4BqzLuZJa2wGx44NkK00nx38ri8J
02r8LLute/0uCr8uhY4gxFrJzVsdWZHGYYuAhn1uY6X5y2y9RRyw2cw+6oihBIWxDBtf5JsLEvSl
xjvN+DVM0qjilj69Yp9tc/k7RO36ecSta6+5y69CV5Nvj3fyPv1FQpCADyOEdwgUQF4Lv/VFMKZZ
sJd0zHOlKtknrbfUn2ZPMnFIs9KOkU8uK3yS07ELA11xOs1XQ0Sj9ljP6ofHP+WuEDAY79BqAx4K
CYer/PaXqG7YRm7r6OdxwGj3X2WO59Y5FK47pt1TPVlpJPXIcvVlSQG57OwG0N8xzYxi/PH4h9yf
Lo+iGVUNOety4P3c/hCvbxlgJtitjksb+ZERqyfdasvTAJYmePdSlI/StIfjrIKOvV0K61ts7Guc
QDG8dSvaNnFu2F90EdnTD9I01/v6eL27AIyKkpT+AaHJ/IUzdrteysx4nlSlP9mpPR7awo7/njvM
pGj9iFNs1tC13S66mmad7B+vfD8i5RPCSgCoBUoi2t3IIy8XVyBx051ip8W3DVGRzwluv1fFCOsD
W1Tv4bii8KM5HUBnzUEysVqe2lZNAruvMJIz0Q8FmFDs0adDzKuoqyBH2ZnCzGtwOx1665NVj1Gg
jpgc5qHQX0wtdTYC3t3XKZ8CZysI4LDdGYXebmACXCUy8Ts8sU/2NW6aJsgrNd2lOEAccTTbUo29
A/yTAIEJQVSVWhxowjrUkQzY5VingLpMM66PqLnHjNCNsM+Rm1yWRo++TCiN9hfhhFn0oQdpn5Mp
AOd5cnHoUL96U+wqJ3w1abX5CmJK5lZl95qJ3uR0/EbCB1IKlFlAjVcxUkEj2OqmXpxa7BkuWjvr
vhCx8NsmqXbxqCR/24VuHNRlNJ6nKqTIROdh3zUp1rZ1mp60XnX3mhlhRhXH6SccuM1ja1nNvl2q
LEDNP3vCfhAXULSSv3ldrR89kVi7nOAY1HFr+xa+qkcgI8oZv+B54+TexSX5dFzfLpglBNfWMmQI
/SEgVCniVEROuYdelT+9GoZXtdD3YdZ3zxOaUXu167snhmHxe0OEXJ52E+I7cgC/voAyoSFLPMXt
qahmIKdN4p5i0Sy7wTa26qj76AC4lKmAQcpCKbAmnGpw/KbaNtKgKVRPDHstS53wOFpiSo/GUoXV
i6vbqfFnGMXl8tciaP+pG5t9l1DAQuLrMpj9kMiA0Vp9X1Y2qrko+QlZPl3jqGp3GIe2z9ZYNJfW
5kNXumU5P45Nby7KA0PqkgF/LS4+IuAqXDvKAk/o3ZDsRIfSOMriduWcVexFln8yXS/SbFdmpmi3
lMbvrhuEgDhdcjwC6pdc8faR51HUeqWp4VkZ0QLrLQd89+BkB/pM2cbu3i9FJ5EZHk0cm4CylgiJ
KWbspJi9c9Xa+ZkWov4JBQ1nt+DEu3Gb3wVKLhka3xR6sr9PL/r2qaIZA2TVCb3zlCXRUS0QiXMH
3b7CB/guMj1773iH5eg1M0MjOZLz0NvlsqnCZwkL3nMOUf6goqa+yxFTOysxLllKjUDx4yNjrLaS
GTqIAjLe1/EF9ckq26aPqYamMSpPJjCRAnRo1YxPRSKS7Bj3g9vQPiwcBHlpp0XCF45al39g9zuq
pwyDSPvqjqaKuiz+JAjNwlhUj+TR/fKzpij9j5ISl9Z0scAsL5Sv6cG0M3s+WUADlnaP51T2NI2Z
ah+1qc5i30P5v9mF3TTNGF4t4aS8eLCXP6JKYvbndIavuEOIm4mHGYJsODtpbU37pW7C6JR0oVNQ
ghfaYmwhPVYBBYYt+A5peSCRO7Lcv30rg4XrPJ2f6EnNjfAkhPg+dJb91QgnZ+eYvb1PBwc8zzxs
9b1WXzQLU2CSv0FLJdMwzdXCGlXsa18ZqbIIIQ1V+wuOjXJosk4PtNgcz1LM4/j4SLyxJoKcxGhD
HnzEW24fFq/kpLYWt3maItc+Rwl6BWVfu1eRmjMi41G2B363RTN+zYp/u3uRAEdolSUlYBPxynUB
Hw1c75awlisNHFM9DIO76NjydHnFDE2b41+VCMc/mkwx8FOu2tzcueiRf45wN0bAIYVnv2sau239
Gb3QF7NpSnEMi9hxnqM6cr9bi9CjH1VaKHlHJAbMh7x3Hhs4lBfx3ODkxlbUvhfhrPyCTlaX7oe5
c9yvaqO55b5Rq67+ZLj1on0XYzUUTw6OYRktlXDOql2Zg6EuEMX1ek6iFIyPkAcUuFZg7DCCOv1M
Zw+9jp3a2DUQHaf2pmavRW0p9j1+Q9e2hbt25B7Jfgw1MnU+c/MxQIZ+UQ8J1+aHCSrdrwxfu389
CIqu3+KG/b5IxxtgNvMq48bIjVC3urIqLx69BUnra+FpAp0x7a95DpMXE3bOeU5SYyMDvTtmLEdS
SDKAEhEl6Wo5AQ4unIA0Ihhppdc2HEyGs1iCh7Stjktv/Sq96J1cS/mIwDH4lMC8AxpYK/N5zIPa
Ca7tte7F/Nmql+qPTu/F1TaY13pSrO/xp3QXXNEAlEYJ4MTxb6Eau/2ULIRHk4jU8KWJrfmEsFr6
tCxxdQL0vJzeuRT3PYECX0NMcSQb5napJQubEnJw+NRQb39RxTT72Bd1P/Np2iJsvOoT/f6tAmfh
raEm8irwA9judq2scBuN0rK9EisrajDD7IqLpY/Kn4aSmviVZa74txWi/wt41djvFLR4vJMonPGb
m+tRBnkPG5Rz59LIhgCF5kcz99qPbu60LVj26vqWYUWKLBG7JRyS3OT2py5RRV+7GYxrU5nzzxJm
zj/kFcbnWS//UlJRb7TK5JP/vjO0j2CSkOdacNxoDa9iZ5m1djGW5nIFjTNcRxyKn8fObt4boUHY
MGUECEJrBSKQ/LR+63VUfY1DZVaPVy2tmu9pNmL9W+fFWaut7mPUJ8nRHCdnY9H7nWRRchPmxPSP
uJJuF03nAYDIog9Xc1xmRERqzdvxoq0TmrnRsRSVvSXxex8h2E14c9RiRAnQLrcrTnO5VEpJ+uzE
jaruagOx8yQ0kmI3Fd38QY3wHRpmL9t40LuPFpNjmUMTl+Skeh2YFA21elhq2rW1lmGvZLbtU1X9
1y3eljD0GysxEZFfK1N4eHKr76iDeZmVed9drRD1I38e4OFYJmWir9mx2AgQr2iJ1dmUAZCJJS+R
qfhqO1U4VnaXR901TJVw3+tc8TtFAFD7ozecTvg6Dped745z/HPozKHyO683PXRZ9dDwZbKgfY2Y
hQ3npu+GZm/2VoZvh6784Cr0qkPRWf1l8Tqcy2wtidBUE0IznxyM05laMRNID04x9H+bpa1mO1R4
qk9ooOrZUTXnuUYMuRcMTZx22vom73cZIj9lCa6MYPoh+dweI2h8k6UhKHC1sG87FWiJ+oMTDi+M
L8aNbPr+GyGg0SRHwgfZBjRhbpcS7aBZMwOAa+UM/5UN9X44colJfn3qW7Va/fPOoE89D0gEGSMp
PUN4u10vBNk32vGIrGSum/9N2A8dhk5vpuPsRPOW2uuqfyDPDneYNA0Fg0mgW0UdZzbCRFSeebUQ
e97XpYlwAJ/91aoiBxn+YU6POHsK4MZ6vpyMOt7SLbnfXboWDJ1fhTe45+SL/i3sFQymqxnL3qsZ
udNF9L1Z77xMX365trA+mKVIwo33eX90uDuYrYAXRbwQSsTtil5WpDnm7vY1bPrlEOOHE0T96B6i
KVk2os59sMOyCoVbndTbURHvvV0qsgbXjDQKKiPMtIOKbOi5NyduxhrlCxU/nD9dBUPax+dnbVZK
vof+i2QLkO+pZBByy3/b0lRUYeR6YX0lac5TQIzOWOwGpJ6XgzCUpX5C9M35A5JYqAIADpvlVKuR
bu5Q+y6qfTKbdeaLpXKNlzQenWOtQsj36eg5+jFtykQ95aEuhsPjX70+B/JHwy7DsRQ4hESA3v5o
vUCEwJ4hlSWkiOmnss9cbd/CIPu7juO6/jhGo/XO8Yk0dKUnCMWPulxC0FdBZHEnaxjsubkm2ZD/
TdrjFntFdPWzl6Z9e/TCYf7zvU/JHSQxGLTTIXSs8UQONNh8nsL2KoametbbRT3TBxc/0kjt0XA0
thQ01jUuTwjyg5iFWi5g/rVoNO9z0KsCy80IqHtEEa4l3T5yjSIMKoEZlm8jEvrNXmplN+r98uPd
TwvGECEChBrpeqz1YFyrpEE1as01HyfbPAxmbbk7r6+9+HkaK/WQ5hY/5N1rSpITyDemNbRTVgFN
Wl4XoWPhJjbn1fdk0htkuTtX9S2tLT4lrtJ+frzgOpxwR8oxjOzCkhPfVdataXMt6sp8lazYc84A
/ig80JR93m6VA/ffCLUAiCgiCW2DO2hfHXp6i1zIdB1rzTg0plntqtlTT1EZ/bPQmNwo5t56MlIY
VgNnJ5m/t5+khHiMBvT0a4nuZbwTsOL7/Rib3Z9WnbxXcxNPdJluSCy2HLJhxnm72uDNiemCvT7l
0zIeHL34MUIu2w+o6j1lQ29uTDJfP7XfMyfWg9ZEgsPoVDJvVpmTS7owgjptTpU2xjCJU8MrXrre
9TofAFYOk0pP6tNUYyrpR2VpMP9SUPQ5F3CBvuCo6cUoPtZl5jd14UJUafXxk6tl7o9GEa3uh6if
flFbTyl3ZaFMDJ6hN7o7LKPzQ5Si8wlgWukPUQlxnE6TKOPdHCGut4uduvj2+IiuL/nXR5Utc4mi
gAa4inMkdpi3Do04jb0iXqI2jcExq82RSVjJcAj/ncmmxauVZn5yvHDeuHBvl0dWRgpEIp1Nj41J
DOH99s2WWt7pLoOo4zzZ2TnUC/0yK2N6MGi6dPtRwQxbmZMSkIVV/4wydUsufIV++98PAD0Ca4OA
Dw9ydZAdq/GiDODf0WjxVS11WMuptqifY6C/e/yQl+dJd60PnV4MgdDa6NAA99yntlJvXM234fh/
PwQXHhpikkvHr7ndiaKJe8VbXBW78BAwAJ0rNCQjFHT7pu0vIYzpj03vREfoHebp8RmQf/X/O+4E
DNnlJAmRhFspprbagwUbbhAXsX7KHDv6moVL+NSSxW+86tuQ8boKE0GuOBr4dIHWbcY8qRa1Nxfj
5JqU5zhWap+1WRd7Lw23Gha3wfD/LsUkntScgTEF1+1ehiCqKic2jVPi9PqHROm4woQ2/QyjyT0u
S7iVVt09Gq17yg1kr5iyIba12kBXGTpP0Ik6JeUAE0aF94IRqXIcaR7sHr+rV3HJm5eF3CdXJkkC
bwuq/eqLsSLucpwC9ZOwuu7j0vfhXlNc14dqqp3ULv2VFXEdUCVP3zBAXPzIit1n1U2yr3aJ4xI5
XnviHIKQMCp3P5N0XWYb33PdSZOXJC6Uz4udAWEakXMW0AxPQ+QW0KClySR6BofS7ptPj59pNSvm
fclnkhIZBCJZGq+eSbPamWZzr58aBFO/cEenaAU4y9nIDEEbGhS1apbDWR+EsovzxTnnpS0Yxiri
4BozogYu6qqPf9PdEeInSRQjoy1ZCay3Wa1jzRiYM51cI7M+oMD8qZvb+SxKpF2ravnv8Wrrj19u
AFkCVxutUTZh9fFX9jIxQjWME7Qc72vmIWTGGaBjrbbqqV5MzW9gj/1Ma0Lju1dmAEUaiCIdzeB1
sZzFZGkQS4xTzad5iTVAM6kRh77j1PMX1UiUa9wuehAq7dYk6v6ZIT3QDoHrSLxj7HH7kRpWKGiW
ztE5p1+817p+OBopVn6VmVNeuqI65HmBb29vbIkz379bMmweV8ppW5QWq90eaqsUINyy8+LBb6or
pzpUlhE/Zy5ZGuJcW3yh1XqM1KR/gsxeKCaIfqv18slEdSaqYQgZNfz545gpZGYF5Z3rIXw8Lcid
0mIdzo9f7f2ytLVgsHGvc6hgA95usHAS1JVtoZ2L0FBwgcSxC/P0X2YzTsdkibbwX6urnKeULW+X
l2pBXKVneLscZIc+MpGWPmNHJvat5/SHrBqMH0aZxH9aiteds8m19+y06he87Y3kfnWcXpdHM879
n2E5/3G7vI1JVD8j1nDOuc8vPWhFv0uU8dTU6Yek6NRDnmQ/oTEax8e7fFvH0/OhVQDIhfyUG4BI
tlo3KtXEayNTO+dNmPxwsYfcmdkYfUT7TD8tBtkd499iI0N9c1EapICvpN3POjrpCYp4rlfo50lY
xlEpbBdJBgKm2caw8Cnn9k2nbTmNvvGCkZ7hc6FKhQ1xJ4YF5tdeClM/x8DLTtgThn6qac3JSNGl
sCmudl7Yt+ewqqw9DB39v8cbfX+cabFrBgUy3DCkqlaXxIjmq54sjnVGBHo65L1V7HRnTE9ubKX+
osbv8wyUL5YfCX+Q9J8e4h2MfU50IxubzD6n7uTu7Mp1X2LAHNA9G4QnN671tx4OFSNudUwDZTl+
e3rRvyiVZejtc8YZPuPrLF70UaInR3P8XvDhbKR8K+bB/54Oih8kCyIvbe/V19pUy4QmSuKcF9gF
fpMay1M9jsUXvQplZ1gzTiK2y5Oemzi8AZo8zdyBfkrlehqKbnlKQ3343Ka4q1MjVB+Nuiw+dg5c
kVrT4h2YoAI4ikpKNIbRWLwvlZSvhvqMwow/AWmsgY60WAejClMsnLWx+Gj1hbUzNIR5G9Fv6d7c
hxXCtnQxURE9IEvXb1/MMoRa2TqDfW4qNz17OswYDTjKx7G1gSBAjd1VeeIekwbVxsfnfZVUvj4k
ZDauKApGaVV7u7LdckPGLkgeHFSsPxaPH+A3RoP4TqlpXx+v9cbxM39fa/Vt1ai2YjveOWcn0rAM
d6Crz05vX2y4BDthDs758XorjxiOn6SogwkDIsb3RcPi9uGSpe7tkBH8maup/6zUw8dS67O93sbd
11F48a/GS696X1vBgHqIj0TbdCRRkURUpdk//jF3Gw3wHDA4eTu3JdIEq2/PGXCGViFXnydHsXco
PFsX+JrPsdcaX967EkmulJAFj40x3VqKFwia6Shkt6Tn6Bwo6aIcxtrRgyTT7XcGFMZnLAHHgs1l
ALR+qN7tlqopPS3Q7aa4ll38l+LWv5J8Kj5rhTof3vdgclhHCivZiPRM70QWMPppnCg3TMhHtrkT
rZc+eSWujflQbDmKra8+lqJI4MqTaDBmhav7dhCzGJyJg5Go7ezXc2fLM7Hsii7UDvFs/C0K09ko
UNafx+uaVELSRRBmmLo6IdacMpc0WyuIEeI/6m2l7TEXLXeJLZJDt9Bre7yd66Aj15OUJnoiIIEI
lrdfR5uj9V9SlQTgypt9r9XGTp0AEe5nmqX/DAqy9OpUeAskvYFP9fHi8i//rcBE9EAuztqAnrkC
1sNmNSydfpgsCzBlo/406lrd96HAHuvxMm+9R7oOFB2w/PhnFXKqorZ6zx2tAMc25WjP8zdDgcKT
OuhTI64SPTeR02zcem+9R6YfNHuQg7rn0NhI4NZdlthBarjRFRX54VNqexkhfK52ejGqfz9+xnVk
kVv523rrPoRZ1rqd0UkKqqn6popxeEKucP53SBx3C/fw1lKUGTycjGAcm9sjQ08Jxp0YIbQ0dKry
ripeHC6qvWRlbESxt3YRzjqAMWCLUsrldqlUHcvQBQgQuOGQpX5oR+6uSfKMvAGVK3+wy3Ij3X3r
4bjrYd3RqJIqabcrFlFrGrka2wGuEOJEoFGeez20ggyA6ruXQthJTl9cgrRGVXy71DwbvZWK2Am0
pPiV58b8oqZ4aNVhPW1s4/1DMRmQeQXjOMqlV4LLb6O4fhjdtnJ6J2CGEH+AL2/gWTJKhcbmfcAK
alwYtEx4ABfKTicV9+1DZX1azWFkOIGh9xc7l7bJ7tiBVHNBrTnw843YXr49Pvv3p4TpDlxJ+DAS
zbE23pn7BXdCdwmDLhK6b8NrvahCkyoArXkCxfk+vbXXZ5RqNDTgYDngfLa6F4pwmKaWDOHCXWrv
51JEHx0zMzbaQq/yObfR0ZMTJFJnZqi0bFbLGFqUW7M5RVgGesXJyfN21y758DlR5tkf02J4qRsG
B04axp8bM0l3pKhjvEPGPDmk/Mtv20E/w8jpmWDqg7MRVV9Be3e/j9yRqaUEDa3xxOYwIdGVa0qQ
2kPkt8AEfuEDNTyJfvyeVyggKbltHGFXG3ujq52dVZTeybLKdj+HsX4Zxqk7l1NmnvW0NaS+zMdm
WoCGNnmEyr5r7JhQij8sbAt3uOkRuHPU9BTFjg62ldq/snS0n1HNyg61aY7Pijk6QTkV03moW29v
CdDUY+pEG/flG58SI3sQybKjxGe7+mgru2hJ1HslADI6XfIY1cQ5La1LR5W4scFvLyXh7gwFGICt
ruYqE61pVbMSWFzQLxDR0Z0G0XOJhlJsLHV3Q9oS+8CokokACHFvddRyFN8yxFCSizO08T5JFT3w
4lb1nbhVAsOFz2eaCEk9/mzvno9FgSYxcmNB6Tl0GyogCBJGjCm9IEHWnpLeak+Gmwyn0ky3buO3
lqLlKUWDGe3R0r5dylEgvsR2mF6UrsKRZrKn51Gfut3UFuUGR/wuGPFUvy+1uh37fLBma3JT5M3c
3hexVh7m2Ij37P/fUcQY8/EmrgCTBCO5nitxV1wj5IurA+nN8GadBmHAoa+sXalU1T7K4vqgTwte
P04ZPY0WWA+rdJzjrBg96H9lAUCMjoKeauUHD9Gdr3M01AjCUJhUdR69N6XlFzp44AE+4XTxEm43
P3TKWksNZFgI/8WHtLd+TLoW/cxZ8+iZefU+IcP/7QjTCoCSjFY5YMbteji9RCOa+BlOK0N5TMtF
vKRlj1hJ6Sg+QgaN4o963OwWUrfSn8w2vdpYwm0kgCvW6OvPgKUDVAvOCqi/NdZPdxu1LFs1u3jG
goKjoiKUO9XTYr4sepbgvpQL7y+7HZKOjk+x/NPqIQMWDxJ+896YJcGGr4rgdL/hmqyOJLh6BF9r
N7v0KqjDJULnChZ/cbT4ujeWWjfuOI34HpBGwO2g+lxjLURXDWmFH9+lznL9JSpyx7fAnx9izRmf
p7Cxdy62CB9jO1avYYTh1+Ov4Y2P75WVZQHGe/W6vn31E8qCVYeW2KXUhunotmp8qVK1PdRzNX+x
GGpurPfmS6ZBxJUA5FzK2a8WHJdwqYshvwz2ZHDAsxEEy9I1/ujZcc6/Y2u3QAaIdkve67tqQj+H
j3LLB/GtbQcQLWccpEDWOiUPa+ENiBLmF2dypi8TULBjhH3axcz77/yf8YehePnu/1B3XstxI2mb
vpWJPkf/8Gbjn4lYoByLLFqRonSCkFoUvM+Eu/p9QPXOqEpc1mrP9mA6RkGJCSDdZ15jT10S2AKH
njPXxxvH6xJVgmAgYSbfWablp/hSzE00hfWc702ZhxSNOve6s+tkD4TinEPfrzPMEibzp1IKlpY6
yvFQdQ+Dvx+9Yq808eRXgzNQHvaUL4h2ftBlkp2Tbf6lfLQA0YFbg04kGIO8eXJ6wToDO6t53X6s
HDdQU9QWO9SE4S7Fla+UJUoqBXRAVXr5ujcMue2Mxr2j/Wh9dHrzXE/2lwVH6EE9kiXHJuMmO/3U
TSnsfFLGcZc5ufD8BqDILqepHrDUakRC5uI64TtcTHVvfqLN32yTRPnr93YZpdClTok4BJ8D4pJ+
PAdYZ1nVUMEck4Y3Xms4APiWU8WXaHKMl6PTnCuPn0YnlMa5PKgQcHmQlp0GCjgaE2yVlrb3zNJa
meDgV4beSh+DIh1RDj0Psqi0z5zfS8jzU3QLRGXRfgQKSvTFRXKqi2Q2oagmK1Ou3Kky9uXoxLeK
UHu0/iVtWdFbu7HCraMoy3MF+jdHXgQxFsIwkn8nx/U4RpSHJmhzWmap+yry3C1Wgd1FX6Eh3aKX
6AtVi0lssPB7f2JP6jG8M8pMFPCo4i0n6GmxO0VYJO7p5hw60FGrrNfCTTq0v9mjXEZhU4EGJB0l
TTzVd7c6pxNeOReHcdTkLlaF4UdijA9tp85Bps3KxftvdXI6vY5HvcIgPVxgsKfBbQHeZ4isqTjk
rpOubKuNdu0o8AOf9XPt3jeGQpaMmgikPuB4pxgjiOhJX+RucSDLZZ7qKnQcvxgQLvWa1D2XIC5R
6/ES9Y5GO9mHwKRnpSswr6QRYjhB0kKGlYOd08avHgjkjVtu6OZDbbbeAWUxw8fSWTsTf56cx8vH
XeoKXC4cTOCaTo7HAeeWLI+d4lC1ZhGtCpSrAgibxkNrmJemUqCL+f5snh7IP0ZcgBzUZpdyxkmu
Mgle2Zn4xlY0T5eZNR0wnPK+l1Jp9hIjPeBvRLl16n0UnhOqQWRR6UARt+Th6nMkyhOUMyfT8v6k
6OSDCJ9wRRyfhTLuug7v4/KQzZZC57fN7aBvOhMidgagTaTMRqFHW31wikAJcxH5GlzTA8Dibm3F
JirTBlXCqHbtJ1mhNumgEmCswmLS1mc+3FvLRaPOxK5jMzBpx48qBo22uaKWh77HyTKDUYsFQGQH
TmiqV4lCpCLAx31u3M587KrUWEdu7/Znpu/kLH/9XkuKiTz7UvJSTwKmfImW3dQuD6pqzSAiBqun
eW7XW6vpMz9MheI7evab/eQfo0LndhZNLVKlk1UaKoXTuwWzFGWGcw189bkc9QqQyzSve/CkQWXG
L1Wjuo9z289n9ulbhwJX5b8HP4mOhrAZkZnoykNNI+9aoOS3gqNn7xO9/vT+FL+1GQm/dDYHVDG0
S45n2K2VMK7qqTxMTVh+BpacrZ1MDtSAuKj9gkxo8/6Av15VqAGAtKOnhdbHL92K1k5rSeGnPLRJ
U9+0MX5nYWLL7TCJWwTLE1RN3fFDz0yfOdPfWkZgXejpqSRXdGiO31Q1hqlTU688KHjMbBO1SVbW
AFtWK5z4UnWQzJ8jUCHvv+2bgwJDdlBopJd9ymJFCpkeyBRVhziR80NqO/WVEWFI6LSFtQnNqL1L
avucSPIpbPR17ZJfLHqJgMO4N49ftcrVMMrGmuUT5+aXCUH+HTfXtO6atLvvNOs79qr2tdspHxu4
7AccPFqKyLZxjkb91tsj8AFNgcBo6cEdP0c4ail6Lk15KHJP25iTLb+psUdnesiTz6NnhVeTlMOZ
eX6dyJM7bilJAeWkSIQk8clEA0pws2mizK+36LhjrK48NNKC4O+m46MxqaoIokadvxRmbm0AHsVb
J/EmpqSqLsKwqjc0e+MrJu5cneeNz4FoNeVfLnoykdNAvLZprEq7iA/0clBaku60cqzWWDst8oiT
5obbacqH7W+uwOWSIRxlu4EU+aX5GSp1VGRY8Ry6Po5wvAJS7auywq2BYKC47geJjozV2mdm4Zd3
ZVjCbv4D8oiY/2QS6shULJjh8SEXmvY9x0r6ArhKts/L4TlZDjVjnM7FoidjAkOABUz1hMVGawXN
iuPlVo9dZgx5U97UeLwk2zZ0Bzf3QdVWVhXQznPErRoKmW88XUz275WsGHyp7SI1Au4Jzu6p7Xo6
xwUFK0feVM1cXZLHPVHhgsM0dpqPyMl45lI8ObeBQpJc0gQC97EwwoyT8qSse9uqTEvc879tK2FJ
DlaG7jtONzuwi8bt+6vI49P9tKcYDig+QMyFjUOg753chm3lmKVnDOa9im9aMOpkMEWKGoCNVBuB
4jSuB7XFej3Oy6usGpSH94c/uTT+Hp4lRSa/XFMnqwkMAaRuIzHvO2NO114/9hdK0arAISdvlY76
B2tw7WCk6rx6f+DlF//63v8Z+OS9jS4yRBzV5r2bZtWqQwPrLtV198P7o5wu3B9fF2YMGwUVx9Py
Y4Tbg9nUnXmfepny3PYQGhUyzc3kOtGuanLvsmiN/syr/bqCmFIEkKhQoIIEyvZ4t7Rel0VqNJv3
s6iGDb5x9soWIJrxQrP8wgvPYT5Ob6XXSXwV+EZQg5162vzJEycp7dk275u+lkGp2U2ADRp69EY1
rSANRRs7bdNNjrrHhwpp20CP1fauQcDlTAnuJLpaHuTVosEgolz8E5ZJ/6n2lHXupGVJat3HdlSu
Ldkke72DzT1X1Tmpljc+Mg5a8FfgPgEdP1W5sqO8AQ02WPdjL28bp9f2RmRZn/M+AynljM05yu8b
K4nGD2VUslYQr6e4hVLvvHBupXU/wa3elYX0vnMBKKsBhY51aE4efoDmOe7EG7vTQIsGEuRi9sbZ
d/w9ca8z0kyX9j0+egBKvVRceKNEALsS5mEO4VNkVXVvquN0ztjx9K5fppJqPWHkUlRa0HbHQ4cD
HmCy1Kz7eoIIm9sNLVwTcfUQxORmClUcLLMoWVsOvkO0yuWmAgPkx2jU3oQitddxWau7LmrPAdeP
5wHcCBc9odcCWSfDIzE5fi4tzeKYWo39bSFKeJcUO3P9MkzUtvFWoWEA+O1LkfZPhawi6/dU+18H
Z1i40eCeoJmcwtfiwaC6io3Zt7F2kk2GHcOejxivMts5R4I+vhd+DEWfAgoq5ooOmLnj9zRTIhbX
GN1vEzC1be5o7WbQ82nn2RIBBsWB3+9lqvroYgXmpxiY/tatS0mUwYGrLcU2sCUwpI7Ht3JtlJS3
05dqhDCy85BZVG+7Ju7tj1kTa0PoK2gHzGeOzpOCwjIsxUUk6qjacuujJn08rJ405STMRn+Zu0KB
IefFdrZGkcpuLpy8rftuBYBIlQ8GpEP3Fhioml5PXRF3vqmHQN6RkQjXIiSDPhN2HZ83PNFicIxc
N+VuOnwIRR0/GBEXkD07UV9ASUKvMbNM26RhKfqV1RXNs1vW/Tki/vFpSh0bBjwUUqr5C+76F7Ck
qyDj1ztW/J1yR4dl9jg8Yks4+lpRxN9+5578e6glEFm8bwhmTw7uWEg2HJb23yHrJcZV6kmwbtCb
3PyDpqfO7dTHeBGy1xzrzIyffldWOiB6SBIU6JDiOFUboLaN6ZQ3ppGf9Y68TNzS2E7I+xt+4tjK
DuGB8pzk+y/fFVgvokDUPfCA5GQ9mco+xBaq8GL8YxWHNrsSCSuoI051qVbR9v0Pe3yC82GRpVmO
bmoddP3YVMfLRuEMcxTRtJGfWna4q8qCvn5eDf5Ua8nNMDvmDdppmR87c7F7f+hfviwQ26Usx6Jd
9DBOh27nnjohApFYjpvudF2RNAa4fNUUmpBC0hs6ge8P+Mt3XTD6HmwuKFTAcU67312iSJAtZci7
yjD9jPhhbftAxuRVMXdedyZO/3U0e+Hpw46i5sd/Tw7ITEupnM/ZENM1BmsI1Cgr/C7NPc8fuKnO
jPbLPJIC0eDBg4rzCb3Jk9HU2YzmSM/t2FcjUx0YDe1Qv7Xi0KQJklvZguiFmuBZU3UwJtN9fv/b
nvSaWEh82R8iDpQMaeye7NCB8m1u9EYY+7RCdBVpYSOdVvVQuPm+Gj1cvtoqSrHwVlv3W+wi+e9n
wlOfhejE7zmA8SyL6++i9E+fcfFFPnmWmJB5drzBiX3pGMlW6rm4FFXdM+VOiT/RfE6V4ZevT4uR
khY2brC3OCROdpHey2ikOgljoRxEd087VW7QmlJ8M8/Dizir5F1kG8PKIhI5s4tO4w3UjhebHrYw
r02RdLmnfwppMTlxWrfoGXo00uLTVNT3WDEbj1Wp0kJ29OkiQ3z+zKnxqgj0n+yIdhOBFyEfoqLU
SAHvnVyDfZhwE1WGGvsmgXz3oDZDN67asZjKgD+bHww7HqvdmI/6J1sUyZ1R6LL8Yudaf9Whzjj4
VpVNj5ZaJpo/OsVUXyVpaT6D3LMOGuI7t62M4a8nkTUo2w7W5fiZI3G4Eiq840AQwbW3DhJe8keG
8F9/jf8jeqluf7xD96//5s9/Ud1skygWJ3/81yH5q6266rv47+Wf/fuvHf+jf930L62Q7cs/Dl/q
7h8bWX77IpKqPP03R7+Ckf5+ktUX8eXoD+tSJGK6ky8Ivr10Mhevw/HMy9/8v/3hP15ef8uHqX75
5x9/VbIUy2+LeKw//v7Rxbd//sES+q+ff/vfP7r+UvCv/mdbvJTJl5O///KlE//8w7T/JHRlzukq
AxHF4eePfwwvrz8x/uT+B1MEcofwgx/98Y+yakXMP9L+XHIupBJojFvgi0gSukouPzLcP6mQkoa6
GNiAC0Sb/X8/19FM/Wfm/lHK4rZKStH98w8sd5Z84z/LEnc4GBN0uZCoxI6AOPxk47d2JybuzHTt
tmWyibo6XkF86Nf1HDsBemlRYDUGXZXEEY8GR9NWL+zP4AZWaZIdYiS2gtF5Kub0Iprqj8Zk77sY
PDZJagZdUbQGiKdmNwzwqCdjNDejGfptVBZPmdLFl1laX2QInHek0IHRklVrXpJ/NnCtvFajbuPk
811o1+FKx1hjP2YaRoHRF/JRfW1hKK0Q0PqxVabsh/FrRDnSN5WoChQkqX0jLh4at98lKdTMWXZP
qA8g6Qg16qKxUv02RgPAz+f5XghrG/VRekjM0r2300LeDemcBmoj8vXYdxrUvEb4io3qfqhUN7J6
6EJA4FxIhqmod3oWkb41qfRDlB79MfQGv8NSTmRpRTxplJh62N5jp9Y3aIhYG6/IrmtpiN3UR/UG
unD+tesRC7C19IJ4afbjQnaBVob40SvJxZBOnxri2EAzQKjOxXjV6xrHtNZtUi3zNnkyiO3o4t4j
50hetpkHxNl97EwYKQ6qYFmXPpJMtrvC6LU7vZP22jMwKOmbMQDlfd+Fn6p+6v12TBBuTXEJJDlH
Snq6ELPzsVa6F6DGPcg3T+cqREqhqXHodQZcn8XWGoznsgCeqsWY6zh1FBR5zrla11iZWPJBT8rB
X7yDK3+s2kdHtUrfUnLPp76oPis255XWqY+ee6O68fVE6G1n3XNZe/etbe89LRx2rR1d2aKrA7Mz
Wz9C5dNPqaiJSW2BPSeNPyM1+tTnrneNUnu5Uef6c6GJ4atZ6d2uVPLHvnXuFeHFc2Cl822RUoCr
CDN8pOdjXxtTWjeKfqV347QiCOI74rci5tC5ghPW+rDjKgQ8lFstTF9KL99m05gFdWHvjQpLGDcV
s9+02XWo5oE+lMh8ZPJrqj5VbfrUulmJc4Hsv8bccn6YZMIf28FGU2AIb7BXQWdZLZRNpgzdzhnj
/qkHtr4nsJ7WDUtyQ0/kvh5cJWhcULtGWcSLXq0VNGpmBdIewpckZ8Ugx/lIxmesk7Q1rg3U9gIC
HyB4uWJjZDLru2hoY4C84XQPo6tZ3G7GTZSjwBoA+jd93U3SS68ZG2SmnexAmLnGLcbwZZ8GfXhB
HuEd8s5O2KT540wUEXB+BZioI6Ufibt5lDUtP3cMclPNH50eQeC40licWpoGZL0sFCKp0oiKlQVL
rG/dhv4yauuT0xR3lj599aDaHlyzKvb92JUrVUuTtVKLBgulXORi09o4KvmTHPKVWjrNIbGaycfx
pnuUiRkH0IXjPcFl+TGDsXYLMq3Rgilu7c3AneannSX/UhSl2E0xvZ4AiE2ODnw/33FipqtEE4kM
TGdOHzUl1G6ykvLTqphCJLGKWerLgrFRgo3T8UaU9oDUkVPeO8jF1z698sb0M69pcQAY4AzLEAVA
f0zlvO1n3VoPjTM8euUCZe7oBX9GST3Zy7ppa/Kjko0koxlAddliZ+EZrfElidzoY+vUubHRJrNa
dzDA1tqUFsFEqWSnKxmr3nTH4qKzR6+ndKR6a23sYiokvMyMlL/fq6pyBZRpshHq59MnaWIdUrcZ
bke9BwxpOCM88lFezFYivqZNlfhZKcJhgy+Zd6FVbGIa/tlXU2LTKJx2vtawQ0JJKqJE4tezHR5a
o4g3M9SfyVd0u3+iSBlddVbLl4zmMFs55uzAhp/NjVZXGo85zPPKMFrtssUKedXzvhdqE493xjza
92OjtpdmbA0vjWe3hu85Q7yeWtIN1SunRyeplYth0scicETFrnJT0IaNUn6bOswWVQfl+9ZQw02h
YexoYluxUeK0uUS43lkh05te65biPkdhnK+VEk/kZCijaOmPR6WvpAWkobwIvxAH4hxAs6v/DPzd
vUFOUuyaTOvuIqT+N7HV59uQIy7QmygKIvhcG7CW+SORn7KWsyYvbACm+xkJ7U3GvbptrYVdNk5a
j7kSOosvhZdqVzLOys+Cs2b2C9yaVkVuNY8KeqpB1uuur3cLrgKyZByXk49st30l3LE7hJ0C6LHw
cJpcJL3ci6mw58CrUB2IddltrVjM2xjN+ADdCQsLhqRQfdRTcTlSIn2N2EV3VWUxLsZ9bF+qUFY+
unEy30WWmt0lYfRFhLG2iaa+9rXcxfwXW4fNKFNzhSu6th5F5SDjHHdfJyVJP0RYP+8NqeuXNK75
7aglYxY1DvVG2lZ9EWsyYu8DGdw1qlVvurrOb5VIuptq7odrqxkeUYIXEHEtcnUntPzJNguEmh1n
JdJh2I6OKVZVwWmX131zlckp9xHYc1YxOfaOlAS5wsJVdm68wDGzyvg8zRVrD2uvjWIId2Mo4cfG
jabvBNzFldSLem203p0yFv0jAtQqBI5uM+KXqVXiU6hwbdeTFzMZm7Avx4s+VC9Iix6ixFhPRhNv
whR8mu1+xaxpPXv5KgudVaaVX6vR2Y+0rfzEzFemQBbKDLVVXTtV4BVptzIB4vpFo+e+0lJptSNr
S83tOeqN0a/sPgQ1UQWuJZ+7qVqF5ihXdD7HnVvr+Uvfzdk96m3pkxinypdd0j2HtsMHU8qbYrKV
RbndOMA1R73dMZEtGHvvfkqF5ZOQWOvKHrzATOIle0jVPTHEvQlNLhuItxILlZKxXGuO0q/G1Lkp
zHiDaVMwsxlX2ZDofhXbm9xW7u2iDf2xMe9jxfw0qYp4hsr8CcUr7crKm2SXEGjVcmeE+sq1uo0p
InmRQ0mqITcE5TTkG4EJuzujZ9M30XelKVZxzIXclE5GhzUy/DIOxaroysA2052Jxwow0EFFQqRp
AruxkrVbNB9oodY7B01O38rCdUbmNBQ1XOqpeXHZt0CT78fiQTrDDjbfJy8p17FhXKt9TsYEr8WZ
p03RWFvpfRur6b5tAcI0IIkX83dthfE9F/lwjQTNtSTokolb0Knrbztu0izt801Udj5361Y09poC
/7i2pe6sEjoal/DHN5k6Sfau96jMs4aiwfRd7Sqx7u0895veHFdQzkci1BQwhel8AkezdXt7jUNv
tsc+ZAVP7XsTLTqywwOgzy4HqlM319S7NrCsvo/29ChB9azIbGdio9rnDNpaitXh+VGEq6Sva/y6
O7nTbbv17UaHDpTosc/dpzyriAJuzWjgukHyYQbPCfxyNXsIlptRhkuBOlv3boK+dieHoDPDu0rP
XZRkKbttBYm6L83+jiS2uokst9xbQO/9sk4qHynJy6YVIihiDnQ3DhRnWKG+pVVrrck/zEpFgSME
ID7pomfBS4K3OLrKnS4YIE5vPTX5LsbMWkU6zmGipAaAqJ8bOKgx2/6oDVwd9vwx8tBuALYsDzXe
lhJYsP0ZesClp6TuTniRc4nZb1n6matUH0FVCprZxXBhtVRTePR5NzjSQA8R2mGLkXTA2g0f1VCr
gj73nBsZxwKVtKzatyjerjx9VHzYMopfN0iuWHVlwlYUFcdpfOOolbqz0Tu71TylP1C0I/GVsrkP
Syt+NrneNrpQ58u8oMLk04UvruAncKeV4/QhdPMG+kgfFUHtNV7gZO0c1LYDe8EITQLpcRFu7909
/tNmYLYEo5025ZlvO2n/MpSu3KYSw0IUPW+buclUwLqldl15wl07dZ3uoQJql5URhkHdAL0Sg6p/
RDI4u6LWld6WxFgrrRTiuq6tei2UVPVraNF3TpU6vm7kyjNHgPtZZpl1OU5E9JgbyEtX8HkG3cBU
dMq+hAYhsF0o5c50GmUXNUPmW+JbEZU71w5lIGvtya3LbRoDUdK305x8rBJ7787fw6EJFkERbMQG
X9SN5ksd7yVZXLUihKkWHUKdgzgbhyCtwq1L3SlT3A8I270QbXcXlRZrvmMOn1oTrbE2FTdxdjtp
806ziaf6atoiv7Zs0ylLV22Y9tt26MsgdGf3IvRyDIFa7tV+yPobWxaE/3Mf6KK5zQUgrnXkzfna
bqNhZ9Vj9IwehNgPBfQSWBd0zEbrtk2SmPHBHqpqTDAeV8qHPszTkIvBjr6pSVavZSdm+kd9VRGF
ZzUZTOGsjWTO7xIZ24iY9R+sssoNv1XQ5vNb3Wg+Sd2kglxgfhOEedN8RSqpW3ulWgSYIDfPHTJD
o49SRrmtuzHZ5p1s1yCJhxe9UMifyzpkHUxDd2UqPFtWW+FBqdMRc7KoeqoBs1/pTfWYqal40LNm
XDWakil+GY3dFXcil0VUuXv08Mj/kLdKbX8O0cLxJ9OZMOZo1MjPKZJ+STqpapzVhtg2Wu2uClet
NnYzuN9H11Q2rgTZzmvZCfj5ooOKgZ+yVWcp+JK8vSqTbPBHq5bbGKn1C0fE1RMSgZOPGLrzMC6m
8bD/+l3Wi34rcFna4Ggb7poyd74qE6ZgSPS09+jWCxhGQG37vInbfW8V+dbm3LjQutRAdqXG4Hew
n40eyS9cZXyqj50Dfi2vfcR43TWCFMNzX9nVvbCreS0LKMkkNl0HuUSTChlzj7UQhP0WIKFjXMdp
QXxuOBMnc9Z/7DgpNqg/1oQpfbgJw6kjjOvLfpPYAn1X5FiJWBL3qiL+ImMf6jZw4vyjtL1+2aHa
J8UljvWryF7csBBjCVoQpSRl4ZA+Flxxe+hVch+7hfrNCWWh+Rg7eXudK/qymK0OHGcbKde9GlZr
oPvmtG5TO9wXY36wJ6d+0Zv8xUR7GGN3JIUyfhgYuVMeksbu9x3ORuuRFvVEdojBUgIFErHEVvng
IV/+PUk9J1CdaN7CDLc+5VXBZaCI/A6xc/1SV7tkLSNVPqa62du+tGz6x3Has82LziLDzdRu6zX9
kPjeLO1POLo0nIBDmd6hTDc2Pg5EaypHPUH24FJvyoZ8n4XWcAmIwdpRDR8+I1PM8VapU5YhuDSK
z7FevyBJpd82gxFtQbw0B8+bMoy6iUHS2chnLiIzYSHEw4FO87TypumLHs2feiu8jZKRw1KpLkUO
M7aQf/N0/y46HhXV/l3X/H8sf9Yv5YNoX14E9c//D4qeC7Tm/1z19L+UUf7l20sX/1z4XP7Nj8qn
p/9Jd8NehCjdRSly6Qv/qHy67p8gChY9BbCedD4s2lx/Vz51yqVgeohMAYexCDUKr39XPnX1T1Aa
NIDgYdK5ATjxG4XP40aagz4hKChGNtEr5UFee9Y/tQCKSJ/sWPGS3ZxWGL2NU7qNYjD+9lzm28jI
zM1Pn+bvNfJzofW45YCYGLBCyC4IVWDghtrCUoX9abzS0DhUyjLaTSFFElPrwg9mHxcX09ynh8mN
VS7n/Pck0H8MStUZnB3QVhAOTM3Pg+qdO8i+MqOdaCzlqsuzmIvfNnzUqc8ZLxxDG16HoogMRojO
HUiNUy59iZbLXNt6sptkgWDMbCo4Hnkm0JIs27QgHv1EONwHy/+LXXV4fP/zngzv8pIuKTbYSfRA
fi1iW5k5D7nltrtMEBkOeWFsRDUrtzoMzImQrZ19AhjzOk3c5its7+5Mc+dESwA82AKjhPjMl4A8
xLo+/tTZwEkjba3ZhXKZ5GzUH2WnJJ+zHqOLeErmgTM7Ni9rvVkBc5LbpigtoLWjTk2tF5324Nhy
3LqaHJ6HycjPeV6frPfX54OhCpFSp6NLG+D4+ZLKopWSq82ucWPp50XZrzprtHdu3o9rsVQ335+Q
E/za6weBDb7AmdmwUCZPFjz66i4RFRpyysywvqlJXcOsmoB9zbVFHlk16X3aZqtMxQ2pcHUR+pl0
pquxwjB+/f7TnKhAIwACOACxRg4cGtmLm8/x63PoV60iw2zXI1lB+aONvMrvHb3bN8hQECG0eJn3
tVc9J7L+hmGy2HaDPa+RcTepB4dufG/MofqZknKb+CgBRhRHgFg+RULWF+1SU/Sj2tGI4YVG0jS4
bLiK8+WqKBvloohdHDF1SkhUFqrw4KDb9Pn9V3ztjf/Ux3l9RQh8GrO87MPTHVgLodEESgoi18FF
4LVsOmMlRD0+5q2NLo5Tj08VLCmVGqrmXat5nW0wqo+QkzC7LVewuKiKsPvaa5ZyO4sxf8gtqQI8
n2waFWn+kGZa/Ql0MNXgTqbfDPSeg2oW+hc5K17kjxTV1KDRe+PJpA5PoF3OHb7Bfb9uIi9/eP91
l67UL28LHGxRY39tWB9PqNIPIXlenO9mxEl8G15S0E3WObb16a5h2aBNRwUYsqJHr+ukUexaQJRH
nmtHjhY9K0vhLBQQBdvZenEzAvL3X+oY/vC6SkEiIsrAQUYJ/RSP6IxgseaW4Yyiig74/+55sJGc
dzwHZz25jpbFwsWw3LAsGRtgx/HnK8AkR0bX5fgcR9EhJy99TG01f5jxudxLI8kfCi1O7t9/vdND
ehkUrRWQTUBo8EA6+Zqot3pqLspiJygPfaXE55KwZg07Eb6rZiCGYRtPkzfWnzKxVB5aSzk3oW99
YfqpxCWAkxYY1vF7K8OSQ6tLSlY5CqGvWrFuZJlMgU4F5Yz+0Burh5nEtIy2KiiDV2WJn+783khj
IbKo3dWKkz+YycBJmwzOFuv31I9zIf56//u+6qWdbIpFJwZRD1rEfOAFcvHTgBVQiaTximqnNhiG
Bmj9WWIdO5UASYdwQBHMSjbfag5tl1hJQ7hElZtc0RqkatLHiZteVPRODmWYdF+l3cqvhQ7L2Y+H
0NgMia1chaY4R6l6c0YgtgMQZEnSJj9+ZprJma1TccOmLsKSTyEyCZ28vMRArvnw/vd5a9GThC+h
I1bXyF4dD1W6SYPTiF4TDrXhQdM77SC7cdgreuPuTSMrL2MDdcj3B33j/eBWvKqwUAUH3HQ86DyY
TaaXFEpGozQ3jlGGB7J0e1daoXJGGeWN/QVVywMUD7RmoVUcD1XFE/Dvqa52ocDqYFPYaXoF48Bd
92bT3UmhTRe6IQQNfZRMrgb0bc8s+LfedYHkLwwDIrFTrwXUL5wBf/ZyV5iRpJbBG2pT7d3IpPLO
mLUt73K61Bd1bWgdoJZ+CW0J0O3lsCx2JnfWfiyNDkLozN3sqrPxFOkdTGSXdgcyBmen9I3vDCJD
A8XL4Kzck3XUuFk+W4Nd75JG7bcGdaj7uKFBABAiDw/pPHF2Jcjf5P7UgqShcEK09f6qemspg9Wy
oPeBXv9lqucOvbbeteqdGav4fFLvvRhEqK6pFd0VkQInIdfzczHdG9PLiWkhYqSCFoNcfry+gI8Z
atNxeEap6V2HCjAECtQNLWnMqdPN+2+4fMSTCdaoBQBZRxTZIUs7HqwmQ3KzwaV3RKx2nRTtY9+d
jVLfGARYFmuVeBUttVNAdkG31ZrR2N+JaAQ/odWKl/pKRIHl/Zd548vpKvcOiDMgZzgCHb8MFjG9
UitDvRvtxnzKEvpOfl2rIyZ8Rvl77hOvUYTOXUomhSHor1pMbUVtcxxFu7N5420Re4m+8lQi2pk6
9GWsNMptKCsspgfFBtP07wLA7Y/p+TnLfet7gqT0kO8CtMQJcPyeSkoIIMay3eWZraza3vyqpNx6
7w/yxtpH3sBj8SNo+esd7ilq44yqU+waxWIZzgQNM2XMfSSGZNNlDaWnxIvOBS9vXObsdbT3eDOu
qtMEajbjMZ7ysNgpojSfSnq7t8i9Nx9co0p3qV2c2+GvNKaTDYC/F7pdcDLhZ55ugMj6X8SdWW/c
SpatfxEbnIdXkjkrJcsabOuFkCyLZASHIBkcf31/WdXoW6duowr9cHGBglAHPsfK5BCxY++1vuVb
dbX57VE4Tu0fl3XKulgggv/iZQheWBgiIx6jaH7ZVJh9i5oZOW5RttNEToTovpRrVU+zsDkF9M0a
HNBSOIREzMWH55bU/tLTs5NQFjCcCbvI2TkF2Pq2s4dnChf141/ftP/hDYBdgBvutveCpPinvcnx
zUG7jdkebWUYU6wg16VBlxk/mF5O/wZQ9T/8rtvCeDNacK84e/71KYQdoRgGSopb34AybM3bfiMf
ljkTvYj/9dfyIrTuPOtoS+js/PVXrUjEmtVeq+PfOh6DiajCzEKDiOtC/JtC4tb5+qcVkd65TZuB
FR+xsPlPl7Auc2M2l4yXa8k5UWvEsfQLcPZbfWW+NdreYLf0Xrs9aMLHqnhcQx8HsayeBmNuZFLx
nH1bw2m70wHZQ+62oPLjlpQJM4z2419fGPu2pP318cVPfKu0sbmw6P1zhEDnrgPaXhoiNPrzi5od
9V4FlXHH9AJjx1yW+cdoFv2z9rqccY+VQd/ubaQIBIY+CKTZSWGZ+hGMGiq4gLNIW41TWiAEO8MA
CR/nsFkOzJDQAGR+fZn98t+CMG49kb9+BQ6Y7PAUNKjt/69yxlKbQcEaNkcEUzKuxjZSiXCHjEAo
k4M9y8+90RR0MDSkfjO3PtZKbKd/fR3BbSAQ/YePQdOCeg4GAPbVmxICLw1//g9VfdgQnFjmVnsM
NKNMoNZdXjwwGu3BeQuF4ssYHwJWp3jT82sgJPNCNDhm6iEz+rJl+7r0regS2nH6aVyMkpdBkA4n
WxQGZLUkHjTWi6urB7CHqUEOV0z29cGYvY+5KOOsmC40b1LyMb93Rf7erMWLH9weL2c55XV0KCPR
xJ0hUetnTZM48mI2VbJh2TOjMS0juHddsXMLjMZWf5f74jCo9cVExzNFb/ZipkaFSk+Kx3WeLnMQ
bad2q9KtYMKnunSKtoeVJgZcmcY/hQLcC5MAWinraeu71xBIrZr9RHnhHaT9JI/6ky7NxBH2Tutu
L/LqNA31nzEzdmbdH2DRnRjRYnGbfjl6SEIUoR7NC5jp9G9kooWxM5gZxZU0jtvcXRavPpozWVEu
+ochmhCmCe0wHvfeRqulH7BFz66ZpbL55uRMjjgubdUi0U0M96W2cBVuxt3qFd9dElJissZ/NaKK
kdSw/mYfTtA9rqub0O/+SUsjVba5D7w7qbPPEhz9JvPnbp1OhWvfq2DbW91DntuXKex/LSsNFn+k
NVXNcT/LgyGi3QqonwChXZZnaJGIqjMWmW4TsDTtnVWjDmX3fVaXwfR+Tv6nu7lTbAfeQ4jut18/
XZCiMTJmzPbKPvvK/BOOX5vtMBVEuYEbkaH9oeq9eIMXHAhv5zfDpYwWhoRO+Aoip0azNRy2ub/a
VRtwuJRnq7O+g9Q8BlXZ7aY2f7Y7f89THBuFy1iO2ZEJSSM24WvlcuK6rtNDNfovOY9zFYiXsUe4
XqvUz+Sp3m5kMOu3zqu9Z0xhai3ZfdAT4jD4L0oOn3bRL7EIOjLic/eAySp2fEZd9fDLMO04WhYm
k6v55tXtPUlDnH4z4+Cq+6G/zMgSmQYkEWhsQxgn2j5J4Xh32+CglGCbbfxLrv2rs0SI7eYlQap7
7vrKRlsn9lP0gpg1yYT7FC6GFxtVc40Qy6dSgsAEXhYHZblD+PbLle1vZhHXSRWXRg2priIUdXZ9
we17xaHeJ6SE7RYLGwrL5Au04idzrh+ho/3eSOfYqLkSnf1hKJmo3tpZmnf7d2nJi+vJVE3iVZg/
m5u6h9ekFAtBD9NrNDRHIxo+0K0g4iaIiPn41xAOp6y1YsdoP4vJv7OzPgV0lKI9SM2p3xnT5CZV
EV7GdbwrxumY+0RJyr5PmB30l0kU+8rRV+BeCBuDdGm958qbnHhqPL4sK0hEPBXjV4HyxTGm7w27
YlyPORP/+dSaYWoTJNG44cmkJ2uOxfeNC6g6eQEKEI9hiT5YdHM6TZP65awFmRVVWzh1Miy0Hama
1djt+0xdq8L7ZTd+HFRi17jE8zXqe+lKlKG+CNMOwVidO7vBVxpJdot8DN6OYk7BGFLipfH9pyog
k7pb2/u6Vx+TOVevcNp3nOj3nRm9B810h5zjeze0j3Qz/YD4sXpy56PQOaGFJIQR7HcTTt4161Yn
uWYJMsb8oZGc+2PpftaG9cwg9N4r+MAqP27ecey6iScKhzzZKzH1clyq4tGUn1ZLVpaafpImeBzG
5XHVeq/q4KdgWc0Y0Wdr+7vdKABa5JWpFWyYvp3C++FtgXVabTdTh7C9qL6vHlAqNPuo00Ei66FD
DVF72c6shuE5n/quYMHJ7QeRc4BO1iHoNiJnbprIbtbth1dUwkjbzC9TjSOIV9/NkZaL4JxFMnix
0GbFwcjXA5Yf7YxuIevPGnZLZ2U6Yc5aPZVVbnyGKmOkDZ9p+hMM2/dNNl+m1drpsAbE8S4WsiEZ
jQhfcpuu6ri9m0sPileY4NdkG9xXtrHtWqSIz97Wf0YZb4ijIvzHgznUOEMd94VXFEmwU0ETt6Nh
unahsY2HyrpJPVhmH/Kiq1DLrgpQZJMZz127lj9XXHIe0+XSPxagq79AH6sdlD8WQ1OWq77zyip6
Ljsne2iQYFG6uE27s8M+VInSyPe1Ilyc8DVUkWJUaOazYNJXBLMs8P6YTe9R50hzPzGNhkc6vw3t
4n2sG7881l69/uqRZZ4G0RELSUNKHsbMKao47H1v18yD+E4DpcL9UE2/KKPr39ailxPzHQc1eqVe
o3yCiOyN+uo3EbY8aUvFPZoLCC3Z0xDwwtcVUYOwyyJ3j9keB7fAJ/EwzHUQi6WK+nhbtxHQXjRE
TlqVVbsvTBArC1LN1N6IuQtbs/1mdM1wV3KY+1FC2krNPivPITKuk+E05r6p3fC6RnXj3ozr4S/f
NfoTjkDWHgDStAynn4Hy0SzVRnEWjvcpyOLYZxoyeo28BJFg+OQu7XugdX1sOBQ86Un2z54InOOw
0Y8cbUzKcdvX0309mq5Ese4Uu8Hy2c76zv6gezU8Fo7siF535Zmpjn3KO/+m37aM3UZT887MCpAb
4hlTvUhHXBJnRnc9AkMDDXkjiDb1LTJIWyI3duWQbUXSyqXjIvlRWex7JID7zOp8BGUizOO8YLIJ
SG8ax502F4WUIYA2loSrqTN8/EOVcJ45WNoIP5aulHS9XLSeDSJHuWQoXJvCShSxtancqvxu3JBY
BkExXQskijreympKc4yYJ7SDaxCvwLIuwHeNpCndMbYmL3ybgJK/4FEZ00aNWER4xq1TTRFoxCy+
xmu4Fld8C9uPHt3WYVlK60+JGOory738xTD99mPrHjMjQBKoKaIPVjTm+0y54mHZMnUXkO5lsmDo
MkhofrWJ53f8czAjV0RmeQjLWd3f2A0fqi+XY1Pky3mmRv4+uFVOOWTYu6lC1rMC4T2jDgniqPc4
Ec3KonbUk/0HxZWZUK9m6WAueu819o/BdBiYGk3HXLpf9IY2qzDBziHxKuI1V1yutoWA4asueCHK
dfzhSjp+8Ci9aQcJuqn3dFKm46Lt9XcYLDiLt4WDrZzNrkJtg/gSogw7D8Ju52GFRFnHXu0uj00W
bT/G0raOHqyydCEpQ30rHfwixHQuxoclVmRWpl0gV5nqV+Kpw8tiyibpep61FEHhkjZO1svEnGdn
SKaGhPqiKcUuo8g+upxrz16UDc8GMXR93HnYtHmIbfUN3Hhh4E2YrDGWdebuc1OTG24N203XOndT
uedoHN0RC1LvzRGZc5kr59lTEaUS91meuHl2t29HNR1yWdefPn2rpwm32MfQfC2zZNq8udUfxlTw
kpB0SkyALJDkc7re4+Cw+C5BFiQF0sykqszgqbPq6KL1GMZBTrYkn2JiMS+cLnv3pyF60Eo057md
urNWrkGkIH79n/5cL1er1n7iTcUF7GN1rBdhAitx5N7p2aiJpJwTq+u7A6/tuA8Me9xtm8t39UBD
LtVk7IlNJ2pm1bcdhOPk24ygRKLrn/0ntGaR/FkZgmI5sPXRcud6x4Ov6rjT6x/PUOOVnBH3tFar
+uVxKiFAbBSPtvJ6/I+Beqpsb97VgVF8rm6zvRK5WO26rjlo264ex8B9HXoygU0Diu423+rDwl5W
Vq82owoepeCbEo02/XIr172OoZefa2f0kw3VkooXZKInb3VwDivGeSIxNkdflNuXz03dWISrD4a8
u1ULD93q9+151J5noyQ3vdTOl4mbUMAC31xxc9XgyqqNlp0NdofgI3nlsz0H5p6sh+W5b43wQILU
tAs99ASogu8hNViEKamcoWdT6vBpC1p/TZlvZUZc+VBhimCpH1tN1nJCcHVRHmZt0agYAucPqJh8
71bOYKbN2pWP0AqKtKqxzMTq5qHP1kidPI8Shatf3bmmcVyZPH9AbYtOqOcFTW3Xmw5+Nkd9Wkx9
dTet2/BZZF1RJJuCHJlWbqcYh8906tI8wLC3UAcldV41X5UxWvfKL7yXKWo8ZNvWlN9NVelUlELQ
ZsOonchUGH3l71pCSh/xydnHLQQ5ZqOoxUlW2pcVRBX0Ar+4Vyu4nwi7zaWv+ZrGQNg9DjTf4oRk
4d9ynfeBllASUpgnqzFk7LaOKVNInpxdOq/+blLI7lyvUEhzVLddWLD+FE7U7DaqlcvQ5N2xJRnv
fVpyHvggT1VrTCet8aW7YTfd5dScnDmd6oGSK98xElzhcLciVa7zIaa5/2H2HmeTbbTgeWFZ0Fnw
ailrS0LZ2TEDBQhjhRk4p3IBJLi2tUyaJhJHf2uLXT7NOkVZbBzLGYKTZTXOHaBLUuXmFsceXUQK
T3uN0UHOscEQH9NFVzyhqKgPIu+L66ZRgfLH0NqxNTkPUhbOdxLxtnsDEgzrV6SZCQV47lQ2PPVI
M3QibayMbW2ipjHX8MSz3/4onN5I9dxnr4vohkdjbkWflGRu7uvbJRoCudIrEWMalH5/DPo53zny
J7sfq3hj59aza0my6QbQdjGzQJoIVt6U13zwUW42+dkctvewsInQHHBv2IM0CatupwTNMHYko0f7
SYHz5Rt1+zZtDeeQov8xZkv/K+ijD9oKU7IGrIEW6+8sPWw1vfWWmR6ZdqwLuyavt++B1EhOM8C7
tlE+FuNWAckU+XrIuxofoN1siTX6czoiR6YIocfaR7q+mv4Q7Vxfd7usq/tLGOXevmiraI9mM6kH
0Z9cDnlX+lEHXD82Ck1ntfAabPmPPjRyjDq0AJz6uVoJ8pkGrc6cK1ccOllzFzlAXHkHAJJl7geM
7Vttt+DStPlBsblralX+AgflnznhuqnVQ50Q4damHVj9nSHI7sBUSFuBNGEWg2XY2XVzKzT76ypG
jJi9fo3MiYOK441nbOoY4kxCHxPLKnGtWH4Z0XfIcBC4hv8i1nprYmV0AqGzBWV3wciXwL+KdjBg
/auodJFYWzsdptowQCc7WPSmOsBdttQPi/DUb9VgLwia5WlsM29vwT7bF2NZ/xjnfDrMC5mPdjs/
d9FiM+9X3mtV4iXu83zeDXKW19yIotTEVOI267kylXmyq9m870dUwUXbjkery8NY12GZdoYazhuH
vN9zCQNM+2KAVxhQnI3h8uLeGE5cf5UEysUeiPkVt4XzVnJYTfHdbrtKzzzhVtbTHW6PPZi2RHgl
u6JV0YLQRtncR7NWO9l7486eO/chbAnfsYrqtzWU+lVnnXtkRZ/OWa+ZIOHI3bmjl3/MK1GW0BwL
JDGOfKVXM76ji24fo9Ivf9qTiQXUaw5jHToXPWdDimiwj2FxTGdjsproWDa0lVt3UbtVOQP3rro5
Voup+cLKXaL1VmQ44vYamTiW5tG0++IeJn6XuDmbrmnQ8TKKsTv3wB3jYsqmfWC1Zsotq5JCGT0l
uLbiaA4PDteUFpEVotbDydsNOjFK6e0IT4qFDG2KT5yxxlr1e1DLInGGSH1fJHAVVbIWgijudwqh
FEYB1h6fM0wqqrq9+nJZdtIMOTNHpWz2lu4wZqE1QzydOxkYhJFO2yzkdF3xEH0L/Mm/0K7v94QY
bzyn/rnHXNmksPTaB6v0rIeGCvBoUNWdQJBgRdBOth9wwXyvODPF/II5JYkQ70vZ4MYk7PNYGQOD
WVPR6xgIYwqz7a5qyw9zNf37G27sEev6/dRQ4E/G9ul2mpifWl7Dsolie7btr7aYimQEYfRIYGm1
t+mW/nTK1bhU2Ols/G4jZjzTH1+yyW7ucIesaeE193qa3hgPY0gfzB+NxG5gjG2VjoVNRobydTKY
uAwqC5OPa2v5qKaWfZt5KFpv692tlENfL3PHszXZJQfzLjuYdlnwti9yV7hZ9Dpb0F4qUf6W3rzd
gUT2vaQVW5AEJXNwd9LrwYOz+DlRW+01AreTZSvxbSY/IrVt1tzApFiJaRdg3SEgzn0jgsaM57oy
dpll1y8G5OVLOPjhXmaoxfPVwresMyxOS74+oB78CHO1puNWYkcnZ+tDdsRRcW6yjlHhus8jyvK4
qX2VWvTOabfcENmlXwVsH2J7C0bulqVwT+dEpLy0UQSQfaQpHcztYR4WfV+FW/NSN7phQ2mzdCIE
/QyEtqShs2I+qmz/GffcYW3n4RS5BY6maOrf9Zjrndkv922Fw91oeLjxqKpHP6+932bVvdru3Nxh
vFVJuZLpu4VLeY7qzN+LAJuA9EuMnos/jHd91g5Pq9RzMtacH5O5WmhdqqWUFydbJU7D4muDUhiP
eDB2FuTYZFun+mxmjNjohallr53C3uO13lJRi2NrNYAVQkYatuFEcT4OdNnEKI+2525fCxXpHZmS
1o7Ui6tROvrJIXNuj9oAhSQwlXSwgvbTySAcOJ0xUB3w5kVF6NVxwKz8m0AphriT1fFHUC7zwXPV
eZRFd6/zmbZxtbxFsv9TlCLYBz0DhdnrV+zyBFhH81yfFywRblwpf/rD4MNqElAK04uI1uJHFYr+
0+u+RE/Ei+fhfrIzpgW03rDj2lv9K28hBEO+Gs/9NLtnHCbTNyC6bCGzj1vSxkxyzIQV0u7UuX8w
a8tNlttZXhV5SyvPz77nM4tXlm/VscTL8cTuCp9ANVkqcpknMMCXNoY61e6rVvMmSWODsYQggYKx
leotq2dSuTud0YmSxU6PJU5pz8KhGkQfPZa5cz9H2UFirnllSBk8rA0xF3gXzDvPiUjxaSuB99Bs
oz2wZWlyQu8LHL+cMKyYMhoSQIMLDP/e2stp53ctegvPXd0Kektv5nygTs3pYK/02yrUGEPazhvm
Hm9+pmXc7FuGlqdAym8FCOBdm1OCFxsDHXeVTHUkplWz3eQJ+ajJxhGq161u8d5QzC55wgFPOliU
83Xv6x5AqmeNFr5rUVi7sSy/07NiOIzzR6uVcjAIpKKMXvzU8bEi5oxk9vya+T4Lh+yAtX68X7LK
BBq5ubuqDhILUS42S3mFnvU+Ya2NXRdvLrOnco/HbddtfhdbmUl7oovGy+xE2bGa3W/93PZ0abDM
cXZSL+ZEgGYH9hT70Fgau3bOlh/Mycuk9jhJt6bffc1oHt7xHopHYUwrPXeR43FSxQH7uHOFz2L/
bPwAHltOpe3EdW2LPyrPrcPNOx8phSczaux4xENwskxZnQLDuuSt94NYFDxFNb6cshtfWou+eOU6
0zHCN5Z6nbvtapB3vyZoe+FhhYYIDwHOE0JV1zvMGJCfaJvKtHJGgrBVNV4X9MlnhUFnX9hu8Uav
P5cxHAU6y8OkmHJkwy6IBqZs5KTfG1MXHjhpgbCg4juPPKUXKoMWAEoQHQc3N5Je++65rjeTGlY7
L7QUaDGHrX3pC3+4etMSfIuinNn9HPEUtiF1+EhLe+8PvLIcp7A5Vwu0BRjg35bVkfFW0NEBpTfe
ajHvMiyTS9EmnfEdsgCAFB0tbhgvXMMnEySsEZtr7n+WCHyweQ1l/62xFzaMniGTpm44Z2M+XNms
Gd6FWXDpNCkz8c1CfxyBxp9uDBA7DoiRO3fekP3cgqI9iWAyT2GbW68WPaa93OQUUUkUI0vrtHFE
RvT41meIzUVJPgDoz2UHTKYG3zLMbtw2gfgBm6p/snq3u8/Hnpq7EvOWJwsrWYuPyOhx6OaSWUku
4PDk7crf3fsTeQhrmC9XzMlB6jB3+60LzKNAym6QjttAKmu3+WEzjP6xzaR9qbJGPQsrl1QTDTkK
BpOEXVf400XiNRZJLjTJxcEGCDbepGV9ziWuNZHP9YdZ+/BOC38R3wBH0ZEHM1L6d7UGrhGHXSvu
oDQg/JLdGBZpsJT2D7ecuq9hlL2GV020iC1CNmZMXKFBsI2dfWvmcmTr5cR9Z44Ixa8kFxl2Ys0e
GdWdGXyuJWaKjXXxK1/bPLxQh/lHeO3sq4thFRmcZotoXk/2zUX58FbScjC6ZyMv3NeoqvVvs1GK
bmGWi5A1DLnMzFL1Ng4mMVX1xMcdhVHe5SPSX0kE02sVye4L7pD5xk0OYkaqUb+bbcONx0IolSJW
ISE08nUFy8IxUISiMw/3A0c6+vfSPmaFYz+pqh/u18J0anbGcm3i3G4JYR5qZAuzqQfqJTxcTlqM
N4dIlC8vzRaine/aGsuG+7fP5WSTlwxKmGJPgdn9GtbFi2KMY/xUmhUP0grfhGDxBwel4dUbi572
SFRkx3UJlpc2syvzMNdrdBb9tnWx7Y+yu+ZNgA8X2Wc5PAkmx8c8MzFRBzWKmXKaiuFpEgoMpFsL
d18L5vvp1DrVE7PKXJ5wtBdlohnAOqnJNKwEx9M48ZpFLp0Nm7c+G4XTp8PAtJUNoUA/T9AExl/Y
bZdgHqqnDl7MQY314u10MHJBhnXgklooT3PKf2W5e55SYe3RTlBZ1AMqHsnoaoxBk/PLs2Crnmhp
5D9pw3OCjgzl7kdrNt9acl/O9M8FgCFRvZqLIPCBHDeYLEarDxkQzt/DPOp7a13WMxGPY3mJUP7c
05DlrwfDhKf6Jl4JdcRzyok+g5DCg5lg1UKTHY3ql99QmUQCl26ATWOfdZM4hpmPoqcJ1vzDMnJx
h5cYedtkhzRoe5/GUyIKDkg7SdNyShQyhJYZ49o+BTVz/aQc5Fqn4Fd4GvPMQ7IyhPzf3slKMBmO
80pHoCSAvlQ9i0U1LO9t5HXPYm70b+yXdkCLzjHeDRuFPni17pmupsHhbm39tAylQz5MM80vven0
APxpWEBsCF85M/j3gZMvG6P+iHAVn/qgg3DDJt8YDBQH1isUNNTjmX0T0FUqH/eiEAiHBxi05kIQ
YKxZSO95DzSUb5qzMhEkpVClWGs+pLYijg2ZRIhnESKB+VNVsgxh5iAGp4PFk9VPAvA5HfoGM7fD
jehIv4r93qy4maCxLlOJU8NZ+yH7jtiOfZdmcP1QYnRIuwlcfFRF1bdIN1m1tzL6qjFoC/0b6E9L
A/TGGUfMthZntMLeq9PVPASMQn9VtvY/facQd4XKbdqQ68zyYGoE8NpwgzquOJkzVl9LsTJjMHl5
qvYmWRRqc8fUI2PkuYADgS4n4gk0VMdNaEYmR/sBXIxIJ+E5WDLBm73mZHvVR3pU84sBYugI6ZoX
loEBVA10HNXMg8u2kF2LwK+e1lucDrmOxXAuvSH45LAz12k7ad6NUuNGoSDYDPwKBhDuQqOsPlBH
g0lq3cwmCZc+4s+K8AbqrFbZw4mEi+I7W1EHBKmXmTj5ZDkc+zDIUaLwftTJzIjjrYCi/UsyvbpH
h6IPK5y9PTmNrLpyzX8yneJyksi3Ng8zNGyKjiLfdiYTI7H/m4ZpRIv8hWu1BYKSTSz3PtgLSAHi
9n6TzDp29+HN8dOsg9zfdI0eh+ymsXeWnFnv+SX8pdE6/6iciLbwHNn9k8bMzSiKwJa9uK3MDRvA
PtqW5c70Mjz5Tau+N2WzMDmy9LKjqGcHkj5/TMfZPNiiWa8gH3uuARaQb4CHWu9NEp8DVUkUPk1U
+uq3DhU3aakrfWgBFLGr1rUfJqst/Oqh0Mt06HTXnkxDtacIhMFZb2DAb5uc8hNuME3uoB+cvbfw
My02ydo+m2X2UHkwfNJyc1jnvKxlETE7w3nlSGkeKoGwx8uN4nvP8/3QLTK7zjgVd7rwpqORWwzL
FmrqpG43LtJql7W+BFM7kADRNHRaydHMjPNamxUJdS0PnD15jptMK25/22bmmjayo9g26ZIeCsY1
KHDGLYyFI1lJGiICBBPTCqeLHrvnRVm8izdE28OkpinlOvjHrIuMRDp136Vz3/ZMRAbv3DJPYGIf
ojC1LeU9uzzdBzkYdU5d1nrvFRsKVTKW56PK56uoEU3dMQply9I+fpPGRQhO8SCOwHGd4ygWD4WS
x6MyMaFNVMjkA2EX+4VZrPOLa2qfurFnk4ImidTdWasnCi1DxJQ9PLxaRMwoCxXa8K8CglETqkP7
wjF+fFi7CZO8KhBFFMOAo0ss1jd6VA+j5VKwNLj4fRQTiWEsuGHUYpzHcR7OtCb4Nl7hZENCa9wA
R9lRAhLvwxpPHPj2OHI4mmhRL4N5ERH37n7LLAw0xkyPbUfkWGlcUR60FWcWxaRddJv3d/H//wPH
9eFPe0M0Dv9stv4Lo/K5rfnfP/8rt0/zj37v//p0/z8hlDdQ6X/LsW8f5C8UysP4rv/U79VfOJS3
/+TvdmwD1zX6c+T0gUnmMRA/1Nvz30iUVO3/YQP3RczIzxABN3/0X4ZsK/gPRKRYmFCve+4tcfy/
DdmW8x+Bg58Z6N/f6Zbe/8aR7f1NBf9/9JY3ZWOATwpXhY9i9Mat/qvQUVLnTc7WyIPbkbBNqG0X
Y1uVKR2gb+aNxaMtQGZS5F8hwbrPZtAbez0Zj0sWHIVYaUcUCvTQ0uTsRkBcM0/mJ5v5dRCHQ7DL
ZHGYm85h5kNBn7SW82FvCwQ6VynEsvNbywGaAT9CSirpu7Ckh+MZ0KdQhz7KcIJziAAgyuZ3SwEm
Qq+WfwULM7luXQvIf92XZ0EPyQVAYe0wJQyUPEyqeiIW19tj3HEg8Yxsyj1h8dTTo91QQ+tsg7WF
BaEZGMZjoXzOaSLHThmgzYD5S8haZ+oU+EbDOLoHz+EElvyNJlLfrdbqoPIx/avNyeBRCcVwzIGX
fMxKhwQfWbt+MnMGimkR3AfKul+4ltdwHpo9GvDz1AXlwQk7OxUZXHYDfWfszGq4jJ5RsqUXXXtg
5uO9dRmRab2pzauw+nslrBs3R8S1lP5NH5d/RZ7Ro6yKovs2J4t1XJWbM5KzfzHaGlKrHQSTbqli
OvoGoxlSdWQ+/8zr8uoO/Ua17Xovaw3cFufgsZvN/NogtzgNTWi/t32DHZoRsZuWi1e80VtpmTFv
NocJOQ1nb6l+mbO/flI8oFhxK/+ETGT9SQ7x8GG33bu5rchUJBMAHQdO55mx3bOzyW0dcf4icdpo
es5ETCw9tE3PiB6iqnCY2LfdOWgZp/qczZ418yLUSoOBu6DhZGJXPzc3q2lEo44FD8NQCMvwZ07E
AgMXX36W/ViKWHfTaD8WfuMYVz13Qh/1AlRw1nKp7+hBGGLneYU8b5MnvGRaqB+Spa8qgopNzndL
3jVHWsOZ+pGFlRTUpHbzvcirStCGRdVmzsGW0Fr6T+bObDluJNuyX4QyzMNrTAiKFEWJoijVC0yp
TGGeHYADX98LWfd2kV4MRheeWm8ymTwAhx+fzj5ri7sldqy7oRq+kFxn58dhhhyiB9eTJNEegvSz
OxX3gU96UbPmfdkUz6aYaiCHzbee67mD1c2PWmvbj3mBiBe/UdiGRpuX+gEBKEwfPfHm+ZlUt91+
H7Wi/ggXFvBSN4qjUw39s9Sov0iN1Pvlc7/L8Qcf7Ee3zwGTIAg7sOGen/Vogrg2leIxm0R1VyJL
+6rXqIgzmF5gUKTj35po2DmX+iQsnNb8ktfo2SQ81e9k1Kw/kGHrd56+YJ+XDnNWfzJx8mQ8lFZ6
qiZfe65LVz4M4OCbHVIvQeyTgOXasdSycNRI8jRO/7nr5G894ug8T7UBUDBAvewPyI4NwziQ0Ro+
pKsKOEnKT0UUfafUF3K+p581cvlQ8w4SEMyN24G5aWEDD3KVhAYW6VU4rpwcA84cxXBATAIiC3+X
vc1S+9Vgu1JF2b73OpOcXnwaslj7EqXxvZn1f0a6Jf4SSQc9Lw3IL3EBl1NjdWsb7LWfcq7hk/QO
7EtR9PeNnafOfIynfgEP3rO9T4OT60BOWm13muEb9ym3S+RavywAon+KqHA5G1XuQ9Qn9oeWNL/o
xMOyaDBEY+HvAuHKnQZriWsHuzw3SwerDsyD9xlq5C8hZvb+kjSzicSwSsbgWNjGsoviZPzWJ5F1
XwGIa7kDgCXqNQeb+fEjGpp6V1TsSgM/T35kgYg+We0yfoxS6g6HoSrao0k15CkhK4bEqye12mvs
JOvlTk7pHRnyW3/gCkvK6g9ztm6wOkx21IAhDUMOZKYyxX+se5RxYRz6QP/sLPI2ahCjTqQU9pbT
UtmbSXnScrzb6/ZHK5N9auGGGDegzZE9+A9dgYPekDTjpyAr852GVPdb6ZHybgodhJSOmmGHtbqu
7YTonJOeI+qodW4XkPx5ZWgYNbkI7p0PS7f8Khz7s2xwpUTNPI03TdmYBwRV1u/Rc44aouadNozz
53XO3FN38HGxvfHsLMYt34ubXVevbyjf52K3bQEJy6T+6ubtiUy68ckvqB/lukP+aTp5cZr63n0I
SMd8kCJ97O2/7djm+qvlgpOth0lwyHZ0LOi96dhwLD6XI+kJxm+zN9A76btK6I9Fp9VfRk65u1S2
33XNL25Fm3lHL47/ZJ46ybYGOqsTcbWEJOQNQclJJWmXR2EE31ADeKeqSk7sDlaJefEcNylEYNuJ
uXEWJLb1uXuITcl4lIigC8R2XRehrYznf64G2QccG33U0wXc42UKS0p+DxCAQgzGi2NSBtMn4FZg
kfInUJxx2FbgM7u2xXPcztf7piH+6on4KbLbjs/c+zjXeI/jtHxfQHvhzZq1gBSn8Y5NMRtnvFqx
Bh8SjmtRRfKLbJZDhYnVZSEXgfV9LIf7PjBLeHUmQLmsQdeRSgDIZjXfJmQLsICeun1E+QCjwudF
IVnsqsDLjumMVhv6CyRDcrppq332dW4nPQGb0MqiT3lk3OfklY710I+n3AYU5ntjd2u6kdyX5Jjd
bmGmEnn0dZDLKRvs7wuqXAvyXNt+gRmLBcPO7TGYtz9YYwI0BrC148MInY0mobo70r1vWhFTAWD5
o3kw88QXP9cLqE9zUH+qDPNkssXIi+obU7ezQ+my3mAJaJ6pVh3XvOCJw/NZVKP9bAiQhFOfnGUQ
fDQpTqirDAHXOH+0VnG6FSesgO7HGuq0m86cmeJDppND0dKbuKtIBGD1sfeNCldjLv3SZ5bVn+MY
H7NVTILkGn4vw8KH7dbNLSxn4R5RT973qA+ZGZNbN5hvKpBxEtFqP3a/hiZOPnLIko/alDywFf2S
jkZySigXPWs52Ww0IjabKFY791DgGsVxFB2E5Uf5LzKxxmMjchji6z4tAc9tTpHz5HAoOjhROx/i
eggeJ7OkL6fgLycYqo+D0TPJSPuX7JfyBNez+6x1w8giEonmExyzOzfwdSBfAAUnE0rgzCXJcSjY
eKNMA1wkOJBCVP3YdTEKN6CtdX5v95blYKLbl9SYWg4XwDcaBikT1XrRrN3Yc5KNz3kwpcGvee5n
838wQP/VcentM87LI87/I8L/0onq/8Pj0kqBuXxc+jj/rMqf3St2Ff/hX4clqB//MDiNUGYH+oPq
Pk49/zorcVSiAM9dq8IMR+ffKRT9X3aV/w+HJHvgQ7+nMt20qYnr/0XtD/7hgijigIPFIyctPMD/
m6PS6zJbjcG0Aqx4xtcHpGWpZGdx9QJQsKjvIu5p72zhs1y86IeHf524XlbxroWE/z6H/bt5hRFU
cXwg75kDWDV7zD0zeTdbdn6epwlGJrfL+AFIH4Xtrq3+O7PP//1J3EBev1Fi1t7Y9F6DbKxtp31B
DuW7THLuTQu3brkiaZ3FeRCpFuf791/y7T6krO/1L8LQc2oX08kz9T6RDdHSaG65/6uuul69Ltv7
9yutZZwvyvUQkMB5Kub6bPfDONyYDcK3cOogehexCTmcrIH9h1Obn/oCqHE5Z/5Do40aqate069Q
El5Xwv77GZTiea2wNUbo0J5dWzJvT7od68dsKoYnIBTXfGsv/YhyXMfI3kE64tVnKwaSzN7b+J0V
rW/v3VgjTb7tc62f8UVvSnTHLoDt5tymFeiwyRpqLohn3BC3ta8U8K6SZ86UNT1FcN3X0p3YSFbm
FRP3S13EhPDy6clqs9Ky0TqT+LOfyHMsKDIr38MLw1sMM9z2Dsq0oMcByG8/qs8GxuNHzRAQORGj
XBlLlwJGmRUycmCc6bLmTG4FJe7Ycb1aAlHuju8/vXGhk1RogIFMxp61ujlTZiKnTzEnG/0mE5zH
Do47Ov6+bYYGHLpej19yKnHTGwPlbvPBwxOivXPK3k6PUyTQIYg0cLWd5BZ8JgleGVcd3i/E9Loa
vPyOc1pPNQXgzTlafI2cfK33yTG3Y7ukdCbL9B+pyJe/jGZExs9FafLBZOWoD0iMyLn0MK7HbR/D
VyYXx+Y22c9Xra02cRlFFRbOFtUQ/PH+t7jwrVmlXr3nUMCtz6asPcd1XH1BI80efe4o89oWbeoN
X5w2ZNUpoz4XTkFRVmRU5ZMHHO3btsdXJgsxgdCDXUDNuV5kT1rSZb+muS1P21pXpoqBjASlEnlL
NeXc22j+ezI9WeJ528LYVyaLYuk8TCL85swGU492gRG3zyZVSuJK51+KM2WaYIFdoiRiUZg7gSwW
B5fFRsUw+T0Q2lj7/X4vrUPlPzcRuBS9HkImrsSroyCQmKmV9wg8+78o2jH8256hW9zLfojSK2vD
Oujf+ClP2TzgOyG8SOgrg5rijT0olFw8eoaUHhKWSBiHgfcFjizMNpmuzFYXIsRTZgJqk1rDaqLm
HMDSDk6ekC2XPUGcZFde6kL/eUqEW52cKJKb6nOcN9CZucOyaox8NJLlGBOQaCHBxAH7Cj3w0uus
T/FieR2RRpuRbNvz0Dd+dYwauO/HZUiqp/dHw6X217H4on3ZoLaAmciONTd96iWbvv7TLnSmlW3t
KxFPfrihdCwFxRSgaKKQj3QdtP0rH9t4TYL4v/soTwl5clwmxtlZfQ4ovw+tCe/MX0lspPKoa3li
/tA0KCQcRxMcfbDmyauPhRNNM8x4oXtXpvy1q94a5cq0QN3EaBsGn0hrxuB7VFrmn5O+IAksha99
3taNytTgaprntt3MNhx6ULzPFiScE3dcV+aENSDfegVlTqgwcKa2pWzPPjW//d5G9hocY5TZ2I/W
KaUdVp+SEogiH2PLIZ/zH956d/n+u10IKBWfkaDWnVub7QUpC7OkIgcEBdXSidA+YSmD+bqXCAyX
3/+xC+P9PyCcGpZOXlVwhOqBJKS5a4gdUuQlujKHX2pfmR3cliREK0V7BvGiHfDfQY5MhuH8/tNf
mFBdZTYogyYZ5nV5TlzyNAcRrDcfQzxWH4a2cac9CkLv9yidrNj4Osr0MDtlS0XuSPjCFcd2q33q
Bq793n+bSx9emRusIsr6tl33ldNYD6ckiuUj+ooyCReNu2INu4PD+790YXy71utZziTDXadUYyKo
hqz7RP25/mg6ZQKFrdLT7wjB/SehlZF3oqYhKvfAyBDzvv/bl0aEMj1QA2PWFB+SP+Q4S2Ho4GNc
N1pw599v/8L04ypTQ9AIVPE6R5hmjpFBsMPlVhlnGvT3Sy9t5+H9n7n0GsoUERdWQ72a0ZytEeeP
oHe5PWXQXXmJC607yk6hBm3RBGtY4rARPXLbaDxqFGDfbHp21Xs4ckVKlQtn1Cbupg9gtR41SoNO
2xpXIj6BAdBqpqDxlRraQZ4+AQAyNrauRPzY1ibmfR3dzh3lrYcacG/VONlse3YlvBPAmgFpN8Kb
xMFPcBPY44yG22/s9/Vrv9hcILrtCzImzTkr5/pT7Wh45gXm1Z3YpUGjRLW7aEZDaQNPP0+/LejH
oA26a/7KlxpXwnaucjxn6oqTUFfWKKKw2VyoAg+3dbwStBmYMO5NAsxks/RDNeJBYzTu07a2lUgV
di8iicLwnGALg2FKveyFS5JlU+u2Eqn4ZxbQRIb6rEkHOYRFmdLYdMUf21pXdu+Cqt0i1emXSlsh
ZKD8dmldtodtrSuhiglQ2lkNW3dgJdZnCoNuY3ZVVxirFwaMrURq5cYjGg+6PQYlkgAt7rgSrQx9
uMaqvPQDSrBqo1NgM0S5guF3VDoOcDLYvm+bgP8DmWo1vpf0Zo1coH2wu4aMUL+x15UwTSphj4EL
WzNwyUPupGD031F11k0bh6QSqr7TIhRvuxpvAcoSD02kUTPrICF/3jZslGB15OwYHVVqZ6qCZybi
uv8yzHpyBQ586bMq4QrcHguIgkFJgVZffJxcgBMHtzeaaxuECz9gKRE7I+JfrARdhZkb7bwXRTtP
O3swHPe4qX8sJWidDjMaY50SSquyznUqjDsn86dtU6WlBC1WUWlSROQDLN+1QVLW6HGiuN347ErU
CqyPugzH7nVwZsj2nTujcoorvMtLPa9EbNNIT5+gHZxN1KLhkoniF9wHnFff7/e1f984tVnrz75Y
XmtbT4JiwpHcMtf8cNd1qOTq7xWF1I4IPi8oss55K5wrYbA+9Vs/p8Rx2Y8WVcoN60raZN5+lgBY
dljKIhynqO+aYcelPlOCeaHiZ8xi+kxquMnpTWyDNrC9bVOFpYSy6MExlzmDiYD24NLUww26l2vQ
0UvProQyBCZ09BWTaOO7XSiHuvvgUXK/bbOm0vlNrXYGy2CimO3UuHOhxD1E9H59ZTRdeHiVTW96
gF6tOSjgd0FMiw19OUokX9ce/lLzShgjgXZ7Kwd1Z8xT6R/4a/tdg9cwHMcWGj6gFNQBH2QdefV9
Vsbd58rov2hOttb3QWOqjDihetpOlxw9qGVif7bW/u/7ul5vc/og+ytfxuSzMLGU+8gtORdNg49k
YY9e1ae+fsihffUUbKdUfWNreib7IPMnGBvFE9AtxEhtb/nNwbcXshiOG5xh7DraCVl7qmMgSH1Y
iJSpg6kixQzsIrNz5xeAL8u66T3h/h4b2fuf5TIj8bTdDqzSnIJdTBIzH/Qr38hYo+CNGFQNKEAH
asvU68jAZrDGUFIoyjghH6+BPi5e0YZxZc/OXqdWsLkzB5iYYebjRXbAa4fqW3Oizm3VxttVd2Xj
sK4ibz2RMoFCi7VysywrzlaL+CoqM73noupnNOHoUy3WmOHsnFv+DmwLLGjcgosrfXFpQCmTK5Je
1FhpXJ/drNRDiPpHE8bAlUVnffq33mr90RdTq1NNUzHlaX1ekL1Rf4kb1YENe+nuqEK+Gbpl+vr+
HH7pLZRJte90TAlxNjgXvlk+GSiGbpeAQpyNnbSOoxfvIXtkEIvd4OhB/fpBqzz7oBeBte18p9LZ
CyN3YEjaxRnVk4SGKnoSUd7gX7OguNA5hrJzwSAqHe0YyobNfUyo277AlxT596au/9us40XfzNE4
TR4Y6nOG/86PKNaDT63ReR+2ta7Md5GtpWLqYVzDPotP2Th3oVMF7rXp9O3xqbLHB6hubmsM/TmP
vQqiTd+af47JbGlX2r+w1v+dCn7RNxol7YVlLv3ZljhSYpZINRuKu9wPyK2WxbdtfaREmeGkU24D
4j3ndencwpGZH/0iXa607l7oIyW0ksJGrBwkAj1xDLtuNLolopbQMrGxyrxqXzdZN1yZBS+NVCXO
KjDVw5AVWqj7Q34H7+fPNMDPdVs3KZsWPMuzPqllFAKckSG6mw6Do2S8EgaXPrWyacmdnlwc9pJn
eE/QzYLSj50j1bBrxWwZAR14/yWM9WnfmFJ1NZibxisCakTPPfX6400eI5QP9cLMf8AbSJpbB1Mq
MB8jnqhhYQZ5dbCtdHA+SMcxqvuB2rflyqO8+bGoylRWDuqwy4HcTH0GwI3RqgdY6JkVXLOvLB6X
2leGNWgRj+IeFMG+LJ7HkffB4/uaIOvNxgPw5q9ndI1dGmRUFKAxSvCvRluD8gk2BqSuTlp1anFS
aWm88uV59q30aJiIhd8fApcefQ3UF5OK0/M5vc6Kz/lCcO4t5vIfBXWA5ZZ+p2uU7+qLwTE54Qah
3+k61cx6CykIL+VtT698VYNK9bIVdhDCdrC/T9IIQgnO9vn91i9MVrr1um9kSZ00xsBs12psnGIJ
n2VXZ3CHDlNdt+PJMhrtmg/Jpe+gTFYBJrNYs+k+ou3UPUhoCec4sMbT+2+yjpW34lyZrQyLJDgQ
6fgsoeykf3kjxUQfjLqpplCDdiCO3O9N1QdP14xv7//ipb5TZrC+jPOsDeAMpVpr7KvesZ2d1aSt
jaLOoAIW/h4S5/d/682+Y+5QZrFR+glI60wLpyijYDUJpq7Yl5beG1em40s/oMQ3/LgITgPYtq6i
RmRneyKnwE625bLxB5QYR69idg3gzHB0o/T7BIfus97pwcb+Wb/RixhvHbPO5FxqiKpqTmfjbBwy
37yW77/UOUqULKNMJ9Oe4aXr8/DJmafg1JeUBm37tkpc5GWbu6BrsZMw8FDs2It/xLPxmkbt0rMr
cRHERUnBWGmuBQ2O5MACAe1oW629RcrIyFSiYC2bs5i2y/O0TLDIGy+a/mDHs9R7iYxr09zh47nx
+vv6Bd5owQqSjeYsPXsYyVDEnUbb3kGV8VVwBUE/ejn+ZJCfoJqKO7iC5tc4Xvrfmz6yKtBrIOJY
I5PS2Z4osBSeiw9bJ+Kf21pXhn9kTquNlZudgZ+Mw6kqJDRjtugg1Lf9gLLGld3gtI3kB/TeG75B
kaRGaDGcamPz6+B9Eb5ZChKs1CIZViBs7mHtgqqs0NT9d+Zh/6PXYfgoAVyb0Ty4SZ/h6owfMGju
armFjoZBwPvds3bDfyw+tK+E8CgXyl8oGluHZ0Uxka0XBw3S47yva/eamdalH1Ei2etiDzJlxDcw
aio3A3uAqmgWrQMmOOZK5vD+u1yYMFShHsrRXjeBxJytgbr9emrNvdkbmzKQfqBq83IXJPhaOHau
/BlegROV0Jiz1v2+6eFVGZ5JSVA+VTQvO/Nnm3ChEbf2lkwbj66sYEU8CRx5oPVRCNU8YPubnWEk
X4uwC1/XU0J4kou99GvhKOYEVO4aFUXI+wq4ztcgM9pNt1e8gxLHWWwvbdOAwXX1RBQQ7Cm3A5uB
8fW20eMpkazJyUsyx08wwhj6Yzug8hyluWUnz9MrYdx41L3PqP7PRjyLEAh5t5PevOmim9aVIG7y
cUIEZKXnYXQRIWOf7txWScYl8baxqcav7pgUVzoJxRfa17kMMMHs/Gu+UBei1lOWYYkgWBpTnJ7N
2tCgI3PcIX1ofX3/0d8WPPqBKpaLNc+IoWInZ29pA1gGjZ/Uey/nBDu2TeDv02Sw/wAFXKZf4cdo
P+fS0NsVR8Id9ZYcCo+g7FBFjk/i6LLBX/Kh/elQKH9fxZn39P4bXug/Vwluw8KGIif7v8ILTYys
2/5gz5Q0bWtdCW4XPgqGUX587rI4uLUmxwmDOb8qeL708EpU14Vm6V7BJ9fsLLh1YCEdxBjVW9KJ
dPz6qy8WZxm1TgzANT4bQfTbwYlpx51JctzWM2pIk9WwRcLRvx24Stcjjv4Srt2Vfl874I112VVC
uhxmQb2+HgE5W3GvLjTX+6TVbEoMKLu1rvzKpe5XArsDWoIWpWdkAoKNw2zlSoK6KPptuztXiW2q
Dt3Mihct9ID6k14y9nY3ZYdNH0CVwFEsw70R/O5wSXoK7UobSPMcbYsqVQEH4mLEb4nGKRwEa1Y3
+W092862saNaKHdglUYj04IwSdv0zpKLftNq0CK2dYwSsyVZt6Vu/CAcROmCnJhdbGqwwtrW+jpi
XwRVWroORlk4nFii/u3XRb33MZ3Z+OhKxJrZSCmK1tPtVZDc1eUE6rMGE/P+o18IKkcJWavtjGqI
Fu67Go+CKhuSgIDFBlKrwYlq2thBSuiSZFsmSg840buWeR5HPANqKIXb9nKOErJDRhFpkNVB6GUZ
xiwiiMMJxv+VJMylHlIC1vDxqxFRxLTTtTBhnDETco+IcjR3SWVMm27/fdy1X4+heDHNMaEkCBOV
ygPxlYTQqTdOaqoxqzdIlvM2XZesHCsAAX7BgzSzbYTaynKbVtkIoZ/cAnzF6XsHlfi8JJZ4eH+E
ruP8jWlf1cR5C/UYaWZF4YRJ145K4ud+FsbGR1cit24cvK8WGpdaYsKqj77ZmfbHtgdXAne1X2aD
sAL0F4wNLbgKd1qNQmLbQmUrkRvMtcBKyIxCW69+6XN7UzRk87c9uhKvAo6ia6VpADI8y+/6Dmv7
nZ4aaJO3ta9ELHgu3GXaWQvbXDrfotQOfhYgUza2rkRsZdtTIBM3CBfk+ncFN2VnOFwb11hVClf6
8zRLyTKIT0R3U+a2hj2A2V+ZbdYF6Y3RrurgzApuvQEqM7RkaR1mlCFMysBIT00OgqZIcvdm0ydQ
JXEQRCokF926rFBsG2HNMS1petrWuLLcppLuhh2vhUVjylDk3pdyuHoqvdRFSsyajZ9pGcJtBo8u
fvhixo3DHGdLYOtDjcadAwRoUykO5sBKDGc4NIzTkEZh0RrxHrzbePDQv2z8BkoIu8E42xRB8CbA
ouSOHUT1qzX8aNte31KiGAM0M5g95DtVZuk3sIDTX1xKxNuOcKoMbq6Y32xwsqHtuF+yTq/30Sg3
XhFbSgh7LjbeQUkqC+h6CwPMSA+FM8zbhqeqgrNw2SkyO9HCUczWIesDwOKFsLak2v1AFcFBw2+t
EWUZ959W+ynCvGLX1XW87Xp7xZ+83GuWGII2fkvyaDHiaIRwWhWAZhejonILu7ds29A0lQiOKbiH
OsTYMUYz2ltJPN1I3fWujMz1Yd+Y5UwlhDE6qYOFst0wFelSckgsTXErcIDocdBIoNtXfaHhMQdH
K7vSbxe2EaYSySLQHFGlkxYm5igA8I/TGa3X9OX9Ce/SCymRbInUWmxKu0Mt9bPf9TI7X6GEGZ91
NnP6fjTw9NSLQl65GP1bovNW/ymR3foRE+zC2l/rrQv8OLFwTkEkVEUPjd6WD4ZbchnVBb1j3MFt
Qi0spsUMTtgaLc8FloM42JZLgZl0XunjlxgXS+iTboKhODoKd9q2EKtKw66fueKLbS0sRWz/sxNA
2va6J+pv73f6pU+qTBKBgR2BUUt2KToWEjM+y2eMKzeVy/qBKhyzm4INuY0jTynG34Gd/TW1sC03
PbkqG7N8qNRQIzjsYpF+1qcOhCmeeRtbV6aIttT9PkaGG2Lw/MkttM9RWm28c1ZFYz3co2n2ICIX
k/ErLtwnIFu/t3WKMilM+BuWlp+zI4ng6MERmG9k22xMuhtK/FMemkpR8+C+0f9Kzexr5nZX9mwX
xqGhBP+cd+QCKbEHo12nH7AFnvDMsfRtp9u/ZbwvLhfq0fPdSK9YZ9PafrY8LXjgAsYNt3W6shOP
xAwe1HOCsIpFtysN2e2SbtlU10gMKREqZ4iKZMODsHG7v7BU/ieO7Nu6RZWCMeEVfdUgQDE4ZD1X
RuWezXjYuPypCik/weSSCqbV6ddPn9Ik6p/bNPK27RBUiVQGoJOKXnyKCt8VH7mvq8PFLazjpk+6
sste7hACL66QHkd+qHeV87iIrv4EAKTZNmBUgZRJ0fiEfwmHfVEPCfjvpPgoGr3amBbSlTgtcY/N
y5FZIHbdOexkI+/dwq6v9M3fsuI3Vk5VI5VCQ+6nuEB3JUX5y0OLUHxchtr6Z6LNfYOT5vxg6s0R
HUT5MxqD8eQWS1odzQSIH/YPIAVCqnx+pXCBuqNr4+qFeZeWntDpV+Uem9tBHJalc76mfe/bV576
wgSjK8t9hmPR0MgSPyPL4V631oKuAhcpq21beRU5J6U2lHnqsdThQn0iF+3s+hqLxm3jUZkECquN
MfoZ/TCeAPPHQXwfDcm2uyckK68He45pyeLMRhR6qwF83SBxKp2lOW15dLQASuujgVcKTuGhmLHn
jo0oOuqpswlL5pOkfN36KLwM+yIHbzspm3u3SfzHxFrmL9ueXZ0GoKd7UTPw7MZs7tLYxemn17aJ
MKDDv352z4+ttJRMvx5cxZ96GouT2STR47ZnVyaBwa4nzfXZTsOm+haZLU7XYi4O2xpXlusGJ3mc
6dgJZDpY03ZwH6fI3qaM4/T3ul96V8PFeWZnp1EWcPIg7nyUy+A8bXt0ZbUGDWuaesbOjpuKPCyp
Lto1TXRNd7d+u/+cG31V/SWXUcNMcEADGY3i2YJp99NcBu227YDGb9qbMuhf94+W1ovbT4EfSlxK
bhqn6u9qx9mEgPD587p1fNbnqq4cP0wH95+2Ufzwyk1FnrSsBOtkG04ziYaN7+J6t3EhihvcCvVN
x21fZbL5FBa0bs4mrykn7bRIM+bC1dKtTTU8PL0SrhNePcLTQLBXVLwdMH68o1zimtz0gqDA99Vw
LdAYuUbO3lrvimMwwf7dLY7EyB6CvzuFhaXZw77TknzAs6coqqNjOt4EYhRc/8aBpUQ1yBXOxB1G
t5MW6EeSNtWuY1He2LoS1trgdkakLX7I7Uv3cxLzctaXcd50gPB9JaxLacjU8xm2tlbcuEFjHVoM
dveb5gxVAjaPmllCkg/COsEuoonMrxiBZdsaVxVgGq56+BhxP2qXQXscPAqJpdtEV6hYb+97ID+/
Dueldheji3r2+G0sSa6W5jFx02+b+kVVgFH/QJm8KbxwnMo+38/4F2QoCcq+2zZmVBFYPI0zLk2D
H+IRCYO2T8ovSZmLr9seX4noRqOMFHcMP3T8LjkjcUnCYba6TScUWKWve56bOBnnYN/DKanTU5aO
xRGz3mvQpkvfVYnVJer6IXD5rk7X5aGLzQZnFTwct/WMEqt9BfsXEi/97vkPMsC4vHL1TUgXVgE1
VBHLmMg0vbCN+uwZebf1eRqaZtNGHA+f193eWaAJmsx10Xcv6WdMQ6MfgYWt36aOUXVfpj7oU6Mn
rI5+gDmNxPnrh1um7Ju3ta+Eq95bHK5syw39SQ7xMeUMGu8Bi8ZftrWvLMFWlBiejWFhWPmD8wN3
iu5rI5f487bWlf2yiEVrCzPlmMKq9Gh6hf+QjM2yLVxdJVxrzw5S32K/jIVdu8twd9jFI0ap255d
CVcXW0DHkIkX1nCoj0E5a3dlE3UP21pXwrWNAivPEtsLV0X9oY0167BoubFtzKuyrrFi+u3X9alx
rEPpQnYyHX3eOCSVcMVMTRaZ5GSLG80Q7zrIUTcYtuHCvq1rlIAd4yFf9GZdXLPm29y0P4LS+uP9
pi/sxlUtVx6thn35EoWiS+tnKMNLFga5Xhhh0CUbd7WqpqtfqmLSMu6KJhy0cDEs452dwbl8/xUu
zPOqpoubuQ6hpOuFsW7lHLWCSu93yZhF47bth6PErKdFmOfWnCZaXIR3Y1KGfbD1KOcoIWtLq5qG
2fNDYftZfoC97VpgqvEm2fj0StTiGewXovPZ9nkjvP1G9/ZJMJQbO1+J2txCHuLHzDgNFNP94Off
zUm7hoW/9GXN1wtVbw3YO0p22/Nk4D7ZoNgDobrpwshX9VxtLqAC4L8bikUrMVnS3EO8dFeLiNfl
6I1jrqPELOhWtyijKQhTzKbjM05qpfjQm678pPkNRla+ge8CdP/2WzyPy7DP5j7Du1Ur9e9BQ7bJ
GCwhniByGt9jbH3ghdt+c5Ohn/slI2xrEbRjUv1+BF2YBFSVRjll2oI7NcvGVIxPDg6S+a5I26Db
GYvUvr//Ixc+pio9a8vBGstF+mFVUyJ4IJWB1V3cRZG1baCr8jP8jjnRTuxVZTX2T+bsVD9tMW5T
e/uq/MzH17KMY5MwapP71pE9FTTLz21do0ww/TxrboNBXWgOznJyvNR77gH0bDv32coM4xus1jpa
Fvz3WhsoYzXnHm7uDSqTbY+vzDDcgphFAzQlXOBg/HBs1/nuV9b4tK11ZYYpMuDisOQ49ssl/WPE
Xeumj/xtAiV/9Vl5mcaI4KUggE+464ryWGAKjyR4hzGA42+bIG1lbzCbXieDmtVJKynbT63OBO+c
XptmLgWVMsvErRfkEU5UYZ2LfU5+uoGEsanfVQVaAPBg8PTKCaO2KU9e137Au8HdNmRUAZqVVDIe
I80JKVGeSDgY7dfeWdorQ2a95ntj7rWUeCr6BbPmZPJCs6mcG/y17L9M0fU6Vm71qaJOo16mx2Qw
Ihg55ca7aksJM+riYXovrRP62rR8CEobe8RJTtO2lJWvisTm3HaXzsoc7sJzdh++Pjs/hsIo9eO2
763EGeR2lBk+naZzv7K3rFbsLa3Zlr32VZVYa7e2NFeplaVjyJVM9a/OkNdgUxeiQBWJFXhMz31N
47YNxX0nh1zau7L17G/bukaJsmXoMMqQVA1knt98Ahi47JzGnP65qXVVJ+aTRrVHLmvDvrY+wstf
DkbSJ6dtja/bkxd5/XLhNDhlnhvW82yE8BWLUMAW29i6clZ257RoOt92Q1jYzS62rT+jPLjG67rw
VVVxWCqstraEYYdDicFjWcRo3azxYVu/KNHayNqeBTCc0JmH+8jSm13fJNcUScb6/m9MQKoMrGrZ
cSdd5OLZaxf1maSn+CBcDDl25tK0X+A5CbFzktUtODVzDR8/F4vXw5oBsQF9N3m7C7K8bnaeJ5eP
GDVU2m5ptOhTidv2tMtHP0u23WOZStgX3BiUWrtwQekiW8sygLCcB7cVSPqmsrw66P/RfiVu2E7d
iWXvW273Gx9cWVipSw3GxeFmdVoiMwySdgjLyrl2rfr3+7/1CZWYd/Wqne2FPdloYR909Oe8jH8A
cevjvQ84tMUHWTMeUj1vYyqqnTj5MKYVp9t+NRvbCSce9KNrDNI9aOip5WH02unRNIUujvnUOhO+
6bGcjt0yy//D2ZU0yalrzV9EBJIQgi1QQ1fP7Xa32xvCI0JCAgRi+vVf1rd6t97zdUQtvXB1FUhn
yJMn83sIa+wioPHT4lH2ZcQG5puwJnRXsRLF5fiaBLBcpyKMD3MqZZ8bArFCmMm66Ne/X6ZzXv3v
ZyUuB9jB1FsJv3oYOEM8McgklYnIo21Lf8aijV5XzDSuisTicpgdeQVNRun4YdJW7WPp3dd0JO66
ARbcw/8ZLSGmKFDtUGCLQexvOGT2gdNducguLqfZNumG1YSwxRQzDmquR9I+JD5E9/nvr+EPAfOS
S+hqcP3ADEVR1YoKXqxwBG0pvxJ3vWQT1i0OUKoifmid/0FwqTNAUtftJSX/H0j/I03pM6ZbbTE/
xFVZZWarPqUk+XHdY7l4qY0YWZg6ICxTwodbC2F9XMkwya/79ItEAqyYEuFcDD01OT7SMeC/F7jI
fFz36edX/R/PhdeDEhsXeKVTRL/PGt+7qEAU+9uKzJ/C3CWrEGuo3gB/iDFwFs0d0/P0oRvq9M7K
UqYZAZ32FRTw5MEszRrdAsSw47vhFsKrC3bfPzUbtQ8qTjpXALuYn4yrZFhsq162TFZrEuSYOQ4Y
1IZ+foDlJN/yqZxaVbCzZn0xOsgG/eX4/2FALNKLhwV2cR3D9Qq2s6kSICPH1fZbtjSKMnB1VnFT
bVVT3kuIhb1hMrTdgQbTYk+tJuY6Tiw663++Lmx3VXVUYlWbhgH//2M8IhZeedIuEt5SlRtIYlQc
NHPBlpHGeJITWV/n/4H58EXKa9mUgtGLycowRtGhhUTMTiVO7K86ypdUylRPFTw+Qn7YEkj4GcgP
n2Biqa6czF9yKVfIAKLoOqMcoap+zJ0DxIn5R3idSkVyyaYUlXfjNC8cJVIkMmRwoDVG9lc+nIsY
1YFbXq/xGB9KiaIX3pSV/ZBdqa8bcV/SKVfhMXweRjx7U/U3MH0ecxGP9qryIrkkU3aw3QmXcUDw
blYMFTEyg0n6lcuTySWXEg5lDUqhJELnOILeAT3RDA4vVfHvp/Icpv+7dEkuSY/JAN+S0eLYREPo
onyRForJFJvP1UlzH//+97/yh8z8X9THddz6YcY819N++rRMUjIoRBP5t3nxHwCP8OLmQiWSb41G
mnBOfHPt0kA5NGzDNd+wOZivpeS/RNi23zUHgom1cZRn1/wwkbJ/BrwmUQy15MoPnRq+qzL95sx1
Ioyg4V0EUx+QJkm6mR/Agi0fIdpssRw9hFfdOGxs/PObp1FkULOinNk8kXdJVJGjl1zvrnsuFy9E
DmaZrCXskPh0epilcp/SpFRv//7p//vQgiDxz+/OolittqoZSCVds+ZS1u1SYG9k/Ogh5L1cBQCK
S5obxKi8TNsKvwGFZVb29ado6/h1B+eS6NZEFd9UNbFDqdpyV6l6PZIuui7XYHXhnw+obMqFeGKj
QxkrsjdT2GKhMrwuWIMy9c9P76BQ3QZNEx3GaTB9tmyBO05EXzlOFpdEtxho8RhU+PwuDdz9ykOw
weE095cy6X/HInEpbAY1oYHISkWHwE0xCEnRr+HsQfrvJ/NPH35xZ/HNoSzjkGjmelO3RNd1xlwb
/2Vk979hFXHJYJvaZSF2AiQdDq3ZctfqIc6hY7RCG4wmXbQfqHdf5ETH7//+c/4A5IhLWltZwgVt
IwkDZZ8ABajXgQ/Zig2Q32do6t63idHnfmVs/J4sZdwp6GACICxYGbIh24Axkd3ALZ2yzba6ffFJ
b251qcImQ7Uo5hO26TAO//ev+4e4cMmTk0puZ7dDdpgtGZcsBu3mcwhKwveur65SC4dR8QWgODRi
S004IyrAnbzoyRDlgbXLX9LxH87PJV2OqihoN76xwzbT6eiYN88c65nXxfxLrlwzg4I2ypAeoHXS
F9CZH0+2d/VVZZC4FEqbO1a5vo3w6VOzZayh9T0LriTai0uuHPNgDsXCsgO0VNgN0yl9Trb0b/s2
58D432WQuJRJmxTmJQ7a2gfbpQbYjdXdu91cozOsxvi2iMJ4uMrbCifoIkYMUE4ZvGHk0G8tjj6s
wM33ZGLrlUfoIrHH1ViqpRT0kEjoiu0iyeFE143N8DcZ8j+d0Yvcrk2LuH8+RXOaqiNMBcpCglpx
3de/pM8ZH/aiGliIeWGS5DKKRYGXcR2TVlwqogW1s8AzYRc/SzHu1jLkRWP66ybw4lIRrRmWaogx
hD9wpPccIzBIcproqjG2uHQUbYJGDBssaw+s1fZDwa4vEyVrP/976PzDS71kzq2J1JFpQ3KInZo+
A7VX93oxf3OG+t/1ubjUQ5tsAjykHcih6nrw1Zd+sJ9FFZVfoY7RB9k4BKXPgqEKX0PZT9OhgrLp
VRxbcWkoWjPKVzXNBHTJGdMOKIDmGBqPN9c9tou7PPPIRLMaySEaW3XoG77H2tuVddalX+g6VknS
LB05aOfn16hWfD9RPu6u++oX19i1gqbC4Ks3lah/hi1ZDba7IdJw1cdfEus2HtkFDiDIBoD830Y1
eKynUvrtuk+/yMLSJ1OHCiQ8wA252RtgBhga6qsE5BNxyahjSO8EsSM8DDXImBlsfAf4Sm78ygh6
Sahr1gSKVsSHh7khZSEWOUNlJb2O0iEuGXWCu2oAe4kcQAOov3cy5pjbXAs0CX6OIP8BycLGirdT
WxJI6y39aYZn0mEgKrwKqRGXSmmCK3ShdsaLDTrx2TnW/Nh0Pcm/nMo/5Hl+cV9F0FRdbRDmagPR
yiwM0mbJpgDMpsypQX0AoY2X6y7YJcFORkNQQTEKmWxl6w30MNaHqp/+xpk6n/T/UbFc8uu2WhH4
RwXhAfX5Mt8xqsRjvEUrZPUZn6q89ML2uxBLKLTo/79WvermXdLY9GT01FkbHmpY5T2EbKvuRi/d
dRXqJYdtE2JKwgrS69BSqx7bAc4DzbrO1x2uSw6br00FtbAawu7Cu13P5XcY721/OVrn8/8/Xsil
ghrve2g+b7gXZTRNP4Z1M698bP7m1fCnTz+3PP9x63qbsIGaih6cicIMhoFtnsb2bzQq2Iedw/7/
+vrnP/wffyDAYN1AvZUeJPdYzhm6qV15Bt0n1fgMLKu53y0V/FhuwjWCei1f9LScOSZBU6wbjbdP
HnrMoNZCcOxn0mxszOpoBfjAZyBb+eqsmXZlb+MygxNtDZYf3+L6bktbX2fg1AtepGNfhvkgsOmU
A63zaR73ifAwjutrlSejpmteLSqcD4NS7ZirdmjXA2cT88e0oinf+Zn7JOMwyPOQIfa23a/MgKyy
rlvoTlhJndyta4bO51phmvPkKhhxH3kNRGAn/QbvM01jHmd1oCi99ZuEmq2spk1iYtlr/1TDWOQ9
RJU3fu08jKnxwXySOfVzsORGbaH+waZoW/LBTPWUGegL1i9pPYR1Fq4kjg4a7e+czSC7fIDNCh2n
eOwblpWhHteTWDccUNjVYT3lU2kJlMj0uNX9kYsgLG9ZF2w0NxjibPccfmqqWMNtLb9Z251ZEwjx
C80WDSMAuCZpp79BE17/wotLyl3KqCPfCS3H8oElTYycxtWisz4YA5KZMIzQn5dD35z8CCQwXyDk
HB4hv8/6GwLJ0BZfMXRJTsRoLMqcmHyDGWO05gFcDkWuqoC8UB5E6ZOB9dQNDCEdP64QRa9gH8iW
8m2jUTjdO0oVhrJAA2t+YsHgy7xuqzAqYDdkf9bdrOyuCjqVQmOsJuPDoEH/zcM1nfRuRC3xWM0a
3l9k3Nh63LYtmTI9l+W4g1qZ2/Zj1dMvRMu4P1VzBKk1OvTmYelK+YZvWIPPVUE29KOLlvWtluM3
jqL0mw6gf1T03Yob1a3UvdrWry9mbKK3eR1GtaNrBLKKZ8q0WdeoAFLOBCpxWWNiWngRB8/QDI+P
zYhuAiBH2ru8H+n6QsEloceyHoGYDDye+bGR1tKCOA5UCIpk9ZDVcq0xR17buDvGxMl7mEE39jWC
XHO6S3s5voMraepiXWM1flGsK+s9m4Vd931CEvqiSjPR/dKpUu015pg4tEM425eEVpzcMDhbLXBP
bNxQLAkmC3nPg6UuIuxOB5kZlkHtIPzv1mPrxqW5YTHHkcTZrWroUI+kTPME8R2j9ECvXdZIAZSy
VwOcppYxVX1eRx2JQARpZloE6Pwf5OaH5GW2vTr12ErWP1c3UbFvhQnVbSRhOIJyUA4YfLn4twKQ
+J32MX8kHTPLTmx4u8fEG39fRWuM97ktqt+5Neqm52mLqP/gHI8m1w4UXlgjOr/e2ZUGH17oDYIQ
UJaPH+HoXJushaRVm5m5a0N8eyhbPMgRjpkFn3HP92ni7XzfuDENC7zMMtmRQYqfZWsb/7FSINUF
mG6J2JPUdXci9cAiwYwIvmEBgsS5rJYGqFZdd2lBO5LqXRjI6Q5uTxj9Bgb6/7emdTp9PPv5Gpe5
jp3NM6se2xNr5IZPHI9QFlESNkE+VGCZ3q5+W5t8ipcFMlMkYN+9wxXHjk5/jiYtieXurObY72eJ
J/9cbvUcHRkscYfbOOrepA52pp7Wb2HV471YCIPORVLBOUBlMW/PqpvtLGiyi3wQwX7RLrE5QYC5
0nhlCTaCPOQ1lrvEE4LpT0mn7b6HH/b3ZEn8eFuDVj69K0+tv1emVstNExA+D+fsIGqSRa11gIET
CUJpuJWNyRcxTiaPxzJ+TzhAy10QGvczLPVc+ADIB97/mRoz7mxTpsVSj+NB0A6+7SP06eOt/Xqm
EGTKsz6XTv+WIRiCGWwWwPpP+JcSGnt7tmDn02Ifq6inCS1k0qV5aHydr3pyGbox/gyYIijsDFrz
ksb++zpyC72T+d3BvoxmApf5YSZJn0OByhYVprJ5I2eUg0nAdzgyssKjiCTabCOqWyWDac69i4NH
uJSCHj0kGx7r3GLrOxvCSEI5CBSCDBR2f3RkzisY4iIFuGonnGcFfNs+I4PJ0+JamodQVayyqkrv
t8WOVQbLC1JwTGsnqMwFn2Yvv9GIlN/gJkSf4yaGw/oUdFkbIt3ImSKih7LOIzOsL/0wDh8wbfK3
naLhl6aTwwcTXZm7ut7yMBLti3MGP7AJ0iMjyxe7iBcP19HMCGfyKJZxASUYmuFQ0lMDbhRo+IuA
iLBSnyHeIB7J1H4NTA3IdjVwcFDz/LIYLADEaTAUsoQWS9+VGE6N6VFPgEJ5A8oBY+Vzq5pn1ugl
T6poPATt+NbX21fuQrpbsAV4sNCXzAI9DqdYBTjhnal/BWPJM22rZxVH39wYP8KI6jZN43HvFvu4
bUs6ZtsU1j8ghkO3Hfc6/azSqAJKBB2ZbZp23PTJsRlgtKw6zGtY3zf5Nm/mF252TPJNux9tu0Ej
LUzMCcWJ2zXS3YVrgmQFm4qPCIaxX0vf3TC6PDbGLTlpwughnptDH23Pmgl2g0QR3olYbvuJU5eF
Pplf/LJOH07rNVPBmOS4Y/6+ZHhOEtVHZmtd7tsYnUwovchRbMj30qzri8WY+yQCHN8aGtFFX7ZN
FlZQ/J4mtx7Gjn7dqhgPbZYZT5sha5nZry2UgBjEFQ+sY+sDCVKG1aZyqDLQ8ca8ooR+haSS/y49
+w7NLJaDrDIcwk68g+uojgMJILQCY/qjhHtqxkS0HeO163QmIqhG46Lh8Yz0Q9YpDEdguYBDN9SP
olSryCDgUn3oCgltjIcxk5116Q5nZJdUrSukkfRhDKX6FvVDf7/FAS0mE+4jUfUPEUUxOY7NiaNQ
y0msu10YqxC2XAYlEp2i9wFD7qOzcsma3tygM+Z35Tw/1DJ41ZJGR1yeHam42K3zWGemJFu28JDm
upcnN5avZaWnnMGmPddkGbIGHoWYUqj6NIchIrdnXyLrvzFI2OQdaIdNNpOl32FmMH7DLqcp2iSo
q8zP9XAUGpE2WJPwAWJj4pERGSFRbPP7BqZ7Mcl2gDcOS7OxrlyXb6ufVb5SOvyqwbuoi9APbZ3P
jZAFjCZsNkIKELHF8q9VtCTVYcHErAEzp2LRgftg7HNHguZIXTLlqyyXjBHOswVlQU636St6yTEC
x4gkcdZiGb0B9YUmDq4tyy1XQ2QLo73d8nQSKqcOIZEspDp5+DEtD1gXrjOQEuMihElo4c/8TUiS
USwLslNdEnmY29Ll0tZfobmkM2ieVJAxFKRYhGevPbTL8nqFxRD+CBXbsWMl9ZDVj6J96nR/y41/
mNb0c701D70xJw+3o2Oc1qN6w65peod6MGqfLfQxkOSSefwCC+Z5zcOFGY/b0oEYOs3PXaVXVZCy
R3LgrEshyZsosjOA1Oq7aRvSvR0duW+U5TKDN1Gc5GxeojaLApui00gZ6guDWJPVI2SOHR7FXQlH
rS+VW0jeo/J/4WmiMjaHwZ3dkp2sxS0KoP4+YGaQWTQN806GyRdfDae2GWFq0aBI06j9HqE5H+36
YD10gzGPkHr4GBl4y2ln0myYNtFnML1P8inUaF5sHeVAlQYcDT6gSgrDU1qJnhy3yAQi65ewPaE7
oQZUWr7+riE2c1hKY/tCu7XawSanzwJqV7afNKtRvJ4l0ZOk0vs6irrc6+ihxwgtCyrZZIL2eu9E
L94ohoKws4LnaA9RrawpI/wvdLpZs1o8O9ON4Y2s66EokUF9HnK9HR3FOYUoJePYwDP2V8NqR/Oa
VO1LuSkgJBw9WNZNqUmLcoGQwI3jQj9tevG71C9l0Vjo2PVr3X60kfF33Zx4mEXpCm4OW1dYMg17
1ygUQdgi2BOAdp8t7YYjoobdpUNndxr5ehfIpX7RJCXPBDUFSsU1sHkgRHpTL635DK9xENXgnQvX
06arb3w0uif0aNN9RAjyYrIldoQJqmV5pCc84qlOok+TG/tf8wjN1l639Eg1a8KstJ24qVGI30FA
luX10ocvg5n1gWmCBRmPg0/AxYRMedf32bBwkhFoMbqstl37MyRoadNteuVLygvlVAdMxzYncDcV
tlZt9daUkPbEdl8rw50XJIizWGn1Y6jm9hPGkObOzROqYzEMJypsiyNWyTFLExLcpBuTxayW4MTK
Ud1Y0oodENpEP7m592qnLUYOiNhiAQ8I8mnlGlWygDZt+TZz1SYZruX4ka4ShrBRQtp7UFPqz3M5
hl84q/DspGvsG2MDQSMduADFf0wwJaXNe2ytK6b0XF0Ppom3TNgxvgmrIb7tp6r7yisM+tHnoG5C
V5nsyhT6XIOBBn0Adb27brV8PJaDtxm1yoz3C4NCagZ5qSAfk3HSuRyDDdlJmRL9TkwEZgAl+ie2
pOhf5mE6LatNHoAGkG9nS5wMxpc9DnOlZ9gKueo0LaTlmbOxe0PSSbo8jgdQLKGTWYnMQh74YOax
PSzYDL1BiEs+KSn0O2noDDOH4L4cQMLPXLTBjX4hiIBlN4tCDykiZtQvdo9UPHe5qv1DAN5kgSI8
/YWt277d4VQO6kE7hr2p8z5TPvcADEBSF0i5NH3AOfmOlc4ZVvLpU7d6nNtVLTse+7TN1Nohwkmx
qVeYCd5uBgae1di+ewYQIVumMLTQC1Md25FI02ciWDd9TA23yx7+xxHW2TSBPVC75fNch09LYxCJ
Y9rXvtBzyLGnNI/0a5e69cscVJPO1rZNAwS2El6Lc12hMymD6lXyegUMwgLw8KeuCvYJi9MtGzY+
PEg6SF/MSYRuEHgIDzNRQZg4mwAA7aM1gC88KGjdW9lvQyFUCVMYDsrB7UoblDGU8Z8tCpG8a0q7
k4gsD3qiGu9nYHBZK0kljklUrqcSC4ZvE6ZLO8mi6ZY7+QYGUnLbSQBGGjEhw/qY3iAuByAHWjd9
0UKo+yYSs8Yjqml1NK2uDsgj6n7azFjEdLXFEFXRXoUmxq5WGFVZOQd+NxpnH3oMmXIUyfrNxbTb
O/w7B/yiihl2vOdk6IAyhNR8BUw6fQXh0B3i3lQFG2azWxEwc9aN1Q0wNrR3K3BUQC8gBHfrWUOO
u2cFJYhCyFh/qsuu1xmo87LLZdi9TXBSyNg0bW0G6dZ4D5u+bd9rROSJDF3hScx2Blq9N5P3NBsR
UR554mUG5jBO+NDMKoMaItMFQZAtBlqSmzJy/De4o/yIQim90R0aR3zgc6TxlaBj7wpUgHxHfP2G
vpXunfbiORbJo7Bd9R5s9ouPFOYvjS64iQeIRzXlK9zG1A10opoxaxaYpGYK8sUo+6I6xxoGmp0o
JMmtHJnKlYDzWUtnRMEZ2qVA7uw91F9MRoWa8tGD7LjoesUWudffJ07afIA3wG1AR7rXQVTuY4WN
j34su49qUCioF7i31EHFi41Iv4O44/BszcCfOuTgz7AZhOxXz+ZjTwFUbHN5FE7WD8pJgx11CDct
zfS6RSTMIjDNEMOj5lTD2P696+udRfF5rsZ0ttVDvCMWHfuIWQKivy7QNnE0W/Vz0wmXwzpZ7hZJ
fsZxFR9GiyNS0/6oFppmlKEEI1sz7SCv+nuD+Oy3BE3FKY7gnhZp3WQdD+0O0wT3SJw4KM2X3Anz
sfbBdOZe93tOKMubltdZ4Nd51yg2FeWInxUqth6AzJMbna5PK0qugxskgi5rb0UU/VjN7A9tnTyG
YsYvqLonX/MHEaFRnPkE2CgOPqqUh4coVUBVIRH4MPWxATACiDvTrjqUAcUSTuKxj4Md1tfZsgfC
zgUUVySHerPZgaX0JQ5qlJSJ/sqmZMzJKL7Xqp0KCjPxhyjUM27JMGRq2PyXBlJiO7FiA6vWNJ/X
luczNpAOq7U6r1qo2solgZIo25p71Cd4p0gOMKLfQrMDDICqq+XoJSAJiJczBhD4D6t9uS5Jbhz2
zjqoVp9xUZK1xtF3FYT9KZyTuoB/oM1QP6zgrKgP11dAmhbNd4ONHrtJoyxV9pUs3XvaihYVQ6/y
qaINOIGV3U+ucTury69NqEEqjqPdBKXJh4rCqjGYyLOD7cxzGcV+J6cJFZzUKrMNbNqYS/ZBtaQF
DOmTY903JJNEfaiy43sRzwvLeVoG7zFeAqDqSb5CPPjG43VnaQAKMI58vCdRiXjQtSYfaN3voU7+
kmDsPajKZJucVosc3iQnD8+0pzDVad7YECGJT9iAWmTb3wzwj7/t057vJK/QHrUOQmvzgLFhSeiQ
c937OxVo32Ux1H++oNr5ippVnwam1oeO+SCPg3W9xbaTfCJ9PyD/jRt+HJDi1mXBzNkDQFZ97yv2
7uakeRxZJZYzVmyXLz34APlMbYkvrtkDNN/mbAITJgPTY/q6qBr7L0L1eFQjVnnmGWD1YNTMTqZM
kZcnkJUDQF5SPPEKHgOHBXoT2KIevVJAwcvpmcltaPeL0gP9WdWby4MWW7Mny2dPc1UC28tKilon
i2uStg9mrmd5FwUDzdD9mQJv1uEKIufqr2cXEnkzMgGTYQiVW/JpClP1fS3tJN6j9FxeZHPDk4fW
kvVmVaKaUKYgAX4dTTPRE3D0SeRYSTpfYJA+9wHcVDcsL3sRoZZtw66IyIR29AzHvcWtF65A/orA
wOMBv5MkdOpTKURjXxiEIpf9UlVd+QQL4e7gA4UemQ0araY3U8/u6427U5mAdI2LwJ/C0Ic+SzEq
ks8LVhEtkLrZ3PdR5PxhpWR0xdC7tjqF9TZ2n2zokWcbvXp3GFgUqkwvdCk/hjIibgcIFPOVZuw/
g+hC0dGcq6xsUQROaz0qgfY5HCjHhiP28h4h8gSJzgwznXkvBMDWn8MI3/fbpQ6GrahW+B5nMtj8
9JvoDUkYdySe90ldu89DmlZHXzbti2bt1t4mYlCPFbISLkbMZX8zBq5+9W2F5j9K1+g1MSb+5Ojc
bodqOlcXVS0g7YvbCEy0j/sZvriQlo/Q0S1p9GTikTyqs/T83sVlC/h9XNoVen3g2d8IGSl9j9zd
6yPtoGJ8Y2hNjjhfyF52AhNJ1WZ6bIAX/GjJqO6wlthhotUQLC7AoT1JYNG6ahgfoF+SmY8tVXB4
aJQqTMtLe2SIFgBJwRU/4s/yTzM6GXbjoevKDkEct0+UD5CSaX25YtH9rFyMCFX2P6EEO74qrIe9
uMXQpag6vCHM+J37OXIfBgXabho8wXZdHI0mAhhRG/FPLqqs+j3bFvonKB3ho1OyNB2yEo++yUsx
MxjXLphB9MpUMyq1rvxS+9bKew0P4KhIXd3jmsjA2VsbaHVK+17fNdCBDHdwUel8BhewMn4S8TDl
TTh27KELIjcWq7Rpl3eB/Mkw9NA5I6XqdnBlly8pjxm2pXu9HtHIUpJ5TgH4eJdCQ79Bcsswq9G/
K0IxFZFpNxfAtbe5KGe9/ParE5+wBEnXvcIw7sSJbILfhgA/3sl0cFiSrlV9EFjEPml0uf2ZyJS8
hRazxru1Htc579hCxh/tWse0yhKlZvcQ+K0NbuItDtmz5huXu9lCLW9vTEdPiNViOnUVNOiylMzO
5iu0Knm+xEw84WVwjVlL2KMQaRJs4kJEI3GFUfwFvjNOI9BJAoSBbBHgNTq2Rx/3k801ajEQk/q5
rNXtGJVx+DMEphzv29VXyVl3EyKrPziGHvoWw5OePQcBEKBCjrRpnmyzYUS4IPccYhuP6/l3yD3f
rIDMXxQidiqnmc1juJm/gVK6vkMn3twn05zsvdmmzyAkAMAekLxvV8GHNscaXz1ngS0trH6iiX63
KBlfOszKXrvJm/SmqbsJ7T0JRfjiuBvug5V3psCdlb/wDrYvs0q4OPI4CKD0aBeb00BHj35R63Oz
YM4uDbrLLDAKrQQ1jNU3gS6BNQHblwYVKgCbwhAl3lIy+EcU/+wJY6FSZ7JWXkELdEr7d9YtdZK7
dLNlHgPCPRcb1TT8ImSZgj0jNWxO05Gmz1L57SDQGcB4W2JfyTSzfohTjgEC2fp9OPOVIWouCaB9
SUiXh4o3wc1IBKkxtu0HqgGxdDp4t/FE8e5ayKHCm9cn5R2mycY/rY4IoPabj8MfNW/rr7BXpndj
OYkgTyF+Ed12li5g9wO3VvkCCAkjRZXQN/Rxg9utjeKvYxAPNys64PUgYpW+sXZGWwvtpO5mrTZj
finIckL22brzsBdTgWO4hBt6rHXTKIQTXr3WPXNZSYJQ7rb4LIPcTZjMZ9NcDp8gr/V/1J3XcuTI
tp5fZcfcYw4SSDjFmX0BU5beN28QdA3vPZ5eX/VpaXdTs9VSh24UMTExHJLFKgCZudbv1vri8O/Q
XSNj0F0dX/f7ksVque17ntpgpEy9qUEh6NWypHUXJcPnvRhzIw4RexhbwGIDidXs02lA1HWuenm6
NLqLaLBKduVoLLfTFDmvRZpRvpfa1N9Sh8a3Isy5EOEwlxgSIWLfClQjiZtxHHTw8artBKQA0t0Z
Esolj8JqH054+l2ZL9UVHf16bI3VOk65TlYd408yQ/PzRg9Xr6pz8YEXyog22lTHGRMblpzBfgjJ
3+Oi7N+0qtaaE71eDvsVNPWjKcM0DEQBJL3pBB0sSHPB2Vt1mcpRK2dxk5cNwLWw6rb24dOrzCsd
k+2i0BWOphXGPgSpTpzRjZTQeQSYi6JjlLF/AEdVSrRDT9eg+0wmQWPfRPnXwUyb16xaOQJgA+f3
sYGy9Ay1nq61ZJnsMw5P2AzRF7CBeiJ06th+2itKYZy3UxUPh7YVqfRipWDETtcvcEciNdP7GoZO
44lG+bjFwSLWoFLz7t0A+XxTCksvjg75z6G/dDG4sZKU7OEArFG8VXWCiT0nh9T2WLNC+lEJHUYZ
uSb3RS6Ll74ca/WwFmFmb8Lcrt5h6kfLXQcn9/TM1t5P7YfjIcEvRq+uwulS7fsw8zoDZ6gHkc5e
r4b9g1mgv9g0uT0U23BQOJalEdZkIq8mILAC2U21ZeEl9SN1KrKgJQhOD+YSACygOi++zNDMLruL
hNXuinpjG9nETpvO5QWbsHJUJwVG1x7nV3Bjp/KEHFaASTWsbxk7yhPTdKrCJZ1GU922osNPPRmK
FQHG5Z19lxA9YOzZZHXDFabSo8YWSXpvTYP60CrKkL9ZDUoODAnr2gFbZGHpr3OH+Xsoavt87aJx
8kUT9hdG7IyvK9jB6i1JuYhN1U50iOWc9xDEk0H++cowHw8PmVDO5kGdaX/BkTZ9OSzHqeVXL8Gu
gO2xraX2rkzzqjzLePsLu2LKioituobNyGvEHk3Jk0FfPs+MnJgUpleO1JklfTYxRR+prdCENZ2c
C1eZHWFsStsp34fQAA5QybiRvlyL8Q7yeNI3apyN4+aUrRP5ymoNKGT0sn4gyjhatyGW1bdoVMvB
zUyn1YKxp3jzCKos8+tcJB28RJaA/CkpoASPdVaCyeQN4l5uxXmXieSslgUydzUzw8XtBDazfbfW
XQ890lC3r+OkN4Edl/kD60NV70Z70Squk93a/kz7rXmGplUISmgzHu1yFc6un1RCpBKbisYNseW1
N/Oyyp5qNJvqr6IuFmfDn2if2NyYjB2nOZxVUzQSWYYVTVZAKn1VuKQEJBYKHiOVGwEDPXjgF9Vb
p0/aHHQ8CaMLlst0DHWCyQpk1JuVHysml7W31pyi3VqXt0hEunGeNzRttJ91v56gKXMeLixg96NT
woJ5s65lfZBHEB5bdQnrywlv9r0dxqcskL6XXzLa027ToQoZ/Savjcof6ELUR5Lq+u5aVMtkHeNm
ktiSAWmlsVH6aKH3LhtZ3EOPl/yf2rSLd8WKK/UCFsCeNouCD7WiIsU/5YILcDDppl7aj0lGGYHi
hGDUQ75wuvgMaZM0+jZ6D8+MOGguCohwBT4kUXrPQAYYnS+pwsap50pzK/NSfqm0eXhGCDrtnKyK
LT7eWqEl0LRi3E+ikLm3LIV1IuYWW3uL02LUOeF7KrqVao8rtNWTTLSr26urXQTlmmm2zzl54iPy
5oq5mM1dUsZQ3oquNRetkvCmzSqJYzDhcXholIi8wmZuHxZT0xOfcSbturejon6aI0tWXqTO8epx
w9lKGcRuzpTohTZ5RJkgKlPHIaLcm6SU15aw1PoyMUp73C3s4E6g9EklPE6A+twuU9t2Tayd72Ax
U+hZlOQAAGnbdKdZQbLztWGu+7OhTJPLdLUMxZ1ajeZ3Yrv12aLK9ci5z/Ns0Cz2bmoCGCPnc24m
1OmZN9SWmnhJjtPBreYV+KrSqVUPTpmqANPLWDQHrRtoB2k92XbttZ5zFwyJuMKq5tEuhCLxJ+Zd
fi7HJV+2EXmp5VOfwuXtYQ85VCz0SIsLEivKwLbDUT1N2hhzf5W5EBcj14J47lBLHVe1m368HwYy
B0o3cciq4thIzfiKUSIRWryo7+9ImhLXta1nV5kdTy9cKspiA9vAsLeHJc6oFGrzBRGhjkzBNPoF
X3RXmwFcqMMYsUUPP/LWXFRvmuPY8AANrGfhRAv0aFbOLLtMWc86OTZni5FCn5jDmASVlmnPrZYv
t6pVpOWDaKHtdp0T8pJgjFa7m1RGiH+1hzTHaBxy24JOHUrzGKmlmC/tRG2/Dka7vNlZNYYonE59
usJeEG2GStNm5HZqlvu9pWt+qBZRGSiEzXy1hYT3NjtZKy4HrfoF6eDKeyxSk/HlQzhEHkMU5W5J
Q+ZzmVa2tXXjazlPTJIZTUWtGcescOjpHXkkrk7Mg+5naD3qq7Dv7PRcY3mbQe5o0SMzaarmzh5C
EPSSoYyGn6lSP1KBNeoNUhmqXDdcjPjrFNbVRWRpjvTXNuKcK9f8UR2lXnnxMhdKULbxcmuhHRj5
EBHdSRRVaRFIRmFGvqavhuXVZrKyIzR6XDGuzyhbdypNIE/BORW7An7UAJI2q3Df90r2RYW0nN2h
azIBfDUNRMT0aTMHbaxC6kysxmOiqs4cpL2tn5txkz+2tUZRr3bQ9JpqhSuCvwVWaFp1TfUMWpbb
MO0WfZ8qXRzC7jRhuEPoslK1WUKDho7gJN/wV1TgyA6Psyfb1dAPWXX6FLT5+U0xK+Z142RgjobO
/VHD1K9SLYFh70Z7X6eIxkh96hsuA+hqwED1buIM160WlGvWs12mDNk5JVc/bUaSum3epCPe9NBI
7uq2CsEvZqUF2FM7ZcO5k5Sb3JE5goUaA1EAT20/xmPUQtNbVkMpRs5nAyFq5M9KrQ4PeX2ClJB9
F+WujNcyZhhKDTSZdnbSbhwxtu0mHhQr8XW4hAjdip5z8PVme4f/AG1pnHbt6brT5t/ldtzcLgPD
7K9DQ2dZ2ybDs9xU4rpzY+QkpW86TfJB3dYze01vuPy9EVOu22ZMqw1iqC0BewSofmxnKYhwp8hn
KlcJjRUmBrF3di4eQsquBPhQ9DoIa63lm7W35ouSgeup141a9zKhh3wMB10U4Bt670sGTUqvGRsm
RFRamPV+lpTUKMtcDZBftJDsRJPQ7y2lBzSOsno4P43ITrf0SlHHuG/45g3M3Fod4rIdZh+OR0I+
5rVUd4LaMfWNRTmlwK958zUeYutmNGlGkSLYpKAX5crLKnrLxV+1PHY8I0zlXmE6QHN0ssX0nAjP
VNA3FSjchOG68Ds70j6ULJ9v1y7u0DO1olr9AfXpRy7HovIa02DqoW7EAGjDOocMqHWUoUMEu3ZA
KSJPLmOExKdLb+ZvmZJ1z2FtsZDU0UB8RSTKEZFbmQedbc5fk67tRiqvmkCWbgmr8yzMdc1ThkYR
vsMwpXGja1bVBNGoVBRqFC3mBoBr7jbJ6OQlTf5q1dtJnZsZelVvHez6VWldhHYXJmdx0rMraWVh
zNCGso7gqLMiY2jptN5UxCAlF4Nd1hpEktTmjZqlTs8JfSq1C2OIpNcT8FE9FKhH51/YZf+dpvxT
eEE4GIJP5JzMEPVMhY1m/VXaZffxe06BT16LRVnneVZhKXqxFqc4pvGsmCv9F86rbwk9fydY/+Rz
xDHPQM0lUbdmSMG6VyJW6bZ3kAK4jDaLG7/QJXUpLfDySjNdv4kml62fFAwl3cS0WEXA+V5a+9lQ
zN8zm30T1/8goodFTCoL1S2bCLLoJM4XX6S/mtPxb7wrnwNJKf61zDZATJpSFk9pMTWvM5D56sq+
qcnDEQ1w02/dus/xpFHcWFnp6OtWTHN0XJScdSdb7fb3Xv1TaqJQ9YmIv3bdagsmTEMf1b2qVon/
e69+unw/3AOnTNRIY3L1dklrNVB7UW4YACZ+z9TzOeU0b51KtXPeeyWcgshHU1oaU3jS+BcW/3+z
Jj+nnCqnEYutNS1bCPtXNR/doSmvf+/CfFru9Bl6xTzUdctS/JI6TsAk6eo3H5hPa71uhgFp7IkA
zMycuZyaCPgY1e8lcXzON51RVRi1mq5bpv+lxypq2k2zyt8bUWN9noKdrXWeUGAs26Zrk3ezbvPL
Vq/i78MR/uNt/m/RR3X1X1tS98//5Ou3ql7aBN3Opy//eVcV/POfp9/5nz/z82/8c/tRXbwUH93n
H/rpd3jd73/Xf+lffvoCfhuE/Hr4aJebj27I+2+vzzs8/eT/6Tf/8fHtVe6W+uOvP94oAfrTq7F5
lX98/9b+/a8/Tjnp//Hjy3//3un9//WH2w7lR/L55z9euv6vP7CP/KkbDrJDVTeEYZ5GU08f//Ud
+adqGbZpmo6jCcyXf/yjxH4Q//WH8acqmXKO1tcRlqXJkx+2q4bTt/gdlRA7h1A8cHZ5iiT5H+/r
pxvzrxv1j3Iorqqk7DvezWkl/OtI4cTTVV3TdF2XCId0VIw/byEkjaqxFFOxX5PZdPXoXmmzJYjC
kkwJZ3mYpI0OLT3Lxn2tEsdt0f5gR6kvFif9RSbuz3v993eCZUdDgMdR/Dk9e+hipq1B8O/rbNqH
C9iNq8nki+HUvxwr9ncfmmuo6VKzpK5+jklvOsbXx8VQ7Hs1fIwl0zhn7YxID32nt7HY1CF6CFS/
+YUiotZbk2phiefpZtW0hAqw+9V8vJ+Njd8+OkmaDvfVRCCpfbbqW45SLSBOKEGqyQkiw3kCcUyC
tpb72ES8hRwo9nvVvP/hIf3+MPx483m+Pt/7n/7sycL+w/GhmJkulmbJ90xPRyFigLSLrNM9Ydu/
2If/5t7++JesTwbsQSxxnrUi38fx9ApYQhTQyH6/Wu958stP9S1i61/PNE+xphHfYn67mNzez/Fz
Yeu0agcGsFfyEBWklVn+JMPcR1jo1q3xoC3LtnDE1zbcYxgJouxQx1ILmMrxpIFRbwt6JwO42a5F
MMA4wM3SMWzzPllQM5UYScBGXInBqY4aRLxL5SOzrW6EoYmrgdBxl1bmlYPysgHtd6tUPIXcfO5g
hc9C7OJ4vM9opDed2d2nip14oB5zQNjp6AvDnlwnCb+wQYzXCPFdw4E9TSGJ/FmzL5Cla8Gkh9VD
2+Mcc4ex/KJ1ysUypNVh0eM7Fbp8Y6TjozIijVwSK8CKdiugT1FeRvE5qoFzZ5ZbtL2DG7L1F5Ex
IaDODrQ2G9za9o4aAvXXjNKsjViIaObuzTyGba+KKagQot8yA+sIlZtdwoIErd7bm3zpO3eIG1e2
oCao+jZd0n8QfPveiHkB/CaMGmML62v1BiX+Yq8WDoZhU00qfC5cb6vPgZ3U96DvT6IkpciUwo3U
bdW9mdqENEpJwh0sYrUfqroGpe/q3dw5u+4kd5XJ07j0l+h1PjJiYxErmNXWXmZUctUCIsCsVdWE
NZPDsKvLxHaRb9xHYt7yoLwqYay4XYPwcMif7QpxadTYSPSa7dqtjl8MqAuKiO2oNdG00qA8qX2o
bseO9UJmJlRgh/dI2vK2BVPE/dBcdBEaCJuGIBizHmViF0KkrxBZkh+ozAdL8Fw4y1AEalLYD/2A
UE1b0metUiFSyBYCW4WCc2r2HPylPhcdveMIAOkADx1m2zDxq9kPinZqY0znMUune2MVs8tskwXv
ipH7qd555UicsQOBX1vzbtUhNEx5HaUEBjXqHJTNHgPm25wGi2O7QwYxKlT0yRGgB1OT+jjWfSXu
D3jGhYve7AhkF0FgE/qJBwTd1fUcI8kZOuuy6Oxrm4EzsGUKeGavsWqKYO2TmxWsZJmTyVfnfAfT
82ASfYG66MDujHsBTKoZgjkFT2+PnbjVnHIfze9RrJ3l2uwBL27RpdUD4SUKOZ/lqypX3xjbvR22
5xrRpEv+jJgeMVvvjqqyi8RtxIZeTTLAcuMiWoGLVt3ZeprFaQeoAq0JD0SveEs+BKhl7FlDklI/
zmyvtgoCyvKLqivAFQTDqmEeiFPc6oAAyrltoA8FK5bZxZCXZzXiYDO+iIZtZN9EeEH1dg3U1Vf7
Frn/c9Rth55Plw1nQ3OZ1SNEzIyd+dmwlxcZv9TDOxOivQEhopIiMHrvFTXIxVUk7ldMrsXsz+gZ
VO2KGUf85+w5Cs5JVNPRe1q2Xht/nVcLccmm7t/Bd32UrWuhHHtt3Nj1YS5uSqYzho4IptEdsbuA
PXvwCNLsL8rWCHTF8uc2xZOkoSBrN5puBorzFA/P+eyjznPx/RxAb7zkkcvrdPPNLE9xJrS300VN
mGqYywCk1I0hyyq8nnG+X5dbBTGrph4ldHWYYRpo5CFRHVJ460OqE2ce8QiPxaZCnzFUMY6lN6NY
g0W3eIy2uH6x8smNXcSX2jh6ackVnhy/b4fgdC0LYmSTydxg4fQ0cKaiYICHhDdnmTpNCZ290Qvt
xmgQl0a3tVXBJ9u+WZ+gCs2f9XjTNOOmXkavyyO3DJ8KuMphDVaH8CBcmBD/hwU5ikg07AmmB0R1
tLWXpD0OCdaWRHEHRz3rY7FrVMTZIWKBUp5rcf6lJVEEQUZgqGdL0W4NdXUVs8V2lngK4q0SgTyR
HV2r7LBseo1yBXvN9JSbU9s+qRmOai1gNO5GTg26uBdmVpioN9lTzks0laa8TLVnARBWFIJXOdeq
7CZN4guH0aHlZVQSuhu9GZW9cczWx8OLYRypOKI+Q018qHfPCi/ILdtqhWpgcjJ0NmQn9JrT224M
hpdT4HLDUsPx9TbfkXGxn0iB2lQieS7bk8sEuQw0vN5t6rxDdRTZT2oUmR6hKgtiwmUDc3c+FWjb
BjaNdRFiMxcnCCf62qCRn6J4PeCdvZ1l5BzDE5hX5VmBT93aWCOp4fZXXRuvWoGEytwqMrL9RGmP
laowVJCBUwSB+6OSf4QrG1Da4kQwpiMI8ns1tmKHHuMahdQZCRpnAmd30KvR9n9fKiGp+qlYOhUV
CIGko5sWPgtHfA5rSkRnYHFxlF3fKP5ETj+O5B1kd3l7iokIsng9ZkOf+kCVYMBUKIbEYaWqR8ec
mq2QSXFc5maq3B5vH6bkgUSB/Zh3G9FBtyVQXk76svSagHnB8PMero00fZvdB0ntQzFaeJMU8xFw
Mg4c1q2o3+vcRp6TUhdAt6Z3cw/RxfiA+QJfaossQTuX6d5ZlOQrnKJ1ZQ5r8cLVsZova33ZKmOQ
9JVXwSFgkHZKfNpI2DBRncEbiiR6jHTmO0RgmbFzoSB3G4V6NknsIalognp1Htcyw0IbcZxC5qHw
eACM9Kpx2JtWH75WeMAWyOBbIeb+SIxic2UX/JmeeICruGnT8wUk2FNHmz2EUQmYBdvlNV7S6jFZ
qg3O6vO+6y803cque9NWcIYXT5MR4rGb0NiCrLhFDAFarc4pu3h2I6wS6jRC6a3Vq2ajJibP4Sq0
6vtJj2VgLC2+49RSJ+w/CRPMSD9jh9eWS82BwESTjS1titvAQN4Lj+KER6stG9ewSVp3aydbvaJq
OHfHXN0Q+/acgk3jHSDlaTdNiuEp08RRonWHclCX66oXj5WGdnho1UMLY3OutCvPqx1dMEW9ClDY
v1ukMriKUSDFbcj9Qt1oYqOgLCnKpNo602IfKLzkySiJvalVIr+I2JHZQtibnEbbV9WIV0BvL7t8
rP2mxBWC3CR16gv2wbN5Ne6XVRxKVWLwTLJgKYpn3UJQEPdPhA9Ir1sXtFoLoh+9Z1lnmtYwWq8Z
fEHReo5fMcdY3vYuEED7HGqGiFxnFtyBGeKAO7kq17kzDW89NNZtqTuPsmAoAEo/Cm35FDmIy1H/
XxF/fzYbpD+U+fiCfQgfdVenx7maW88aw8sV5lAWlCG4glwtI/RxwD2AhWc82bOoRDQwTqUnQ7yz
Hue8pcLQxyc7zZvyGZ7EXKBRqoZwxiVzDkC7wkJfrpGkYCv4DkcJZRnExElRQzmN013jw8WDSIf3
lnU4IZD2F9NHrsEVDWV8u9ZC4VFoNKzxPDGq8ZKqhzTbiiZ+Y+RJ4gRWGt0N/VC/lCrRCnN9iWbA
7fG17k0ji3YpWRNuQy4Gn2qQe6N7Lif2B28Z9AVVe19dtEyLeLRmcejJDLjKxIJxphGrX694yQdo
PCU/Zk1QlVUEg7nsa7joQxmeDYu9m3NaBUWeC8V4khBucIWJgSZL4hvTxqnxbfms9Wl7ToNE1TQs
gRJGQ5DL3subc9mWpXc60FaH4Bmqgm61fY1lxMLedwVOuurQOfU5YJ9bcV7mKPgceD/WvmN8FemG
UAW4w1G+6sNWwbDioYIbxWuFDVTMpAgUo4uaS5uroJyFazQkPEwoM8QjXoYE6+5Y1bcVnF+Wx3sn
uWrWBXJNP3Zrc6W1xbmwzqb6sRmP5rJ4GVWE1F7s6UpFI5fb48YhXxOLzEvWs/oRbhnD2zCVmOCy
frs2yl3Dgi2H7iyy0ZhpGEsi7TVZywPqpcTF1RqdTkacW2Zt7rpGuE2se+ncF8jtnHVXJWoTdJnc
qE7h2kCqTpIhl6VHyp+G6aPojnpPkHPS5l7U9K7CzjWqwzHCB5iVZsCM7cOQk7LSMsLsVFNRRvs6
FX2t7BnGTvlapAz/KIpjn+Q7KR8KYflhIjcSNf0USldpTuKaPA3Mk+tnXbf5cmexRQzpJbqbY87h
jRskj5NX3f4Y5rO0TBfMwzLf1mNS4+RKL9r5nBmWt8rcWAGm9dzDl3eF78lf69U+nzsOVCBjFzbx
A1uIfhKUTK4x6RdtKY6yjb1v5+b/ayTwPHlribD52n+GAn9CD/8/wgtPdMi/xwu9l+K1ek9efkQM
T7/xHTFUrT9NzTINzNzskOYpjfk7Yqhqf+oIoh1T10/8vkmR8h0xFPJP0zb5nsTXq5OqA2D5HTEU
6p9SdVSGkBiULaZF0ur/BWL4baDRv9AVPFWIAAk0cXQdaS0jAk6o0g+oEXOMU4QhY7/L2jTah5ZZ
pm7cdZ5VrMaxqcfpqpyMaG9hZ9z1iJePFn7Na+Jl7Ns5TGnkhym/gqPXKJaN7k1pcmXXWBSihCNE
k5vkmPMapzWuR2o6P5qxP2EU2gytzH/Bp2kn9uXTR7FOuKxja5zizufwu2FkOGrSxN2uccbkXW87
HGyiqvb6hAWVtACEUsmSoWZcjKPOp35CM28ifDOta0Nfk+28qOIC0IXZLoW+k2TC7mqtq7/ExCQG
CaNwMAklye7bnosgov0yder0Zs9Gwnhfs9pjHJuv1aFKfsHJfUZ1T/fIAmziNvEI6ZrxiaMY2qph
NAI6lNZKC4xYc/GiMqcjqLGW7pZ5Qduqqe0W20ZCO8cEsnQ0QcEiYR5Mc0q2QxoN9S9Iqv/1YhvS
5nmRQjckWPgnsipXiWfDgNbtcBUl29ZxUj8K6+58ciZts5p4eODp41/U7X/zRw3DtB1GjPD0i89Q
YK8NQ28pdb8ruNFfkr5WcjdZqUg9QcbuVbaUww57EL7vH9bz30Crf/d30dubBiCzsLHm/LxIiKU1
onLl7zZVzpNtoCWYlOo+nVueDrXqnknq+QXGCmENK/DD8wx4bwi6CwchDuOSbCE+gflmnUsEq/m0
s8r5UMmsa4kjidQDyUv9O82J/ma1ofgyYWxF7ckoSfKz67u2lfEZchnajaJH5KmLSQ7baejMe8VG
2FsluD/cNU2cdlsjtToN614T+x4hc+ph15pvExsPG8fxW2fGM3Fkpu5TSGPAXM121zAtG5UzgS+P
BOQjnB6b/dwiDUvSuLxj1O0a6Ngxn/PFqraZGVkv6CgJEqKwyQoZda7eadFDb5Ud4GIxGmdaWdt3
at/E7Bi1bQCJWXbnKiua1E5BkxMX6+lrPaoIlqjsJfHJnB/Awox5W7GfHW3DyF9YdZIYFodEl7Yd
+z0z2xZlly/j9KxoWWf4tipbuuPCam4IKCtfBLFBTGlrw1kSXwJm6VblnFw6I2gaKpH+0iG3+U6p
dR0fV4kj1JlAeFPYiwVZthsWsxagq7UOqLPyo0p+1OIVcCGzl+D8e6+sRt0g22p3qKTHNKg15gCH
YfuYqe2TbExESBEYHHODk7q4buyFTBWwpbtc6+xjBYuHUFcn4dHuWLl63JrUQVp8PQ7x1NG4LBYW
Ya5CJ3DEk/CG5YPA8o+Oca7nEoUUc5ct3VvpXFyr6DCnybK/7JIy7N0CUzM1eJX2mbcaVYj/VRiH
KE7Dd7oWeccwIOPoFMjhu3leMAq3CpIRMztLLRlNQR+Bjg6xyO6q6GSccDpz9LTQdnDVlfqz6BON
thLAxUq0wDEiK1hb5QqVdL/rMcKcJ3O0xd1mXJUGxqASydBBk3jQmc92UOb4dcnMM4Q4746pxBsn
yi91ori3a2plwah02HnIdLvBP15sIqN/66pV8qkt2x+06RZBTRNtasBaiyOgdbMlK+9AAqJbhl1g
JdS7htQRezwvh5o0tzqJNc9Ze9vnNscbq5D4tQgwGUJgPkn6QxYu1zLVJDD9MF+hmupwQw/9HY4l
yw4sbgb+t6JC3xfVrMFVOid42lnCfTSYPdDraqOWrjUQryyNkBs3cmcwdODWWlX9dU6BHxTrhBF2
ynTZSh0on8xu36pphoeoXrZ6m1aMaFREelUiANpoCM0vzakldyUu38NRiVEzxWGQsUNckjamEEuM
UWXM1hEsC26vrdUT3LgsH1a3IKAfsufEaULYjqs+7Peyq1QPUu2xUZvLrlEeNKyw/uyMgx/Szt8R
AtUc0rLpb/Hpg2TF5VtDU7ZTCw6kXZtblMz14sQfYx41l8NgEZ1g6LF2DlgF4MZ4rXqnD1ZCdgWi
Jzu13bJLDksZtu5QZ5u8Lq9SkgP2wlZ01PcMmb41GUQX4IBn9XQjI/iW1dgQvpc/NaOTLJ7J2uzc
2sSJRsSFKB23LWxErlrUK/6oT3rut6jVSCjgbArY9SqvWMp4hxl+vonDkoZ0sNF8k4uB/3XIUYfQ
iKWJ7SSELDiHdoA3PBO6XB9JWzC9TjK5eG7Vq9GwC3M3djrWtKE3Dv0UH2Fil8wTjR27ZO+opBLk
zsUo0v66S/LSV+0wuiwHmBQGKB3m0rgvtWi+wnBypqH823RSWS4ntZkP0ipf+/FJKqHtDUIes4Ug
R9eWVfI1ypS7Dj/TltqA6XapsQbItBFQctj6UVNf1hOYztpUxh3upTCQAwFLWrle2FbFHbDzeKON
otgKTq03MhaKS1Mn7MJ28MaMYZiVmJeGfGk8oRpleseDa21Cir+d3RoRPbxo+ovMXiPMelGrbGtU
CIdEl3rkSaqwwhUMTcx8WKreVR0zvUGeNN+rdVidqWaV7U4BN14uOlezY+vIvma6KugrzWgpWrAK
CIOshRZDxhgH3MrqkShN8zp0uiLQT1jyytys3rUVp72RrWr5BsN99vHIoh/CwGZo7GGqlu5MjBLT
0VrIi7UKl22nMcmoXx+LZbhz+hEmeCkPTMfkFFqLoYbCYKSlDw231yNYmdTAfp92ieqZ5dRzO5QW
R0w1feEsUXyzWYg4AXcg8qBczhUCsQKmQV/VNNZhlz4kQ3xd9AqKILst4gvmZkZbPIPGjiBPb8AM
epN2auOFSp9vloZzCy9j91h2Fq74QeEuzTXzDSA3xo4QyVC85RmhDYmedDc2MwZvKFjvwcgNXyGJ
a0uMpnGtrU62ERYG3bFvbaxODYxMO9b7Squd/87eeS3HjWVd+lXmBdCBA3eAy0lvaEUn8QZBURK8
93j6+aDqv4tEK5lTvJqLiejqiFKFkJkAjtt7rW9dhFh+tz5BNsiKXarYvoVPjB8ndT049JH26CXp
vkPcGw7fnBBwHHXYTa4Xv4LONlfW6HrpQhgUrAGYofj+1bjBbYS0vCloWRkyNha2a0NS1ZXme4J0
bFnHVr2FDT3hdZiOhuZ7l7to4B2qkk11MJwakk1sf9eyFk5FW3R7XQmsA7xL88h02x3zRjTrotkV
5i83saybzCra+4TVdBUSOgDqynMpAlATGlNcXoXWUQyq9Fsk8NbXsO+yFSnpnE98U4VeV4dXMQwW
2Dn2olX4o6hvMacNcAqGwSOL1hbpLvBhwfoK4BNb+ZoBHgCJBiehDY/kHdNZ4RROYkZKl1Xat0Hc
FBsPpybifA2Ah5MJCg3S757RnGrrHCbLatTlQxCV93VWr7S8fJFay45kHH/kXXkHs8m7tb146UjN
vCyKrFojoV66maDOZ2fFZVKWwOwosC8LEXOBaKRmhX98N4IhcUa80EZLawf5bAKBqJb7BHTJixq7
9cZVIbW5jk0/rLMedRF94+YuMxlaj7GqN1RzzWNpu3RrklhbymIImVq7+tJwgxeP3dUS/5O59AL1
S2SZD1rSq2tXxNW1ZSpgaNX+qbZAHGBpv65EFy+70iq3gZX/aj2AQjnRW2hgDoqbH1U1pMCM8t1i
kxXbrKLavrIiGIPmIbSDryBjbkuD6FRqF7TIZGcswLYkG71zvtUUYITi29wDAghG/DBBPnwfrGzj
W7LfSJU9Z1c/2e1waWj2AZsR6cJ4OC7c2LN2GrbrVQCRQtZ1dOFEOtweK3Oew8q5q5yq+NoT9ZBn
8lup5E9hlcIiKivnFqPDli4wsWSmeIRUmcNiMZdlGxgPmdrjhm3rcTM6fscQ8tPJVkXxtkpKemJD
u3ca6R9j17LWme31UGYo8uWUpOAQ3o8AJUeaGbzYUi7iqUPS5c6PxidOplPLdUYhC8mvelR0J0Jn
C70YQ8RetUHkhigrVlGc02en+u8dSiplMO6i64zj+LEdeuPWxGTulnW4hcJ657CjXyCjNr7kPPw9
6bbFVqvHvZV0N4H7XUZ0axkBm4icbaChvlz5qgsx0OYYYNopr9gYDLdKmbeUelGmwLFLKCtJ2Ag1
tEaFArhe7zU13bCwXsZ9NcFz9UNjBzg78leDSuu957Ih6sIkvIlgFS/zKrvxySJnYVkmVRq8FNyY
lWcwCovBuWs4cKzTtgx2wHyDZ8sWjN+yXOUl8udlWgp3Wwy/esc/wtqpOTN4pr+NFRxLy8rGQ9Na
7dUISX+Z5+Rdtvkm7fKfaXojuvGSkkmwoU9cHpoQ+2/m1yH4h966yKyLPotI0lXYgGlK6/BiigY8
ErzavvcWqpEDHlEUHx9j0oql6Qtvkzlx92IAqeNb1fqSN1u58i36lMog9lY/rCv2K4u0S507dhQd
1UZr1ZBq+yV1SnpCXR5l31KtSrZ5QpNHG6DJLkYYjvtQs2D80d6O5LDwGx2LV9GLR6oPyx5rEz7X
ZG1WKuVQ/SD7IP4qyuQYOJ21CyYwY8UeJgXt86N0mr1EW5A+CBtCk/vdbIaVUYzqkpXXWKkCoIbX
Y9lM0BiUeomgYTD28AfUhMxo7A7MaPmNPlADdqz8UI5Hq60eIH1uO4vzoNI+DHRO0JscWtNijZT+
vYIPY5MnzdYsiJdB4bJ1VcMnVHTsFqHuT87LgkovFnRlg9cQAYzWaeigsEQuw7AExJEWyXX728fl
t1dV+MXtmPYQjbR+D42XurezA3n7mqkwA1r4Cq5+1znFIypQyDAHAkRCWpBI5OsvWgiWqH8h9YOx
q6Ew0HpvXNvirop7dmvDMRdYtidJpKAj47LnND31kbkT8oc4RNhdkcDuaifZc5jFRfVQyATamOWx
9bVv3OChjcqckWzsraaEkcHMk5R7xWm3IrxnkEGoT55A7GT7YNBfPMO/sgwiFLV4befPVq+Kna1/
y0NwiG2Jmd64AaC303g7f1RQGZ7aJLWuXM/dGziqlvUYwUQL8zvscHdMf7SKMXYYe+l6Nignh0Bg
N7AHDht1Uy+g7ybawtYiJgaHmtVI56Xxo/xXkNB9Dwf3UjoVB59S3ZhS9g9xlWDKyrKVKkPUG51j
LhobvYeiFdDINJ/zNzaIC/Aw8lZhaqMWDgBxORSoAfAX5Rfd4Pk/bPyZ9FFgvvlu7V0A0Vm5I0je
hIgvkMAWcg6fkvRKQjpbxxp7X4Cr9TJLJpWOVG9V1eiuU0O1r2F4dCt4ZD/MThFLd4pJ08e024ZS
d1d181CNlbVzE43DSqlEFLNj+a0jbJPhPNiA8zrRfo1jXdkJV3Hukv5rIQ0HC5Xf3YPlQCrUCGpQ
0CJuc73N2Rf79UYNrWipVCChorBX7aWMDH2PzFM9dqkyLMPGvdb9jk2iEJr8ArTJ3CdZdUFDyQBK
pZQr7JYAllQFXqbp1/sOZ/ZlgQx3o0v/OcSAeJc4XbiHhz7eJvYkNfJNU3sx3cHOeI1g03D06oa1
WSraa0ABwrRqamZ1QNQCjWiCe+nOG5ids4WWp90+ATx/p6qNddCUgS6jFQ0sGXTNK9l5uwF/EFqA
6jLpBw/JlShv5GgNOPwRCwkNpzalnPCKZFvnCBs52gmr33duIS4MU+a7Ro75baBMtBVcYwF2SQtw
igz69qVWhbkNUoPTjRWaHJCLNNoXnL83UVU8Iy8DWYBT4ejqg3ehm561Dsy8+TnYlfOq5S1GGHrF
7PnoYeMwF6lxUQCBROqPZ35RKgMtIE+ED72hBdZSEwNbAS0T9lcMfykraGRGN6GO4Z+jS/6kZaN6
PyQTtgyQVnyla0pyAzE7eXHSFIEOJpbFqCvGTQCXFK4Amz0zkWgkolRXdKCHCWwZ0KcVHSHlLk+j
7igrh6DNEvXczsWuqG6ywnSjFUQYNh7ZwJmpSbR947o2KUvBd1nWcsX72F6FuvYkdbI6E875C4yK
xk9VxYSC6i1uryi3EwTQKG26Z9ch2qkG2rHuxRNpSMX/HlNYIkOgQyZRN4tch+64VLkdz1qiaA72
TAGzfOSYkOTdHQabrybWdgH+eenrKe5wnHrNchQRXc4s759wKnuXOlGeG6XR7n0f7mZGn/XJ1etD
TF1yze1/9CDErRN60dIlEmZw2+aYqKB045zTO/t1c98MhRvvk7YuNpJQoK0Zt9XO0sZbq4c+SIlD
3I5h9dhojnPFjna4LYUT0oNVoi8t579NK3kqE1F2Wzi+vIy94RilpUFbsUv303Ech9VoXPOSDmvf
CpR+ovN4N44fOVdgbsDIy2GJaNP8zlPMlq2MnjmB+7/JpwhLeyGjK6XU9C3OzPAKMxxCPI35Eb6l
X2grj65f0Q7RpV/X1U4PmvSmbGPliwI+/Yl1oLjrUs2F+hVQpB4q3fO2bafhrrLUMEGfoYT+DwS7
lY2RCLta7jjRNWf3aMkhx/jZd2p3Z5Q67HdDYAV3FLqdtPCXRlDYO0UBp6wqtvul61x5IaII47tp
mhyUXRT1zLJAjan2beIqukzGUWBb7NmvpYCHzBWrTVxswSgO+9AAYzQahCRxbojY8oRd8hy47PTb
1BMHZfSjR4KY64ffFX28u/VDgUN/3/lO+VR7fk7LuJrM7FlzZfZq469g2WcragLmUTFUZaMOQ/vN
BXZ3NIxh3HBeuqztJP/WjLW4wvCWBMu4Nd1lPCbmE2kDKI86Rblxe5Brqtfm3+DI25ccqHNIt6VT
Xwj8SSVoT+Riizypx9fSiKjHw9fFjj/29rHD9HNTwJZeOE2QrguRU/upXXFZBF569G1hUW+CWF05
Q3zZ+kQoqJVuTIK9tHtNotDdCARJiFW7/Fs0ePatC/5/F4lcuxj7FOwtAQrtlUNWkL8Yy4TS7Ki5
EAzrMasfnDpKtjEx7LBsQ5I3EqxH7OgJRv2pKBwh2HzF7Dx9tO+N0b0OEELgrA0pRsVGfiEAnbaJ
YuU3A8mD+JaU7z19YjIuMt2EkT/oV8Ugyo2nZ5650EbgkHB9JLwp2vmhyLt0VYRqdoPAK7rM8Sqy
uGvRd8IlaNdXiX2bV0Lbd5WlfReF6u2VTpjrwdDGTW+m4spMWYQHp8+/KQn/qoYofMFeNFdDbQPV
SPL6oW4C96LKzOuJcPigE+9+kagQaGFnqHC4GzO2b2NfC8ARNunWBI7iLyjkZXtwC9h13TTZBHmH
MjEecgrBHPUfGhg1WAwLQPiLoDG8y043kmWJOuEuqVhut3AXx4WXIt1i3xGPWzPQCTCp8Ky2YSdf
a5g1zqKRdf4tH9xJdVmHtblQJAQStU3lrUt8maDMn+bfvCG315hX7Rf09BoMfo4MRGinKFfNpLU2
mOfNqxR7x4PRUyFfeRWmVAW97b7xybtQNDDjviGGnWVRHWFdZzuvI7FZWF6o/uVo+v9d7zMuGYM+
4+mu910Z/K+LlzR63/bmr/zV9rbFv2wpdSEkuhSDvjc9s7/a3tL5l6nBlDakYamO/sYn4/wLA7tN
k42iimqp2GH+0/U2/+VoKo03aYHuMSRyu3/S9Z5ZJQzbxJthTl4dXDIoxWdN7zyF4Ms62K9F2Zq3
jtUXx9oCmbuoMCdu3tyVP/QOZ2aJvz6LBj6OD4PGtDNrlAZ9DLqE+vxaopFBM6Okl/S2kp0LzvYm
CjXxl0YD6cSfPUB/+m10Km1BGx3/yTzmSvYMhVTmgEYyIBFtZ1DgTaKEQyE8qY9/2szo8vunSWlR
ykRH6Rja7KcZgcSCjpx/bcBKuBFKVX6nt9jcy04TiHFi170sQztDFBeWlVz/8w+3TYBZfLRGU3z2
DHslcCr2zP06MlPId5JUC2AFaoq2NsguVVNUN6oW2vswdsPXjz/6vcVR/v7dOJpUevJCU/nh79vB
GtwLxZSwXFwlTC7ZiEY7PW+CMx128b7/+/tjOGag9TAt3h3K6e8/RsZDDKGg7pGR4+fI2DFekGEH
DTcptLtyeqW8Ce29sOIhurEqzoSIcwe0yC1FuH/8i4VG49twDHQVtpg5ftzaqMM+wWRQKKg4qFkr
y87PsjPW0d+XeaPgmG4sDjYGv9DBMOjO7GM8jV4akKF+rdndOG5YPMXFWMTkGoT0Sp5RE3O2Hbsq
9YnYsWiKWrrt3dPkqMWZmz/r+P/+Jgbfg1mHBiHBEO/vPeIPNCQ138RpOIbaVCUfjbozjkrTe69B
RxhGCiTjyz+/y4ZkQsJLwls9N47ZVPGVfIyHNbAJHq7j/RSDc1b7/E5V8NdbxQMEcIdH8L8/xKlz
CdLTbNddzrEomkS7zEefeGHoulrM/pMTh4n+/f0rGyPnID29MDplvCbxaD66VvyPEmV//xYEMRKH
ocNIJNfo/adoFnTIVsAK6SNqmxW7uWWpJc6ZGfwP7wK1IyY5WyI8Ec5sHJaSfbEhXHrflQ3uXHgt
+uImyB4GS1dXZl8rW0sa9Zk3cLrqbCzoGgudMHSmGXWuZtIjNrdBWXEHu4nbHNNB9VrmHHyb51J/
5wKj6W3nTTAI3rJ0ntU8rzWmPItgGmADxWOUojjR9RfbzoxwZY+lqkOTNop024s2olARtyl1VTmE
P0WVV9fghUGepzDp+r2dEWK2/XhQ/OE+INVHo8/yzws1HxRjOOiBp+n1uqTqfeDYnW444zgHRAb+
mQf9h/mHB2mwojmGikpInT3pulXbKiPfY21b6hImyJb15T5Q2oNQvQv4vgTZhHKd5P4xUtzin86x
Fh+N4g9nAk1URH/vX+a2ccVAI5yutTQJlNLchMYCZfOPb+e0Jr97rSx4NSwofIZumPakU3yr92tp
zMs6yOv1qIBHz/ICDJwqVMDtXrfVbWX98cehUvuvD2T1cribmoX8hZH6/gO7JhtHRQ1xag1SR7Tc
00tbquwp2kXl1wT8+Lav/ciVjIIBorYY4XEskdmpCFoxaHWqry+8irdxo7HV9w4a4BO4N4XVXMR0
WfMd/d3s1aWTJVaNPQzQHikQ24skqkBnh35tGOvadJHnuP10ciFGBA26JAc2QKDjy2JrhLD6V7WZ
gz/RvUS/9bF+hUtpJ+qjBDuaLWhm+V9pkwta6wGL8apJbOI26thm+8bJpBFrqmSV9lCWcPFQJpvg
+snICPQVeM/QvyEIPBuOY5pZNidiy9Xx6JHAuOiM0H/VSibQtbQi93setspjNfrBoVCTkMArp7lD
5hDeRbbbe1TKekQznSKd5C4lD7TCU9Vo+gRLoymbIyYJaSe2TBW5XWS06D1BrbOuIK8tG7OLr+0y
iEihyqIcH9rUJrQbq3iJ3ViTS0AWqbrMJZ+W+YXrL11Thi+gpGA5lG4w/Ky8JAT9CgzyJ6BWIqwa
Jl91p1D29vcueKCLcCL/LWDAZ+Yattq4mtrdVEwjO6KuEzWYYK60ZvSgg2M+yi6oQqKbWoBfcCCE
e4Wix1eZVxrqqmnNknaM02rtkm4hoUdxwwKykmYu6KUxA0T7ViEcY6+5SvoMKWhMcc9FmNumVKfv
yImEv6dUEMl1RgFwU+quSmffFhoelF4+1TUi60Vpkgy1Bi4Y2l8AwJJvImtNubWViFSzDOgXBOwe
eBv5WmxGJqkCDapI1CpAR6RZ7aYuSbRY0AB0XnKLuL1tCWGJonpsl2DHqacqB/JADMnXH5p6mdbC
vTTSdnCP+D+hphdjrBzgPMI7JI/NCDeOUbvZUW8B4600pp8G9Y5r3ESep5cHavVmvtC5m/dDjEni
YCMvGegyR2V9zKTRXCeIdKYKAY4fEpDodlLoHrSlTVaLuk69XrsOWpg+fVxUFW7QJv3FXmB4YtLz
021gksDmDSm4OHLRZIFTo9GtjR+5BfkViR0mmMOy4LW2ZUg7OR3qFxovJslk0yYb7HNS/oJWLp1V
Fee0MKyea/R5gRvOD31KjtKnxEhbq7Duen0yIRW2HQ4rLePRrksDFNTN2I/0dvEJZAKTvN6Q02Tm
uUKrz6zootZqVREAZFeKiW3ESJKlRoOCaC4DJP0+s/HX49YsrA77TVwoV/UQ582r9ABWPVS94ygL
AvXyh9zKrP4rpP3qtm+xddH406c5w9cD3t/cHd2NAiAuJgvNpwniDkxgS9rj6l5vGnMMFhrtjwt0
De6TXulWiqM4xL7VkOZ6/XsC/UfFh/87Pf01Pc67uvz5s758yefK++nz/gPu+H8DwsGC/mYtmSAf
7ygcO1JS/tdx+r+7/80++udvrscE7/j99/6trUcnP51yLYPNmSkNTfufIoMQ+r9Y3IQBgWI6sEyH
p39r6zXtX6aJqtZho6NzcpyOb//W1vOfBKp6VmG4FXL6e5+vMigayzlbFo4B71c8laUIvWyrHj0y
tCJA6+yXNOXMOv5+W/T3xee7hKEibUvr6Fj9hgRWj3lAHoujnVm3eRRvtgl/X362o24lJcQoqvA5
0gEsFNJzz5GZ3u8H/r7yrFhgq4Q8IphUjwUdWszgdOVJ6Biz7dBfaqaC5Obnm9flD4WXUz9hunNv
HA2pLvB6IX1F9HIpygtpnNuonbr10we+uXDWaKMWaIZ6bHDF9ZrBQ6VlY4//6FDz9w3S318+0O1W
6YrpBvWYnB9kTuXtP+W5P9yPaTD88ZlOf/7meythwPyV5+IojHGDco9IN9r9CdRBOEdm1F43Ub8g
7HRJtNOOJeZGlsXSrp0FM+8FaWHXnnDXrGhHAJ6XqLxpgOIroE/fd/nu4+/4/qj192+fSiFvvmKW
m3YrM+y1vRl+neKI89BfjdEvx0gOwmzPHClOvRmzva+IW8Hiyh0W6TPSWuIlzoyaE2+GmI14L1WA
RlSMeKk+DlG0sID722eKIyfGze/99Ztb42GrrC2iNo5Jo6+J25IjezDxKv1rtSSlOTvzE+SJt0TM
Rj7ZXprM4lE9mvpP+n5Hyi60ygNI8p27MF2aKYp90DOJXzA+ZKq58UTzkETpGkHw0rM5tgxkEiug
P1wXaVa+UeR4XUA4YMu58oGpJ56yDoz0MnRJ+LWjKfKKEEj2QC1yiTZXNhrC7REuYukRYQVC1i8f
++Epb2qgd+gE88t0oAEDAtxs/auBSh/iyYVdjJuM2Jyo6a+6nkQfLAS6ecgybRMX0Vp4NYXXcsvE
s6JlvK9UwPZRRybDc4viwyp/wDcAaAi8knKSK3+AyV2xJ1yOEs+g8SUc2XPo5e3Hr/mp92Q2B6Yk
7vr2GJKanN4V5bMRXohMWXx8bW2aJ/4+4f1nDInpQ9+8KGHYlhxRGEMWoV4w3RdGTTOMWITlWIW7
nvyYGn0pXXKUvygTNnkKNmKwcb/7xxzvqImd1Y6Ve72ENl83h8hJD0g+kpVC8WZo2jMv2jQm/vQ1
Z7NoWnlFk5e8zy2qjE77GgECKYdngbg7K78Sjb6IKEF8fE/M96XUv+/JbE5lWPajUGr1qNvu00AC
YmVTKS0nwPxidJT9EP8kE4KhZV7XVg3TVBUrz5JHPahXLvnhbe2xc1efvJjen0/L2OOFL4V5zK2C
7j8Wgzjf0eldAsxdtqQWZ9okcjo4UzSI8c3k3YLBCsYA2DgAcS5SEk9GkWMRoqmM4NumSYa9dlzi
iYcrfdeJR8qqJDEuLPfejn5mSKcT1LMf348TE6CYrQT0T5uOlHL1qDVyEaroXN0zV575Cf++0/MZ
XHAeSRTBY0W/6aO8m07p1P/8kt8p1r1C8AR5xVrK2f+ZNq4kx3ggIYBuMfATh+zspx68xiBop6oC
Rf5tahHFKax1OrFBPvf7ZwsAija9kIDQjoDodp7Baqa8fnzlEwvY3JnmAK0gfwBUivCRUOlrBVeR
/iMpdiIRZ/YHJyYPdbbzyzt8T07HIlMrrNiPbfeiKz8//vYn3gt1NvdHOVlE1cB74TiLAlK5eWbB
PXVXZvNdjsEDxxTXtZhG3IYADEjPBbSf2sdGeffxlz91X6Y/fzPvWXFatWS6sCN20Y1fhcWrFf51
CDvZUzt1X2ZzVWZ1cLO9QT365SrV8b+uPv7Kxol5SdXff2ey0ag+tr2KPtGHFlNucWatrSFekaRG
jdHey+BbWeULrXwIwn0lXIzuxn1X15iDPPIHq5WADgJDa9GV0a5tg41TmSQJJitCvTeeS/7uWGyV
BAlWRAJcae2D5qYK+ttWXmkErlTJC8HLa2XY1+YyJw+GwE1H3RC5aHjhmT3dqZs3m2yUVvbJ4Eo2
RSXZOcWmxO505vb9eQn5TYx7+8TzAd5lkEyHlC/hcKGjd/j4wqfe19n8kPugVgxhjccEZ0XXRRsS
8lAs3fauvZCxeu7p//Hrg4WcPfyagigka6ZKf6to+9I4MxD+/O2tec8K83PIiGMDEBF2O3oXY/g0
Dr+ADaP8Pwdd/PNDpR///rsbWOTMIHTHY+y9NuKIPHH58a0/deH5VAEGCKgxK3Xpk75H/enMI/3z
7EAE0/svTA6AQAqooWuuchhg3Qo32LXinZmTT33r6c/fvInUu8tKD7gdSU3iI5ztzDlzP05979kM
4UVEDqiRMx4z9478toUBAcOEN/Tx3T71qszGJu1mzyiHks2+g1kyuu/VG5/01JA1W+t+fPwZp37B
bEeAIDppJNa5o1nuauNBImrDGnvmB5y68bORGqBPo6DKSIUhVjBGz53xT1zXno1Nf2yJrU64bvMS
h0vj3Pbo1GXna3dtK0HhmOOxU3f+sHbH1cf3+NR1Z8ORZo6H+ZqvW6PA75C9W2dWvhMPz54NR0Wj
3tpMF/a861a9FZzB9KvPfefZiKQQTv+8416ksM/blZ99+dx1p3v0ZixqhF0jx+ArE8Osjzs8kp+7
7nwkEjXl1fn0ff2t/JI1689ddjYEUUxVZVFw2Si4DMBxjdvPXXc27KKCTWJZcd3Eu+3156L7+bnr
zkZcHSEXYC1j5pcvPVrbsPzc/ZWzIYcVoTDijDnU7le0O/3oczdCzsYcHQ+EjK0xHg3rThvv6nMH
2BNzp5yNOT/ohlTW3Igwv7Wi+raBs9R3Hv5Le9+n8pN3ZTYAvdonujHjU3wU2INyyLAofepBTvq7
t+Mkb6uiHatcPY7+uh72ff+5tVDOxl9Cygj/03mhY3xdy/AcVvnEHCdn469R8rABCzkeBw4NzbL2
PrWLtH4Xwt7MF/oo6DdGzBddAh9h437u0GDJ2QDEuSVodDr9kWRhM90Nypk34s+FE2tOXSbJLKOp
y30YnZeu/GXQbByaaqm7BB6W92TiboL65lOvyJx3QniWcNtSjpyTKSU19yL9/vGFp3fsv4s/1lzM
kRRdLuucMakCO9ZUlSAFlgFz8/HVT7wpEzTp7ZsNcNyJiVAYj72G9X1ynjx/7sKzwQhfXM9Tya1v
y7Uld27zyS88G4p1ahEd2dtsTqWNeP06+OwXno3FQdcstPNc2MDch7mtOX7uRszGYqk3MM/Ij2Yt
PMbIYeA7nnm7T70Zs+WQKOEKKyy32DFKPEjuogGViwn14+89U6P8T3nKmiucVKl1nj1twET4XA3+
jU/gpN9sBmDKSJgBlTxkU55zVBGAQ6AzyAqP0E6xHYyNrgDQHNRdEHjnvs20Zv5pGMzW0gDxmKKT
P3qsiO92ydIxYAPDD2xqY+EwMuowWOJCoDX9uTnfnK2xLXScvEni4ejG/k2RZ9flmUn/xGMzZ4ts
35amn8f8EtlsQxQSmXsNLuvMtz518dl4ritaV830ttU6XqA42tjqHX61M09hxln6zzvxXwgracEI
w5501CAAKi1ZWNBjUqtZ+tmzCwBRAW/qacpBG5ojIuhFYoarnDzAzgCWmQNs0LQJqUs4u7KKQ2sR
SfVQQyP++JU9MZnN9c2jJSoc3AxhXwWqEu7BfJ25raeuPJsc4EwXMZsVZh2sgtk+lWdms1OPS38/
/RqQN6oGVsgxEAcAnrCph4XqD2fuxwzz9vfjms0QRVgOJLtx+a5CxRXGm2hA6mEuoxw5lzZu+1D/
5YRPagtAtv2eyntD25odjym18EL9iFHvtsZmyJ+AB6yrKlqh297mmrUKR5PQWn2fV4+m8uXjpzet
DH8Y4b8bEm82F6UKeqDqEgzIkFWj4Lbq4F0LCKKolz7+hFNPcTaH0O5pCmg0wzEzskUY/xrqz83x
cwNBbJq5HxATeVTp7XEw+eTR2phNFaPIIlw/VO06+iTEri0GQBKfuheTb+Ttwh8ASxB9yN0esqNJ
tHJ75imeuMfGbN3XBZT/shFMQNKis9iho/pkIW1uQSniBOpfgSjQoukJDunpc3diNrah1BAtiaLr
OBIeeoPx83OXnQ1thZ4v2lSDQGG8nFefvuxsSDthVKOOc/sjVMig/Q6M/PXj73tiKvpdd38z/HKT
9FL4GJRYy12ofOvtYO3q8ecODnMJbRPmCOW6Hid2TLbdovzcJnOektYObI1h0A1HeGIUcIvPfdt5
IlqPTZ/Hx2Xx9n8JP5fAZ+mzEUdASgD6hRci9W/ACzzHCmitM8/uxO5In4260tL/Pepc6F2i/eaw
NGOjLTJ3Y417ZYSAUHm3algulBL+fYZuuHbWvv2zctNlneXryL1TlHyTZUcHE+RAYgUNDu0+Kp8s
MINDjfI4JFYjI4Z2hF6I1yINX7tSAQUw7Gx3ZzZf6u5g2TsQ0G5oA4VryFEV+cKBdjOl06vWGj7i
YhzVRaKWCwersuI/lOrXj+/AiWlnHtVWmzKBUtcNR3SjlbV0y9XH153p/f+zhM4z2qQTBMXgqf3R
Q1djyTvP91Czqpuk++oqt2rwI45/Ksld0T2Z7bPH9ufjzz31e2azh9+TsJIWnLSRl+PVMoYzgNRT
151NH4Bt1BQ/NhWHlxYQ6idXk3lom3T6yHPN6bK/zOyAyPfju3BiS6DPFmxWPDHE01N1wyeLzVw8
frGsV7f7XHPfmssO9WT0LBtYIh2DR91aBMaZUvA0pP+wldFm67Zl5KlFAHZPaxvet+ryD+Gt4Rcz
/dYm5zbjJx7l703fmwnbiWudHThFQGzGHlnE+ZlX/sRCMLcoFlKt2pJ08yNucHwKixAcneGday6d
+tbTp7751tFgNwmyfW45Ao5s3+X7j18VfRoZf7rn0we+ubBLDHFKni2bO/eCGPhbbTh4nQGU8V71
H3zEWKMB8K01AeyENwFmS0VcCUfZBGBcQiiXpg+33BiAzJPm4EXrIm9WaiZvocyvFIVTSg7u9GeT
78rgXkVonYpq2dEAGr1yFUf98uOfgVvpxO+YjXyjFa2t6Zzqk8pa4TBZN7mxsuk5d8WP0BXLjPoS
ynbaw8nSV20CY0nZhfMR9YRpYAVvCDllt1+VV23eIUlLweE3GwXWW8TCXlprTR0R83io1IyVjnQr
19ILKyWewFhmGRN2BO9ewBn5oWshmpuvMlfuDNFuTC25zqLvav0oG21dESfpY+S3FGujpyVsKjD8
xmtO+K2voGixNjVAK/+J0DjbKC5FO656IPu2uU9VxsR428Z8yTpbZA75UaYg7PhBx7Ve9i8xKL9W
/RZDZazUmla8ypmyXCqDQYpRtbRtZeElD6N5I0GBuJHcmtBlU9tddfF6VB8Ax5CVbawj1byy7Edb
v4jImCFdd+UMJBd02wkZ6YfqjQ2ssreUdamJRZb8wv6M5v5Zr6ObSm+WelF9bs5VZ4vzaGDsL8yp
y6Iv6ZC12bl35c+SCAxK7195msp2LDv22nl+n9kX9o/sogR4Qn79uMnFzouI0zszvE68lZMO/e3o
CkzPR1HISdKND9iu8CFtreJsZ/LEfDnXdrRCaTLH5oeoilhYgADZZgy/Yv0ij+9jKOHN3tVv69iD
BfhaeXdZ3h3i6k6JNonZLQpfLlurXJpFsXCMSw5NOzsu7lSSznxB6UH6SzvPF679pfSyR0IJ4jhe
WpDOE00AvwKU7OBPi7Zo0Drkdc1aSwvEad3K0A4+qEp5C5yylluFzPmPB/mJOVCdLcK1IXt3UFRe
CEwxrkIX/PZzF57V0d2YlBLQUMwdzjIYQLrcf3zdE0//t0z6zdw6+pYIiqmwYlcXYXnow53Sn9Hq
nijR/640vb20FhTmAMX22AJI8qIfBUkoWH7AeIUbYDirwSoOnX3OKH5iQ6HNNhQu9KChc4f+GLk3
ZnVfRpcGULm6PfNjTlx+Lmq2RUB+ScYa5JLbXSrBOh9AtQRLqwvPvDonRspc2vx/ODuv5ciNYNt+
ESLgzStMo303vXlBcDgkvPf4+rtaN06E1Gc4jMMHjTTSCERXV2VlZe3ci/4pMe0vGYtY7GhAxWtz
E7Rbpq6efvMZvpic16JmucBzOuvYoDmqKf0qG72/z6GvnnsVBQG0Z0pKm9Au1VZTtMq7b6LgV8+9
CoKjIvd4LVDx1NPNhJep9s0h8Kvv8vLz/jUxC4wSJchf846CqgsHCfl0jrfxuaeO9s2X+cXc/+fM
8a8fgd3hoJqX69axfszqV1U4NuloKyLWv5TARDy1quK7xOKrYbqKOaWe9kKRUKKausLB0NlHaPaz
qPOPKcO/PgZWWGWhRi2kuBlP1F3y3W3jV3P9arFiDIQB7eVWMMbwTRpnYE+xU/cSo5NtRUF1/z4x
lcsQ/CFzvBai6mXcDZlMdDOUfSHQp6LsLaN2FvGMKxKUxNKvrF+4RAho6c14raiTLbYnjZb2ER/A
xLwQvVZBI9kwetxRAO0QWxgUL/dV/VCoYHkw4DOLjzQ/CCYssxigNVgC3Vz9/f2/qvJeq1wnfSoU
s2FlFd1zNre4YgIO7Dlj54NXRL+SPCXNgWLAJUNd3VTBKdNvDPNXUzXA0monwRNRxEdRTuvdQl1N
sCx3SFYd4KU2upHSx3x2wfh9M9pfbCXXutlpEkycsLhwVFN37NzBV5KfFWHFq+li0lUv9JdNKsRT
hSbQpOm/Wad/Xjvatfow6OiLi+rLBDHfi/IsjC9//+akLyTggGv+G2SWTozgUHHAbbgskTH6DJvb
dHzNpVNTUCebw9eQG4Gser0B6AgC1FC3WfUoha+YwtKRkOCVrztY4/u4Ajrh/DnOzM3kOQOiSNcA
MrUXCafnLPPa2k+wqFbxSB8N6AOd5g0GiNlQwreWxpJp/giEfdbsomQv5rdSddDyXVUcxOWQabtu
/uiadaWuJOFFT+/i5Sy0LV3j3X2L66GNHd/BlMJbo8Gk2Gykp1RNOd9tG/1lHk+wH1zNfO2aPX7N
4fBUZHXsYNvoLVXr5cun0d2qXWN30WHRQe2pHFBUFO+aUyuGiyOHHSktPnUiUrh7Y76Pq7M83tfj
7dL3wPrOYnG3FPs62IgC7oVrALVVfZrru0Td6coWTIcbYcWO73CCrak1nlIZC7/mIVV3lfK7pW9X
l7bxHADjuLQs/8660RNV42TW7dNM01OkP0GjcFrhhldX+99//+a/mlGXkPevkDmECsRpkUSNxpKk
O8bCj9bA/3JOUnOcysqJ544yzSiH5btQ/E/l4n/HSO1aE1rTDBKF0cSDxWDFtShIRsuNgpswF/Dr
fMgkV0mfk6eXYKUte8F4EbT3APPKxdxY5pMef2jgWKsmu9GEtTak68i4kxIozZxOy5AGu58Jo4DO
/3dc6VfHokVChRFUua0ZOzH8ZqleFuSfPv/VqbxeYiVJ6IzZLZnGXbsb1f4wPSjTdhBdDHh+GGiu
NukYLkDftB35O3ABmry/M7r6arpdnQtMvShUEBkcOC5MEjcb3L9PY+0SW/80LFcxN810fPQvAhts
VuwGO0LLeIuGlcyWUgh4Pki3eP8oxns9b6uYW5u2d8dymxfzqmnWBkCRmtZ0Q+FycgiwTPnVzEdK
Gpk52V0t0tXkqsVRaI+QeRvJA4Joi0HmxfKnbCXrIv8QzGrTF8WxagI7w5wYP93AXFYhlN+lemib
UxZ4XX8wwpOmHDWNvnjtZ9/UtegV1MosgalednV9i+MSnjQ/fPDVjpAMk5SqITNYkj39vY+/SRK+
mAHXtj/YmyhAanhfUWgwa34OqFz9fQ589eSrvH42s0roIe7tlHchlI6T0Xwjev1zpoDJ3X/XcoFt
lDjCsty1GAEXnJQj/X4A0PD31/7nPPOHqWtePs+/QnBURIoYaSpHQaG2G0gb6kgzVQassO06XCo/
TC4wgwLn8IutRp5mpCsi7Oc6OXaVzNYsvOIQ+XFxpP/7G301kFchZkG6jqMtA4kz/2/lKVLU3z97
8FVUCccghZs1LijXMbR15e9Sua9e+CqqhKYcV0rDc3vS2ciNPn72ulcxJRa4rkpAr+xk/Qly7A9F
ydq1aLZUcr0WSl4313EiAafnf/O+XwTBa9XsICZ9FWFxsQNNDKNhwS/jARyeXRX71BjscPgsZg4W
nQsW1VGjGwqZTqLSOTrdFuZ7lGi09c70+8qnMqELJXuGz3030kbZgWBglwHv4RWSP5mSLXblur0Y
kjwvMtiWc1j7WbbuJX8ZOK13p7F9VkJx880H+3Nwv1btJjIsjLpiwNRXpdrW37k8fjFtjKuA0c5T
gtc3wyWkp3Dwxfab9fPn46J2LdKNBiWROknhHl89jdqM9UxJfSRKuNaBNtRFP1tN15rdcFTmnmY8
wpJcuIPRrVrj/mfjfRUAynbRcHC6rKdp3bfut96TXw341foXyiBcStwBdyBs++fxu36Hr8b7avlP
igIq2xhQtzf3Or29Rckd6UMfemV797MBuYoECmQeXQx7aoNdfuhbSrD9N+ncF3vLtVpXw4nY0mTe
XVdeagyMZWXfmNY3W8sX432t2FW0QsXYiocvmtfPq1b85rlfvfTVoUEGCNLVMTmolrzo1mfGdUpj
RN6Pxlq/WpVxUGrTKDNJarqxA0f97qW/GozLh/nXNgtANUmMEtVDt1KndVF9F3T/HJv0y4/712Mn
/K9Fved1jeAtxJw//NFdDVnRf5+7CE0DVrwn5mUU4ry+/uH7Xq1BE/dtFQssgp7kyq2t/d9sHf9H
noDp33/fdzZo7FSMhIqzH5yHh5/Nhat1F/daIwIpn3fDvvG+M/z4YiJc62lHbFKXTP3/b0rZ5+9v
+k+29ocs7lpMG7QFZwBpmnajVjlJaqIwyfVfo9Q7pdpus7x1iuBiVLxKMgWatnAh5pHVhdwinivM
kOxWL/2SE0ZyIyBWK4pDXTzm1XOmhuuxCN1YW9wYTDpiOa/GJMLIsF4Iekfr2sXJFHnbYnmgxQ9m
fE7oOGk22gBsgRLKqZQHv4cSZTRP2VBvcoXydPKCQsQpxEXZABFA/qpnkiPSGuNMomELYbUJ0nwz
wHWMwF5o01wd2u44ysXW7PwuuJ0mCiq7KFy3mezL8FBsacIJXNNCl8KlWwXxeRnLXSx4sz6uZXYU
u51HoKHLxirHjWUVPv52PtBc+D/WvRXrml1F0KBKJXP+/o188TVfa6fKcImNYCy5Kkpd/OEr9WfB
71o9VYvM8sngNBB3+1Z+1mG9d+LPRAlcF/x3FVlhH1eFwuqstN+9fDfn938fjC8i9rUqqa1SMemy
he6KeTWYEkSV54ZJ9feHfzXSl3//rxAIVGucNTlkm6GPMXFj9ZuLj69e+ioENvkM10pipKPBJxPH
Cnt1yaL+/tLSZUj/sGD/KcL/662bOGs6DJTYZyZI2IrkdgApFfGxiaC9FIMDrBLIVOjmoAd68xNY
XYXuNW0DXx2GG/Vbn5OvRu8qcCYmPo+JTqAXzWehfMx/mLNcS5ZiEQJdiNphJ1ePrXlS+p9929fe
tlLfTnkyEj6VVfgw//r7t/HFIFzL+UuMtJUIRuhuWoWH+Zv588U3rF3t+GpbWXU/RPPOWCxXpaa9
dChkBB3t3zdR3/jzHMLY/j8zX8MCtR5rWjOUQF8V2CCJUA8zsv24vc/m55+NzdUyiJGVqlPCgGeb
+vCzOwqsXf/75qkU6Gp60YBi9PBQ81d497O3vZrOAsBAnO0FbivVzsuV24rmir8/+Ytw8E/p718L
tu7HZgKbRgLXbPpJ5QoJWX7yXYvCFzPwWjmPvk+epJ73LlpEOXciXWg/eu1r6bxsLHMUQjbbJcZr
LSw3ZobnqAyK/O+P/+q9L1PzX6MCZKodi5jZUS+nFmDcd5oe689T+1o+D7FqwieZu9TADJwKlRqX
Qk5KF00OXEcQRVC9sdd81//9hbpVu5bUhzgNA6/jVliJ/KWy3K58nai0aeLkj1nrQxt3sJL0qqam
KMutTH/GNPxnI3i1iBW9HMc2Jvakt1zZfBMZ/tmx/7C9qFertkkQmVkVwacww13Ue11awmzTTgUV
dUA3bj036wIQSkXuNOelJ4oClepNpaI6KQqArDiaSi88wRkLPzUfc/EEuT4N6VceHhOz34R0pQQo
CANp+DUOb2l7l7Zrcdn09bCaDNNprN+C8Z215D/c+j99nKt4keRAeBUNxKAC8rreqijGyyr3gKjB
BC52qHDUdAPnku6FvL34Kt/E8u3fv58vgux1P0ASabQ8J5w28+jQh/Col00rP2XWbjR/eK963RUw
QxvpmAdIQh6X23T19/f+YmVe9wQ0TdLCuDOnXQbLNje8Yf5uzWNkfxn3P3wf14JhdURzA6CR7BYn
6q535PKXPu5D8dls30fUhbmyDodTWllOYbwNUcil+xYNCZ6gjdOnhj0M6yjcmxf4WfA0Gk+mvh2l
Z2asfYFLmlLptgK9jNitWeJZaveAvhX+lx6WOYp6zemVxl/K3hcQ+JX6Gn/XNRAg3L62Fn9l+u2k
BlsgyzupeTeswY4BFemKZAcTXivqR6m1G9m4FxrzWHaoKNUjJXbPhEc5iZUvx7hAlLE7lPPtAss1
rbZdcB4lbOxN3Q2KwBWFwGmEdWBwtNIr+r9Nu1eKQ2nVbji2HlfODq3ybpPc5hQm8qXCUrhwhnC8
jSqYisJjUX1UhsSFNr+z/BE6cGZmnhzcFeEWR+1dMMarSTkvyx5hs1PUrs46NYRDWW4HVXKiUXG6
4XOGBh7B65XWahKuGnAtOqzesiy9OvgQx7dxMm184+1ZSj4rhkgfeii7oyeIRytfi2PiNXUJFQtT
87mZ7ErE23MWN9PS+rOIpaHwMebTeSbq1sVnLW7TCyPNfB0vytsYilm00rjySuSnvNpZ40csbtr4
UYb9CdaOQmPkzsJxMge/TbTHNrhN0fA3TX6rgcmcWcAWV9nhuMIPwR2Bn2r951hWbtGBNkxkX9TO
kOLsWDnW2WILhCV7nFdSaK2yEHQCEHYM120haJzOgmU9v6fJQa0kH2yPU9H9IE2Va8aLqxp3VM2o
GAF9hzc6d04fA1Pmnk6Wd02T2kP6YdTxUV2wz6Kbc1SO2EjbZqs5aDEhQ0He89Efu9CL/SWSbKPP
PTZS1CCt6IKUVb1EvdPkc2vdh9P9kOyH7DzMq4nfdpd/1mCZ1qlT1zhLPlTpkV8Lfh3uLb/3FhB4
bGaW54DPTaib52NH7RwKeWPLnLOH4TigQ4GM3enHvNnV8nMHcX3iWnfCgFt+adN3pX01TX8IXubg
Reo/M/6bIfkp1nexgfl5JhyyxEuyQ7C8BvI60dAJ5wAhzlN2qrKjnG1Ipx2BAZWsgN5l1JhuMB7y
/NDE3ijeWrGIzTqaGeEYoKVIosoT5xN1nFUo1GvgjG6bPw9Jwf5CpxTZRfOaJ5uibw5BNmNUOK1E
uVh1cDUnml7gZq/NYlrn6glBsNMJR204jHrndJ035rRU52+mdl/MpWu0mTs3/T2+9S5QFweXvAN5
kgfAOA954RbkrODk6dNSbrRuWg3hrgc4qoe1HWvbphhslUkq4CE/EXUEsMrW5WK2XskEIoNev8QA
fJciyWbIxyS1+9aiNILAZJkcU26xw/eVILVj1lSU9QcrPmvqyRDP0DmdwUWQzp2Y1Ed4J7wZzY0k
T/tQlW+nDBWKotpC+phQV11QOhXc7XJON4u7tIvXViO42Ed4GKQWEG8LVLhZf5tXv5sJFo8J8Dor
4dYmvqLcBmZuZ2kDaBCTEC5IplZBaQ4WN9c4j/auNd5b1mxXreoZ9YvepHS2oj+vQrcL4bZSTOnL
Blj9Hb68tgYgr7Ee+hYNFGvPDFXXiiZgBceUEbDytxheQVgbDp75a+74HQGnD9hEgqLtdZT+ZfOg
Sujy2ng9ZRugnbYxuPQbILRKQYg+WvpdID/2cXOUsZ4M6Xe0kHXISrVCWu9V7Ws4UHcp2udGnH5J
KPoMSzhMLZtAsWQX70yn1HM7aPr1xT49hBzdcGIaUnoQxOqlRAKfTbUtIpLoM82tzIt3U7pS2/u5
BrbeB6tp7t1micEnaCu4iG3W7eCrXmgLAiVi3S+mu2WgLTXxin6Xtc+jeurrR12mgf9GKJ4ooQrV
ViPh4U9MFo71wmsR3YzMoDqAE4pI34SemSCpT5WTxIyR+7uw5E5eDlf64EeNZ5anZKRQ9ZjEdyqL
JSo6ruq3gWztuBxzCiiSevo6lRUwYNui50yA2lyqIvpryatEmJiyn7DzDcqDYtwuLWLLzM1GOs/q
pzKg19NK+UmbMTyURemptUpZLfLgSd3HymvRbAEr4rNfublANY72MlRaONAK42tb/dbkjdKS9FWb
UrupwndpaVkRe0x01km97rJfUrdNeKUy3CKW2uhDR0a4GzTZDpL7cfaFoXfn4BEFkVRKrqWCbqxW
EIGdOn6faLKzxhutdcP2zqqfG3OVTyfoJz0Ywa67pdjDFprN4/uiSgCNE08WBD9bmEUvevHWcpaK
pIYinbEdCLFJhaFCspETuqoPRSHhqlCSfDXrECJYXq6y+Vj2YK8LolfkttJZSku/wA22bpdVYCS2
FIZgZc80A26y8LhQwc7a9Sh86HgYItoRS1a/ROETtmp5ORlpOPRh9G8XBTTRHE4v8WYpWydou/ue
Tb69ydPVHJ5UxZ3SfUSbpRH7ouKzGaMdg9Va2XHmitKbKK4neQcNeulPkvooZWcl67keu6kFBFw0
MPcqmMvTYJoriTsofDAStsMxgsPpNrDI+hBTh9t4eBDY+xoTJ/Wuwv94aSje8jNo/bCK8BSGaKkT
Ydd0b+EgsDBVexyajdwHboKwrARyapGQDWuj7A9m1tpNlzuqSV6w1Ce5AdJYB8cs5x6CrCVPUxd7
YSfsNoTno1HteqJTWVVOHIZOZLW+MGqObIykWtiqFoMn0xrfV3eWEK7S4ZCMrW8VAg55vW3FK/rI
zhHFq6ilPMu1bxx9ivMhlUFffmAVKUjnLNp2/V2Q97ZWv3RL4IXtOa6JwdOhih+XGEvcpXHhJXWU
rdX4pc2fEnmVjtjN9aue/hozJYKFbO99sjLwailHkQD+2SRrGpWcuIiZRAZMJ4xRiADTk2XdZ8Z6
6Y61Vrp1rPlZvyut/Ahs85iG6LQwBgIKt6/xFOvQ2wsx+wsECk5GH3Qu+1PZ3lZ17VRB4ILY9aOh
eu+mej31nsGHDqzGKYN6n49QzMUbkkNCgblCbaNnb3Jewo2J3bkTXLB6K0m+R/1jF9BGFnM/aL9k
CVTzZVyVcxvI9sAaart01zEEOieMGEJUMuAn7RcitPr0fWF/y8leFnJ6xaQGwSRWyLBrJVqNqebK
8y+BDU7HDbhvjnP4Bpe4FXGoMKL1wigXdetE2nLqNageqnpZAFbUr8PWOnQ0Oinab6NpV6lheqFA
V1hQbLpZtJUG4AjzJqnKdSa9TkXl6llHIuBIBwm4RqDJXtPFKynWvaFdN03tThnNhMLFC2Ob9odU
7+8S/ROOeaDfpvmZBLRrWx9QsbekOytEXiLVTpmsMYlx9B7swQImGLUmmLxM0lxoN3auawe1TN22
Jjcs5XVeXXCxuV9mbGx15rc17WAwRXSIGzLhGX6PD+SGtirVH7Tfo4XX38zFw2BUT4pxVKaHan4m
Z1gP4vgKDIIfr+xCKXXoSyG4jei33ufKF0MNMGvoLvpxGgwbcJAz9UxG0vKqHs5xnjmtfFOMrWuC
WOmrzhFIqHp9QqQNwnmcfMl4inJltfTFfig0ewZWrxX1TYNbZdRIZ1Vjyxl7u63TnawUnAUML0x2
ce0G1CKszHLawXTqHJMwXaUiXNrWQnbTmE4bG44hbuqGbDHlATmD0rSulq4WY8JVujrP/amuilWV
tgdQkg7woTUyckfA/cLkoQb6jKTCKFqHyQOUWKnS/YDht8IwL8Kytwr0Y6r2khFQG7WxJZKiRf7s
aPTTA3BfZb5px402ZU5NB9FkkeFjRCNrmafk0226jH7B4jTLAROW3h7I5Kc0OpvSdFg6zDcUTXS6
4rdulCc53jXlW6sEnm7KbF6jq8/t2gCaI0fHtqTHydxVqWBjQu3hpMfZlj630sfa2A4+AdO4QffY
69ZarIsV9uU7xdryOTLpKdIiP5pX1uQpCtxFbIcGxZ9z8yMZsMqxCi81JjcK3erSMb3vx25VzqvO
OEHask26+ooRoXrfH+vK8PTxVpZnH5SuU4qmjRPfaorlm6bK9zW8WjRfsWBycKxcWY+4HHvoOCKG
+mMYlU6NOJ7MMQkDzwxLL14M2lXHzWDWnwbe4PYItI0I1x6q6g73FluXb/oy/pWr0Xkm0tAFWdR+
vMQO8oU8xxd52hfSQHKHHbhE1I7bqdjkGMt0Snm0zJ1GnxgGO6CJC3q2StTJ5jqobtvmMIY60fE5
tn5hzFfZFUaeKYxfI+YEFHdI+InieAIrvXQcTeo8SwNYvZ5Wkli6aaMcRjwGDElxWVt+tTwUdEuG
bLzaeIeNondhgzdBeT9q072If3efpQ6XPjQ2+q3kZyo/cBHsdJr3ljB6w2isYEUgFHD6MfDqqLf1
5F4KMxc6ijPPnCc4SI7J4owswSkovH55NFpSglx1cl1fW4nEhm4JfoEIMidUph3e+810thR2V0nq
XPjsj0uTOrkWHRfVcmVxI6bp2ao/zRpcEA2crTK5C+3JC1rzaVIdUEs2QPqjOt8vyqkYg93SyZ5c
sR61nRXcLBzKo6jzA4tTcFi7cqc6cGZ8mGDgJ4Z9VaqfKq70uPTX5blTVkZxhMSNJ7RtSS9y/DhE
N4MFHr3bE7dQszfxoU4oa9Q9SuiVjrW+Ls73QpQ4QSA7aZmdueYifwAPZVa+Pls3ShLBn7c2XRoe
VMizWij/TslQ9SHaj8bjPNTcVpExWDklmMWOG2j2cLoLWmOLlOChCz54xa2IFKsdZg7kFBjwbcMc
WrYVBQeePLQrzhJc8q70QNgF+lHhpNEaXCaP972xwKfh2G8sih8qh0GnAffiZV9OdqY3nmyVtmZW
Tkq0k1XpFAvRYeTKeBRdlVYwgUwnD+lRkl1BBjQw66+T+Wll0a5uU1uKf3VF/MCtzImqCOYN0raI
2OGy3jiaanPfdoGP3I7Twtksy1MV3STT7eVg6uQkw3GnOMl4yAoumA35oI+zY6od6dnCuWgX6s2x
gr83L2/YIjpGodhyIXiL+ZpQUxxZRdSN0ONmEVfkw2Jn3BAXr2VG2/qlkhPdds1bQrlGV1Uys8yt
w0/oF9S1QqdlrbUY1c/K24QwUubWV7feAyO6M2F+kkBrvbnWe44qtbKPUsWtdIA2l1aaxotyzc8t
r+HNjPGzNHRbaI21Vh2pODoSXz1W4n5orqPCgNk6OJYQr3RKb+qgcsBnTYAF6Ex6tKdL4NkoYbvG
rUjrngK9Ich+LgTOjpbPJAiPuTCsQ5LWDAZBL6UokBPQdNknHG0HaTrwgZtLWURiHxvV7i6R12Z9
5NKNLhiszYqPuH6z2mAXi50v1ew70nwGkeUZ2acA1zvXVnKwyUzFn6BfRUvji8zaRCH/nLS1RvbA
2VhSFi+awa6NorKpDZNzbekmebjOs+FcWK+F1B9LqlGaptj9QK4eiseFV+tob21BMcTGc75sReNp
QKITCh/lfKasMZt3mpt6Y/y7kc29RVUoNY5za61ScqpiTOnyfpW1tzzYjlTam/XYFX6rrlp6kYX0
kJLJDe1zUmxKihhq72niIYg78F41+fmvAiPlJNLtisXUxOpqWT4nEpaF0+WEGbfS7lNp9GoKxAmm
ShrtTtTXkG2Pp3wUnhqMLfu0OCbE6ToDnpBnmwh+YmYttpQgR6tuimFyU1B2JefSZXJzTtpov/fh
YO6NSFlD0GWTDm1res27ficGpyqO6cQ/laHpCnXvdtab2qq4ZsWHhKsLkfcNRZ3RHzadmp4ErSYz
/szNAZrq4A012V/ZuukwuEMYw/UJKFc+QC9bW6ZvcselQ/WJjWyXN49Arx1rIbcqtV1v0lIjUsnt
LudI7VBH89ZqHfoCnMZAm67njgDVPWhzZ0anbqXqvpoI4lZj61HrleVEqUmi+WF0crKCqVap2CFE
BbhSD0zAWqLvhU5lMqem/Gj74tEIL9b0ySmcDU8EbxnqlqvVgZtXI3+0d6OkdiJ53I8mEyVP9+F8
BOB2m9TTuZkKOu0JYomwUqXYH8qAOgC9/cW4TglVjfEKO9Gu0b8AZKOfjjQEsmEkEzf0p46+LEmQ
bmrVetRwdaE68UCXroPX+6FerIe0GDdqKx06dTjMweS3SGlFKtuysMkzbPcpQF7+eKIKZOOFZ0yJ
nQ3Chu1QnpuIMybpWDgcuvnXdGt2yq7ruhd5RIoicwrtg3EVAvK09VKjH1i4i3pKbPANbYniiBbJ
Z7ExyX6bhQ0eTwZjiNfj3LyLVuXn4BNrkZa9XN3mkuB1pSb4Y/66BOpOQ24wa6BLUk+GeUgHFM3/
AAPn8mVqEUXX81EOJLcY9iUmHdOLYkx2Gtxr4XPYWNu+Snd4271EC5HbGv1mmR0tYYHoT+YA7kb6
rIenGj6HGhlgQoHodIEXpZWXy+OpbbLJNvTolkMJ6gB3KDioW89RZ25BCL5NI9JdvTzMtbaR0gZH
CVFI7cTouJLiHoqD0EggShN08CPza/ZGVXCMei9I415pGOP5Lpz3pnCaEr6ydRvlkSOGD1BXS500
3+rAFJh4Vcil7qpaA8xlEZ26udHwcOuFJCSJ0pwlON7W8fJZqX7VVKBUBKpvLecMq+lWI+f+yHoQ
m1sjKW+EuvasVN4W7Uz9ul612PqECmqo6c4iXW1ra9tUMmczZpg5WBgGVbYev47tXU7hIrDkrdgZ
VDZhx3eNRs60lK6gHpN0E5oq5kQqE6Ap17J8oy7HCC2+OY5uCaTBU7I6Q059q4W0sQzFm3npbEz7
VWTJXIL1q8vvgcWsFO6qav7ecUlw+f2lVzQoF28hGRwl065oU+vi4nLuwS2JB+e9RIqY4SmpXvTY
GxG7FqXedyQMkEVvDGiJghZRS9U+p6DEXQgrmjY3HR1U6KKfaWd0U6510t2YU4RpSKUnpblrS8Of
xsYeuXUOJnEV9tSfrFMI4lRE9NKLtdPN/R0ol7fKov+ggTiavwZcuU6fWnNvBO9LzzYpGCtAq36t
Ug7G62OofhvVfW1sc2tgz229ZjxMUbFq+9hT+pNuCiuDP14tH5yOvUGrtn3b+62lupi90kNh2SQA
u66HI3Wom8QP59di3kTaLpfB3hd7S3+sxdarRskOF9EVqBokomeK9GpKshPrBq35by1zv6LEK3HH
Jlvk4SUF45leCgnVlxT5sdA8x4P8WI1axnIcfUpft7m5Fap1aoTe2G1mbXkTSTuBf2I0RQNkuAnG
dVDX617A2LMQV1FMlarvV4GkrUQWwsxg99HvKS3e4jZnhWWuoI9stb/NeXLKyXyMFWwmLSO9MxPJ
kVLE9AL6syWRDxjCrMJUIrfeDuOObWPDBPe7Rtw0EnEgHT51olTZVutFug9Bl+i8f83oz3FPiTEw
3NlU37puQCkX31ihbisDe7RW4KZVUkBalmJdDGbuGqLqTssNoCDJsSj3TdPsFUq8x7XlBmbMfmzT
vakv6yiWN4EgrsXC5FSn7qO4uJEQcnVd6wecCYZcXdXpsFYHyCNcW0jZIVQeUrCjybuVvCfjW8gW
IOFtku475a0cKbV3p1A7jvrNwJmtwCs4pBJJwUQQMi9d3pP2yZqf0v5zot2qmI/qsKaGj0xQNFdU
UJVI8/SUNoXD5fq6kUJaMM9cKEpNwRPOoXxjUpWxxI3QbafxJm0OYXVUs4MUHWLpIM7vk3zx875j
GrpDla56QbjBFLQgNC1i4mQBjcnpOD9HNHa2xnHQTtllB7yvo/R21jmQ1rmX1YPDYPwuy/dGW1UK
8saWHRdWeWB5U+wQiUwcXKI7nXxX+3/Uncdy5FqWZX+lLMeNV9DALavMgTtcO7UKcgKjCmgtLoCv
74XIrOr3vIJkG8160EOGB0E4xBXn7L02Rfg8hPEZeJVRLiekKQAC947JBgyvrLEnGHfeXo7iMlEu
6o7qUX6m+Mb1ZNRHiyktMGkFbsGS03rbNBa2YVb/06Uld372E0gpcotjp75qSrA1yLUu5Vkcrxrl
foju6oFc4T2lghxqVCJnTk1z0K1NaQgvK8Y92//Une/3oXOMcyU6b9oLywRdQreXZlpA9fIgk33e
ucZjPOkb3EWHtHjSB3E0umuzGWAx5yo0GvHcFd2FRdKgJ/pnS71vQ23NTmsdiIjEQ+Ku2lXevjDm
X02B2JqKcTbjcdLuyg0fsg5he3enRPcZ/aL2xi29uHT3Zrh3WZpvTedNkTfWYx7vlLpZNaO5adRz
LbvAyk9bY9ls3B65abAKfIA9jXE7ZtoyZTyWfsVze26k/VWUnDtNuAKQvkl1/9EOr0JGBNUC8MMa
kYYBGz83WuTOpt6xnclsc9m5N52S7hSD/Y/KHypJZrpFKblSO6qSyk0ZvGVB9iqqYjX14qgawcHW
p6Ne0npuGvJvHbS9AFhT1uEiclcWw3dUrW2ajyShRFQBbhK2pGYeryXRuXXrdqs6RLcUGp7e35EL
CCe4oed8UNtXvZZrdFMLndJHSiHDylSv1ZSboXzDflU11DJKPsnju04WN253o6lfxX1/oFM4ZYSZ
YdDUnUQomJIqnNO//4I99tFxT5RJ8ZAVzH8c123WlTgrne8p40+xYGoUqYU1ctyYRma3Vb8pmJxT
Z/+spMqJMNNLFwXYWAOT5hZ9IQD7yOD3y3P/+nwd5UFDIu7/CrLKGNpMYVIy7F0cPfVKv9JsjTmW
jqxuboakWgapvs7EO0nhN2nYLErqr4GovQDLe/5iJ8kX5/LRPTlRJeHyt9J4/o6VRWvKS755q0/U
QX0ibTcpuCVqdj7SyqIB/i0NzSmUx51s0UdZhmOIgPh4RVz358f9QBp6it+JjNpNfB1/M5NNbmUb
wz1n277w0+kL8c+vM/yNQOeUwBOpQav0kSKhmFKuq5bd1G6CkjU2zfFe2zmxuhgUMggNY8eO8RBZ
1srUH/wxZRl6kQt6Kz3jMJURzS/O1bq/aLMvsN8fntqJszftk0kNAxTHGVVv4mLxqm9hDwRleUy6
N3rQu6rb5u0dah/TPitBqNtQLJTKAeOQLFL2EOyESAU8+tmtbn3TvnuK++F2FBQTBJjazKPmTFLq
57f6g0demx+BP719lZt1TaOidG1pzY76e/c9Lrt1mtkpi7pw6okDmxulXZDh873znb/Hn87XkYlm
KsIG2agvVYNtqPe94568+k5tJpWMak531L0A9aFFGeR7hz55/UnE0/Opw4mYtwc1XUfD90b6U55P
SJxAHvTjeNBep4fi7fOTNT7QE2onpiIt0hXHGh2GYxN1FjKP3ppptJRPBsLhKXxfRJnBEtC/Esrc
swYMUtNflOmxNB9pQSjK0Yz3EauJMiYWSzd3dCLWCUm51fSW92Bl5XA+d+cjVWx67YfqP/fVtdDV
ja3chkGPIGqvTTb4YV6mTLv+/GvNL+9vxptTdpCjx6GmU/E/pPJmhFUi654shkY+GmX1HJV8xdAf
vveInnJ+xsTK7LTiUXLii6leO+7959/hg1f1FMlj5GaXa2bEaB8ci3jeK3x+3A9G+1PuoW12JaxN
rk2vFAzEpDAqPoUllwTwrwCxv7zIv7v+J6uHPlYNtbJ4B2I9XE75VV4cVfO26J/aVFBl9Gkg73rj
2BRHJ33Kmwum9SJ/qBQFoVuyoIpJ6TpdFtVr1j8J5cZ3HiL9kXh1e6RgS6IGSejN3LVUwOwElHaK
dF1U7wZ9UpKwbb1kOr+Lknsr8tAyL1xaNrHYaMCXnCpcts6Z3m0cealSR1RfovjK0l7F9Ej1edmH
F9pwOdlzFttlVotzpT4M8XlUIDsoKpqMTyX1HbuqL4PcQBeJgie4Bmfo1hMZu8XNYKpemd33/r5C
ny32QfeF6/sjTfgp6tHGFNbGHUyimc3BZhDhE60a2JrjQKHfRvwollagkbhReCU7YZPiuwjCb+Hn
LPVkvGwGUSgSo9dhqM4Cfyu/klJ/9JCfDJZ6EZihgn7g0P10b8sv5vSPBjX1xHYxRkrh9hVy/bx/
sIgXRQpKeWwJdcsMcP42lOO6ej0EmqeN9kJVJxKm6UgEjlc2uzDZsduX7cZKR4qGXGy6Go6lnwXF
9EONmgth5qgN7Cs3Dz3IghuN4vIQ2btg2maBsQyz6DhST06MY0Y2S2R85ez+6FqdDNWtmcp8SjTW
BHsIBPJ7FBrzFKPVN3Sz65DDRud046KviCm/N6iYpwytOWwgyTKeGN+iLfeGcWJr19+bC83T8M6o
kV1dwZ47RBMMhlUWf7FQ/eikT5ZHmpLhuC45bhhkS9FT6UBMIr+XnWie0ppU4joytQNarr3SHf3W
bsM8ZSs1ip436YBXxPnh39ovn88Rv3/UTHHyuid20Cg9Mp2ZTdLEXvO9HZcpTl53WzaFL+crMP2Y
zr8iffx+QjPFydueda4Qpp+xlhPVphbo0dEgOSoyCbf1vnc9Tl49M2ZAkakxHIqnzsvfv3XQU1hR
DI1ZjVwetvpH5ayo4nzvsCcbmqyOHKEWrBNRMdLmEl+wGT64yqeoIt0KakXqOls4o9s6CICzoFw6
jbEx0q8AvB/9iZO3L9Fha7ooceHK05R47+2rmKB6kXxBLvr9Utd0TxYlnRqHhqK1jJ+jPA5BvxCp
PLiUM0f9EjPPt5bp5inAKE5NaQ8J5Fw9Q2a+FW2w/t59PXkn9crsu7HR8NTfB7fK9x5s9/SFNAsa
tiotAkvzdxT18bR/frYfjKTuyUtp+wHozXm3EiXbBJET66sizFefH/yD4ck9eR11QaRwhttxrtbK
fjca37sapyyicowtKuNc4qZZj7NefPH5+X7w5J2iiEAYVDr8sJFIOETBLeD6BM3cVTXGK9+cvvgj
H7w9p1wg3U7coI35I5RFZ10H/QUT1ZfRfG+iOQUEGRZ5IUED08Gummhhm5pXIDf8/AJ9cEOdk1cz
sFwt6VxuqOVDg4P88MWq+aPjzv/+p/KBC088G0fOWbc8+arEm89P99d3/p/7G/M0ydNspSUSIYeD
iidshAkYo0kbgmMMnVUZ3qagR/GIr6jBqzFWnjKoWLh2NppLVV/YtLPSAjXXha27CICxeVThJi4N
mp7ZRk53Zj7Onf5D6OpLxJIzHdQowzuRmSt3tDfFRFXW2Gh271EwW5ogNPz8ZXZHKImKVOFpYpNF
msPRBtg3TOnBVFukmjcN0u7Ipn8OTTZznmnRrzR2WQGlPpuWS5jmmykddnpbr1r4fm7uKZN9TINx
J2I+7t4tmqnt3aQF6xBnUp9dNvD8ffPa1VEmZDp+1DsAdqgLXj6/zJYzjxa/u84nwxNWYU1jbSoh
d7d4be/94c5Cb6QgoCzcm2Lk+vhPMlY2ujB2o2jXbVLvx8amh7F32pG+vNxmzlnuQy5Hn2pCLh8E
rfJy0btvc1UiKfa1g5lILzYzgmQwVgkygEDdIxXcBCaGHT4dp4sqeYv1Z6wPOBxucxqHubmd6D0P
3Xow0bFMAXhDT1aZF6HzjuRrge8LhNHSbJpFiljYGQZ8QFtTi9cJ3Y0JUVJKo956IzXalgeje+xT
sclcubFCiiQotMeXQn+JSSoZ5C5Gl6FdtOlaEehu6NlW2rIud4P+kzL9UtrdXdLkF6XSHsaEplJP
pxKTcmMUyxpJmY/GJDFgwMr7sUEp3V+OSOaDjCsRnzv05DCooZGCghaB3Ve66yas0ICZ2zQ0l8Oo
XBctms9nTRsXHZvNMizWyZTcD+R/p9F9MQ2roj4Y9rpQ6dXDc+y02nP4UGb3E1HI0pJXCg7yyuSX
9ahHIauonoFgvBv1Ba9BaZ/DwVoM5dYu20XdXBGgscyjbmWYr2l1tEbLi+18aUjtIW8qbIpo0jmr
PjJebDDuRE1tIwF1XfbdWp1ItsaTkoXN9VCVs/rLsJrrsW89FydFpyseuo3NEF2im3ayfJUCKHcU
bSmjftejwg+cdEms5FQSOxFOOwWDlXlOwJ6XIkcXVkJQhrvUOAWLP12hZOkDpFhzg3Glm75n+vVO
85t1L21Ip2KvYfUU/oCnKluFTrvt6LW1UbhKESsk9bCp7J9t76+jSGxz2Jp6aLzmAdJpDFoBDVo3
U1d2pHt5ejPWxoyIWdoKaN86PU/1t8i5HLEyUCRdUg5BmirIz8uWrtPt2tBajrPvcPIRE/1IRXnl
TjCZ6KBYCwU/gqKcibg9K2n8VsMqM3+MxO9O0dEBf9dt2QhdUi+7cCd51MS1Fr4PAW5NDUlCibLd
KpaDeatKuRfJhooSfVF/Y6G34E8vhmBNl84R9lKgQUcWJBoiHM6kpiIXyxFhViuZTrediyGoQjaq
moucO2bmD/XwoPIkIo0aaBL4vb/M/AKpVLZoAmVZjzBIiH2ZhLMw5APc4yYKl8mAxSRDmTpla2ns
VWQOdhsiZ6NrWaL2TTEBPBeJga1wV8XGInQMchLB/GU4G+tjNA5rKFCgB1dxcpNkLsKB995wFyTU
aM1eyTGnUycaem54by8NeEGGem3husa4Az5cB5/VWE9Nka1DuhlufJuN142KwDwQS24GGquDjmNY
5OjtBc8xxcg2eVCyGjKRgRdD36bSvQoscdM7B+RbGbLnMtpLiOblsLZr+6xjgHaaH0qKJzDBKxo1
nloCa45ZWkHcom2CejYNk1Xa/hgs3s8OmQ6JI73xDrFxqasYsEbTK63nCnVrO9y3Q75RI4fe61Xi
gs10t4iDtDZZdiHZkbP5sU/2xXShMYVp0UPToYqPn4VtbsvSRm5Yb4WjUp3rFwVWztTqF4rKS4fh
58LOroqEx3iwFi66flVsR3HmO8S1NQ7E6GLZt3euhnoTjb1XJOG7Gqf7ILzJ6K/zLs0TorQQQDkP
pswZIvPV1AYPPt2uFllwJrIzO3hyA6TwPHAt+jlJPsxiRDRU8oqq7n2M0iMnQqdIpku7Uu8yNPFj
hr14yBmXY/GUKYyI4ZDUm3SwPbsdlrVF7dmqi8e6t3e9ekSUGkKLgfGAdRgCqZ2vjejQ9i9afRal
Z7r66MphHRfMygNNyWZG5sqDbjLtv41ttWtKY5PE12gNV6Ofn7EDWJrcN9Jg6uTGKmEyYwNsBfra
luaRn201R5zV+llfv1R05AO5bIHX2y0cw6Bcje7OqodF5dy17hO1JS+Oeq+y763sp2Hf9PEjuWGe
iZUkYNHR5S8OPoaJ5B29ca7q+LJsiEsJbuL6PovWvFEb6XM0K43OgmS8lGSCRco+kQ5aOkZgNLiw
VZd0XDDioWpK4gZPsLtvcnUpM8QDWROvuvjaL9pDn+PTQItjI/Ou0G7arEzYTNlCPPrjtZrk6HAR
sAThbTDdcBqeiuhIdfsXo/ePtXqlmHcy2rTUhLFSDZHcpcre8akJi7OEFlKJiH3GpWSj89oVzDj9
e4E3LxrTddYNx9bB6iZ4f6sfvtB2Q0iXtUHZqfCwpqqKX8ZfWDTp5khbJRpYCksWatdW9xVB7wOm
hXnKeAsJT/QxxMiDGM/bRvMixuamxhle/TRlvMlZWrUIXaI6JwQKOzv+AdJ/V4GtLGWI9y36OenZ
deIzufk3dZZ5mRWwztO9gtczLqg7uru26xFdYXiP2mUdKtu6K1CFC7yaNyJFGZoXa7tFVIUw+PMl
l/mL1vO7JdfJxq1owy4pw55Kb49eMcX1Drymugr1btsolRcxGOM03kpjU5XT0dUea/cNDexCT23P
KfpFOOG9xIhVovIYYgtH9gUJI4sJW4ScMJAqq8rsDsgKo+EqLtNVCXLeTi67HNNqrB+aWUtYskCl
1deauOKdcpnmt4l21QI+mFrpuYWxUv3RY6/6lmFCFcm0jgKoVDQNxisC09cFRs5oJ/GJRe2lhYrJ
GMkgUu960IwOZpLYP0vDV6S0VtnvpX0dM0/FMl8F7CXdzjmLExRpVPN9VlYY2OgzFAkxiRLrdLOH
FKQtsirCUr6usdxLutM1oiCGg6l+mqoDzB9WQtiVneJBVUBfU0qcMbSdcrSq4Lpl4BpxAgzNWlRn
wjqva6+NrvRi2qrxbuS+N7i5/ABVsVJsDT1YIk5jXbD3y42f7nTZLG079CaGM8tBz4nZwjURZ2vl
ynQvcgZlteoWelswiiP5xEhkPJvdtcyuQ/xnVGGLuVQdXZUI5SBmiFqso4QFqLtRbHxqhnqM0vNJ
eWLKQJEpPYOVU9lfjzF90mCt+mcTk2dd3biT6wX6RhkW8tppzqphWvhzr0U9BNOVnt862qWV1CvC
jhcmTfKoO+ucHw2+zHQ3MKzZLJctjSd51sXDE0i471P05AKbSLD9Nze+vFfVqzB46etDFD/4eKsj
noWM58+wzsvgRdR4qThwfFvU0Zx4zVqDAdfFuk9Li3wFP3AvQ1w4g4NumSC0VYcRsc7U2yG9Kuir
OyQPILRduZm+E7q2dm3/mlDuVSIOBGG4Sb0uS+T3un5si3CXs/vxkYgXqY1yitsjRtoF1X3RPGX+
TRPdaZnYYxICCGjc+kP3Q1HLQ8orXTivkz1c9WR/krxAzJuXE3zWUH/qiluzZYRQMTKExd5H/WlE
XADc0pES3CDwWjbYRHuVSWC8KjKfqLJh0fvnI+mdJUq36tnXrnu9WNQYMYQDv8C8swDUZhFuWTU5
muVdn2664UecjF7R7cGVzUGhLFtRYZkMjJpxlvMqGuUVqcMLXjI88PiYiW7gZX/W4uuO5YXK3Rd3
+LvIHWnlc+0fDLrC+iXlEpb7Kx0hcTudWeYx6oeN6woPAkirHkbmj8x8inE6DOLedN81Iv3sqFgF
fXHtmMFdjlk7AjMCA6UFA+91PtL4kBkoYf8ZwPbe8I9aCtRhDDeZ9uq348odWAagCl/W5tYMN6Os
cLIfNJqYqc3et3lI4gJDdIJursPUDoahb+5cpTmoBaExVdiyZ7b97cTyuuiaHyGAbFt0eLDCjSkA
GdAlsvEg9i06z6xdBbgOGrO6tTuxg6l/LnH1OyOq1tTLbPBpGsY7TSwlETvxvBWXLIVw/3f2pYX5
P/TPZxcN8BTfXbeDoDfHMB7gVgYskE3hGkNTxR5Azos5YvWEMqxD5L55MHgupgmn2UfqUS/uBwpo
RjpiFJmWic+KHC+HZrvX5UROyHw/xbjJ+23T7+ZJSE+rn5GZbmPfWGI5X7o1hgjzZqSEkFFtUrBk
TWngYfgAWbGLOmTQ9nYY9k3sXjhmhrE2OjMMILkposKqXYXBJga64jbZta+ZmxYnTFB3575p7OGm
bcYQ6ZQk7K0etpPp7pxOPTQpzyMjkguIWVqPCrYfP2eAaq4DBP51/dTX/trJ0DffktlTjv5xzJ2b
NJFbzUV5CAjni+nsg/rBSaEQ5xIXA8/0YcRYiC86rN8/P/Av5dJvpslTVLHUeluaejUc3K69YzA7
98H0DDbrUAMwBBlRI+t/N0P06b6Da2ANYi8xlx0mRbtIBnenNtN96P6MRXAu/J+fn9QHNddTwnE9
iQr9vA02LDUXCYugWaIsy+KL6ugvLc/vvvNc3vxTNc1M3L6vUlp6pWp47aTeyWCf60QVyZ+RchN0
Go35nSZRGrd7yZzYjfF56pxXX8bv/spT+90ZnHQIAJQXNs8g35A6yoTDXh8z/CDVCiXZ3pcC1wUp
k8XFQI5ChNO5Ya7KdGaZ/NiWB6SuA1QFV1e/V+u3T8qWIUawKKExfgiVjSbvpuiL+iKz6+8fXPuk
cOnYOf4N5qsD5vtFRcYu1Th8iVukETdsnjGH5AcWQER5pMucrn8evVYpoHrNU6fmpmBGmULTqzCp
MResTKzSA76FNGf7e9WXj0Zgri27W5uTuQ/LfhUqjyYK8cJwL0TxQ5b9cgyiVZbdV5OzlAluuHLX
NEd/vM/byoNuJHDEau1FHcfLDKhITaG58i8Nd+8ymjKmLUv7iPOvqh4StaO8Btum5RwwlDG6NwWG
oGRaOuUjqJDUx822b3uI3KqHCqTLHBaP2OSV9iFkoBxwHA1FNlcSlr7SLGbKQNWVrCqek5DFYoJQ
F4BG2uIMDd2z1h52iomifyZ1rNz0KNQVJlZzwq5YnYfFrhn9pUWJUKcOMRjZNgbElbAtKFrM9NrO
LJMFQDc8qsV4F7eFV3fhzhEupK1Hx2DZHu2Sal9SYiNqKQqep+FnXgSHEqNPFaKfxsUIoUU3NpY8
CnDVBbkGtMiO0xSd11HEbMy6nVlVajHvSuYFAw5wiZ0x2PjrwNKgTTncaqyvw2Ns6md58dMoqm3q
jl7aze7+fRneRvX0mEgWPza+QVtbseVclhEzDja9Jr/tkzM9OUMoCtzJj9difDEybTWq8bXTvovw
1dRDr5TA4zKHwkfMXitZ1Lq6HPKtUl63TulNRvlTNvm2VSb2bI+OeUBIjt21PWaGsYJnwkbeXEJV
WvR2djlhJpf4jep+WMvCp4CUHjG8/UoYD8L00UVYEKYFmbk/EgrE3WyvBKToTDFlJOeQaefhdNay
eqzH4M5SHsa4Poj83Qlx1VqZNxjVasRX0ElxbobGvg2Ml8igAoFwQ6jvSm/gPSZWq7HA1pYErT/E
+Lagi3XlWsDXyDPzMnbUL/ogHzRz7JM5pUrinkfGl6w6eqqGN0MQeoqLhCTEHTd9pXD4YCw/5XJD
a811IELy0CZ3GTHDVnMU2Fo/nyg+aIuc4rnFlLNJYSV1KNRtHBCYN4xf7R9/P25ZJ1OEE2iRSWVX
HobmrOtvmAG+OPAH3a1TJq4tjELmDpXyDjxE70+QwYDIEXacq19Nbx80G6yT0dxy8rRJJosbi5Oj
TFoyBG3KZfsYZEkU34XqZsxdxploKUz3i2b9R7f5ZJzPJ011xvlr1eGz4cwrQzx9IAA+v88fXbST
lrGbhGE2ddznwFJJIj8MeosBFQidfPv8D/yyGfxmQrb0vy4JYr9FSWsZzID2OI/Uu6iOzpPSfNEC
ivRE80aMrK326vQD29v0PPN/uDVbkjkJD8MdlCWvKwGHBeM2KdnRqsWLsLNdi9+S5t267rVVHKeH
nNX0F2f8wV22T66Jao+B6pcDrUYchnZIW8EujjK9ScJHWf4IhhbKWvA4geQygX6IBKaPo4A0axeK
RNVVYu1sMCO5hUpL6TlXXmMg8J+f23zTf3Mx7ZOL2fixBl3OpZaI7pBJZKQ++PmRrfnb/ebQ1klV
p2IfrHUmT0Kbx5eZNW6qLFiJVu50e9wU2NIUrVw0ReoBrofyA40jL+4FBiGNonaQb91YLmP7SYtR
UhbGnm7Twg/RpMbLwnkJYkbu5KaaQSWUNTWNZQaZoCoOYQkLKmjAaYFLE36ybdx2ZYSPif+cWOUK
f9y2HJP7Yhy2CXLjNLo0aObnxKx24sn3zWUjNnkE+mEaXszBvCY1miqB8cVV+ej1OBnJx0SEQQWS
/6ClBUWQdDkADCbsjU7uv/Tr//46/EfwXlz+8xI3//hPfn4tyrGOgrA9+fEfZ9FrXTTFz/Y/51/7
7//211/6x/lzj/G9OP0/f/kVjvyvv+w9t89/+QFfWdSOV917PV7jR0/bX4fnHOf/+X/74b+9/zrK
7Vi+//1vr0WXt/PRgGjmf/vXR7s3zDomT9G///n4//rw/Dnj944RpcLnPHr+H7/z/ty0f/+bbv/h
GhbAT8ewDd3VZouRfP/1ifqHoDcGrkbTdNVW55E4L+o2/PvfLPsPE42b5miQPyyH3/rbvzVF9+sj
4w9X2I4rLEudP7D+9l+n9pfb839u17/lXXZZRHmL8ejEDuKoBM2YpmHrmm2rnMJporPpW2kalFbp
Oc5MPSqRYmNTzk39WUFmkXhF1o8PKYXS23oYnlK18ZcqGQuQjkBysdbSQgecgdVmh76Js3I1NZlT
LoxCgTqq90ELJCOqenGZB/HYHIZBUzDdNfZw/6dL/q/v9efvYTh/HUwwtpp8BQG0wGCza+nuiRzM
bVzDIT+l92w5hWILryvsNuxa/Gmf2JU2p5Gm0Vuk1+LgZGr1HpXCtZdBJaHGRmUUYMFxcPAuSmuq
Qq/Xy+CuRWN2aftmRn2h6FKmFc2IvXYI2muMPpG10ExhR7vBGt1kXRkZGnDFddNgqzg2nLJGhxlK
40alzhXLgHeNqOL0h99JlQpHTzHPbSQtc6OOpX4pAtrI5hjBPxONmrKHnyosoUHRpq9AFwnTlYFD
PSZMR5+CrVrQLauJDq4W8QB8dTEFdoytSbr066KxT8CyKIaGYds2NIfGjDL2y6gOysvQoBGxFGWS
Y7F3erdcN4HP6DdXw4+DA8/EdlPGosAxZA+BKxJy2RdNAwcks7Vma4tAkevOlfUx76rRJSItp2ar
NfqE5sNJyzc3cqo9qAbrENdutkziOAcIaPX1Y+zEDJRRHBhcJKTKNZp1LXeWwhDTtqq74NGaZHvZ
h+2c/T3QRPcy1+3P3cnptJk5LUNPVybFXmmpw+hZZj71WJKR5/6Mr8UXWTT3NHuRo8Rt67pdZEB7
f1ZJDSyjB1h2q6VdrwBhCfX3QK+A14QwD1btiEJAC9uYELQh14+VpOqxgLXMGzAP7ZkR1OqyxL9F
rqcqp9vEIEP12rGDlg1Uk43Geqis5kKlq9kuCLtj/C6MXjc8A/AdmCVLQ67pF25Bdx4H4FqrTes+
L3T3NSIQ3qbZHUILiJucFneR83wucT73nF0gAAPYiTbAEanDkcksr4eLKQ+hZCi5GlfeFPeueVQw
NojNkMaUkfHVTz9lOfA0C9+ldke2Hww8nkSEC2nTTThgehk+yzKDF2Goqngc7dbmM3MCUpD3vDWr
AExfAAHKMm/0tt/otmqjtUpGXfdoA4JNM/zUJmJVDcdirY4+RCNw6umO5w+vtawTa6OYncqGFZU6
DuzJlw8uG3S5qiG5goHSGlQnfQssJ9bca80YJnlr6E38AxCrYzM3D/LJrHpq6qGilDSW8rrTl1ae
s98eURqB0YSW+BM3vfbaKWGLCTvMR+h0BcirYHLTn7k1tmeZkxS3Nr7OpOn8ntdB6MYi5SUG5lLL
l4z8mb2VmfEE6Ic+a+66j63jug0liNG/pc/JzQ4Vnj4oye0r6OhS7AQCxYn3G+3wXqd5p4L6K/16
5Ti59jJ2ca9tlKZyf4iu69ttGA4iWoiyzCRtgN6Ilk0wOKu2SbANxX4IPFGzfAmMUPHZeSc9KXI7
UlDYr1dNhRk70BTnJ3MgO+me6+25IaHh6w7JDjtiq3NdnO81iE6FsTtfhqpOEbApKjrRkwgaH4Jc
2rzoVtI8IPujK2ykwFGhwlbJJlMdQDudYVIA6KHNNUtmJP22VRJeZpYMhBznUzDxIMqQFggIyvFl
Nu3lK39IV7HQzeCqMLQG5Ah/L6GHU+SQxqx2TFe9WZvjIkYEOHqTW7cPpCpWM+s3AgwV+h0aCbAW
jr1qo14aB9XJMui8A2YSfp5ZEX7yEI1SGdf2kII5GYYK/i4m2eA6FG3cQwGOgElpjZvn0JNH6KUh
4RwU6ytBiX2gbQljg5w4aiz20FCUt7UIkD2FNZRduLbzhappcE3tpIzpVnS9Cesi0WggC6sNzik+
VO1WqU3wUJ0jHRefQ0KMrKhT+azrdXiLqJY6cp4m9pveCXNYqX3a90ebAT17syO29XQudXvhTj6F
HlWbARFprYtprygRXK4mtjMECzqq9kDq8Bukqw7PiZtoZ9HQlghRfGm+WqaOnoGnGoWWLxiy6GyR
6gZaRb8hQ6k9zGEkd+FogDROmia/YnFGhTtM9CvdH5qftYvASvb5UK8h6NIO4+1NWjRjjYOjRiTU
DUPF4PVvfUhPq5SBu2PCCoOLmB0u9iRp5WR183Qtkson7swt2+Z5jKbEgegrGop2xjiDiMoSKVrU
Ou1dZDoxAGgiBXnYe4x3W59cTSoZMuqqtYtK6akKCa4EgD7rC/QwoXXtSyt5DS1wA3Bw3Bk0W7BV
8NwqNW8jAIIdxrm2d6GYjgZSA96PS9vIBnVhBcqME5J0j6g9t51BZ9Xqw0XAI+b5Q6A3S50Y0gnK
p2klRzItxKWs2/Z2yNSwhb8g/csRnwWdISNMdaB7iOhWvxYo/w8Wxhfle37T1u/v7dlz+f/D8nh2
aH68PN7lb0X+3pwsj+ff+efymNX1H6xCDZbGLoEB+tx5+OfyWFh/6KqpqyzcTFU3zDnM67+Wx3/Y
rmoI4QrT0UyDZ+K/l8eKxqpatcz/TdmZLbeNc2v7ilgFEARAntqSJXmM7Y4T54QVdzqc55lXvx9a
u2q3038l9Z+k8uVrWxQJAmu96x1EQG0cuNYlxOT/o0BWv3AyjXFdLRW/yLfK932K8Y+tf6GkKHWT
mjsvVUuHWbkTtANe4kuLlqoyEXBYBV2LLbf2SH4ekkH1LKHJRU1VeKbbL27lmGs3HEd4qT2KBXgS
fkRipbeMnO2dwb2IYntguO15gvzo2Avf4rXr4l3mdtFbGg4MUqeu03iYVHOxuQ4XbWNPvpoQo677
Hp8559sQVKJ+s9Q/HERauu7FlMSbE9fiA3vOMDji53wdQgyqfFdRJRofjuLl9v3XYyKHIf9r+x7i
gpepxwOGL1n6z5Efpi/hFm76Vk+2rNa7cdsib6K5ypnsTHnnPKdBhuVZQVTD4xCkdZjuPXRk/Dda
BRHxssJtMfUsp1EUGK2mwlQUErI0uObWhcEKvuCznjUbtb1I5hn/G9GI7UeyxCzFTZsHJae9TlPc
S0In9tzXyaZT9chl8i+myVMPWW8DfdLLWgDh1uXHv069X/uYm9rIew77OHgdOocUm8zUY9JeuIHV
eELbIc1iJivZNPyj8E6pgGdLiRmsqom/PVmjFBUfMI3YCycV0R5WRDY/KqxEmre46TFCVIuX1Xfh
lMvsMCZrKL8MrY6+NF6eYcksOq8/9hShHcYps+6uQqEFXa1bFpAb+B+YMrgmvTE2WqZTMuHV+lIU
Sz49OOuapv8QnCe8u1V2JVq9VlXzIeu4da+Nk0zO8xR6pnkrtScJYUnzklCLiid5M9k1oggb6rS4
IvpvCiFQhc1LHFVxceIsxS+xymonu4qzzM2YIVWJLr8qOWAwq4Su9b0WzTL8kyc1z7rE0S77oUTb
4aA4eF76nfscr49dbPr3B9sJZo557VvvZUDYypDUNkXevbZeNBgs2cqFhZYBiYO/ZkZAOy3SenUf
3NwE8bF0OdXgIQY2OEQ024wtYliO+YXkLS9ucp8wg8c6jDu1q9w4jz9FXc7NG8sKYSI0aXwa+9kG
Dwtcg/ImiwLKPCmtuU0EruNfxLiZGLtBmQfHITcKTx4n63mh/NTpT6bRaFfjxeHbjj71PWmvtFVP
ta9x5Cg7kLmdQ/38hQQkkk9KbwyuZK38+E5UU+UeSJGP62Osp1HeThlk4oPsVx4zNhP8mSR1sb6g
tui9H4vAsmim7s/uzhdddivLdzCKNAQbz/wdo/1VvPiDi6HplMNb8wxGDI+hFDwFAejuYMU6JwxS
4PNx40axDv/I9xUZucNU3qyhDZvXqs3S+XEp8yTc4wSfOcfSTou5JlNzcr51WZz8qHJ8IrHZjLz0
qYzyUMUXg07gSVyYEpbhTeSM/Ao+ytWnpRnrZN8KB/JdXCucw2uVzRdKJtkMpcFdID6EVB8HxA2R
gF46VXAVYavb6FSZJF1fzt80myEqPA5eppq3mhQR1r+Rvbiull7siyjtxLeR6BD3Vjp6mg5YzXOr
QNn57iFT3uImJTUGwnjpheoQROABB3/xevF17iE/tFGA/bMWprspQ8/NbmyS4y1qq5KdyK+jeDgl
0aAYF6m+ggSQe33wVxW15WbkP6IcaCI1PsJI7zwMnQ2OQL3WLDwpV8vd6ZYIZzhGXj4Q2gzN+7AO
bMhXTrhK3sCkZhUNTlaHvPhjdggh61UX6eCszLKm4cdau1X8lDRVul4Po6AdaUe36Y4BU7ALPJob
dZiw9ISZkfNC3slgdZqnxYuS+PuwqlgeyK2OQj7Tld+jpM4ZAdO4lvNjnvKtTuVcsZaduWAf9aZg
4eXBP8Wqa8DntLpGKR6X/O5p84MsmaNmOV5Di2QjlkvjxC8Q2GZzBYxezvejDVP8UUfHEmJ1sXpD
FH1K23EYb7VPdvaE068Lpy3H1nlEg1N05UalMLLALDxz9C18S2UOCe2KOYyOmUGfZ1dDvXbsrIAs
FnQ1F1Om2AUS2/NnlDsJ+/uiFrc5dB3dzp4laQLGmV0HlSPxHHTLCETO/3mzTB6G7u/v19IurA45
hXn+TDRxb27O713PBrgcbSgTzJgRjgePZd1YMCCl+/Vz2riM0Oq87of7ZW4z8TjkJYkGmQobdVt1
tORsPhL6cHYRhrSK464OEt7SyMf1wtkh7Bz9x2AIouEVSNEW9OM5/7cAfKkeJMQpn9Gu8pLwGHuj
b1Hr24bnc375x6weOfqq99/YrDUL8/z3rq9H53nhVOdIzRSqrDWpsLNNKhqUW4nsI747b1f5+8GX
B362Yje/vSbRGHIEzwbIfrkimGN7oeeMmEmIGZ1teqxAo3EiuuRfpdz/A3bzNqj+/3B2n2bZNS46
y8D3fJq9d3jxX1SJeXWnNhpdeNxelLNLS+1kN0UxxcMVsXeR/6gTjzaksLlmqpoNxNgCJMxfRaFt
eieNxSNh3vbzHom5g1bAbVz2UJa8aKD3EhD3eP7NvmwMeUJTw/s3DAF3M9LER1AWuKInvK+dzZi/
rKPkpFmzCl/TxUtc+ChLvewi4jRea3clbkHl3IWrLJDQwPNSt/bkiVHdCbpKeecGToPDchCpxnlu
Ege6c1Ekbgnn2GE1d4Ef9ieVVxiXOsOs/zAOkR9JENvNRIGsbCCRN/igsVTC/+ad2K2krThlr0UQ
O+3eaRKpzUWVyd59WAxBJPt0iKTYZX2NVls10Yo73nknFYlHmNfvH67rbqXt/z1dDN+hyyqjrdaB
ryU40McLovMP8zTDjTbuwkQdYjHV2ec8IpjyyUN4vF5Xnt5yOMjuIBEmz3jv4zgXSl9gQuq9JMAS
aoetZpbsyUIG7XDIMEEZAdcSgLPJDA+L/L/CjherrdBj1WlAGE47Yeu3LuFgdlHr9cNb7QKWf3XS
HgRlGuBhE1mWJ9dsDeuzV3FEpaP9gfs3Umid3ycqKPZLUIGMetnTnKxf9bjZsXKMXrK39VDJ9GXZ
63tZVV/yFS73YhyiFOSVm8VXFYoQtsnL2WbuRbdN9P2mv88b53GoKfwy2Gkdxht9v+jLIgoexZz6
d2og1qEIMOqsjTdiZ7pk11IHV9M6EAY2JIDzx1TIDoRAiacwtHgwYTUIFRLzXV3O4WXpTiVCi2x8
hHBwWovxBND1zdTTC5KLGRdCnBwJjX2SuN462res+5VRnTEwKgBdL4VHAEAsTfePlmClGPTrxOwm
d40+5WE59n8LW+n0PoY60l2e61EZASk8F3Vz35bk2yxGH8s5v5ut/WSRfUXKuYMg8hAJFFOJcppD
XS9vQ5vdmBmFVBJg5T8H37vStI8N0vyDbr1kp1KAUz1gyhkpWJjxAl7Bx9UXcuw/i2YiKdUVu1Fl
n+KxfXbWhFyS6odaILtEje0u+lz91cbISiTdlZliqKDRNbrST06IvMbkw7UrCYCax/TvWKFvaggi
y1OUC0EL1aVr7qk6SAMgqHfJ7KdoXr4Zxzzj8dPd1HYkbBtk8JJOQ71kQ/ePj7B2NZ6/X6ItYCXX
L37Q/RRdjhwgHn5EUfvZVQMEC+XU4E/TTzdcH41FoBPisKjWgoyNYA/lI3yuE6p9Z/lqeziqdQ2h
HerP9aRXd5c2zdjvnQC770M3UpZcTo10Ltit72XoH0SKIEaLH0xpxlsKTGJH0hSD8X66w6/rCmzy
LiYD5iLtwnVne0zzC01mXmft99ST/6x5/dhk6lln4ddl4i7hNB+SRZNIuye7m1zIQl8KhzBZGE4D
x9zkNQkgHiIZFnlbkVDZqbU7NNCVKNs8Q8VOVmUf3laNAxrHtHuxD3kb4rFKjltyixCjIwKIydS8
S0Ip8afkHN47RZb+gNCEpqGNdJ9M1O9biANEwf6bTYv0rohW8lfYQ034h8mm+jjv9Y0OlA6EdCWD
oMCn/f+4U9UIqxDNZPGRSY8dn/C5xC1eVH6k9omqKp+4IFEA8ETcLbKhIqd0D3GXcXLiSanGJ7+i
hLlO58Hi/F4lraX5pAz1jrqTRFxFbUwEoqcbStcoDfKQJDMG7LdDrCXxBP02+nWHHIfblrS/8Mrr
lx7vXO4udsCTysN9Wczs322ZO87JZl2U3Q9yoAT2lUB7MrgGMC8itU//4YRW73L//9vEfUBNcH3F
FJEHEgQCOOTDqbJ21vFUnMHG7+t4fXFrnIUOsh6cL4h6qR0bP6eDaiYv9o5uzWzmnp2PfxELttNI
FhAC3A1TUoTsCvDUPpWNMt2O3aq/K8egThCDVQ3cf2+ON18Vdm1w3dlf8xM6ar6hDtWkj0M4I9Pq
3Kh7G9fBI+lIh/7juWKt1pqKznvv5JJJ8nlr4rNQZ2/Ry1O49rhO89eo22vCEl9h/VEzeZPP5WVD
SI1OjBd/r5yAZqt/Lw4y7lN3VfY1D4xKm3LBC+tifnM7MY3eBfrlMuKgSbIBAvTo0lzYudl8buae
EnpBL0QZkTIAfZXF1DVUKjO/o546ksPQMo2ieWuEb/mIeKIC7cspWV/IGYHUUIiw8+9zaWn5Zxo3
8hirkX6hXCY6kfPH9InH5fVpTEVCyLND4V/gu8vxWVn6ZjGTgvXaY+JVPSxRAUEkQIjbEfJU8MCM
ibbvVg9xDLjy3gcFcbA5uZfrdhv6dR7+ASbjuoZKN90rnof82FTHtF/pe12exzGVjGBojVn8EqMP
vTl/8lrXKdLR2ENMTlzVO2Jxbp7Oy3VwAr6WpSzorgs/rElYXBwPZj+eTL0rD2PPFPww2YY7ei64
yJ/g0qQaYxCQLFl65npbHxjkTQkLwWek98h+Z5mY+QFUPKRuRGNhbu318/iQR31TP45uyaCr7E3g
4Qy92J73TFXbYnZJUSGWUitJVRBl1KM/C1kDh+ciNnYXWwCIkwkJIt3bVdP9NdrncYoMM7NuN9sq
t19qHYYgeVA53kdNIyBTXebjjqc/mFsFNA69UVGcdSQ/jbk7XuCNT9NXZYz8roDEUc2A+Gzt6FDV
Hf5a24s9eiX/EsbZiiymGDfsATztNXGU6t9i3+qv3tClw3XeSzAUwB4eSOMu/C4CArjcc7HJxGIr
5deSOvwQFLJkgU9dzMnqz65anxpjmaZDKCmmfWlc+pYAbUZ5FCjW+hMARwcYUi1j1+w5AXirO7Pw
wti6qF+jeaqPkLFE/Om8WpDEkUpIe1r/LfIiaR/6Bmj8kLpLOD6XFM7dq+f489Zc5qkCywv5Ljdk
tYYtrz86oGw/OkI6P8qU6LLMbbPkBTcVZqZNLSYSOJwQTcIUmpS4tWkiQUkqZyiv7YgpPIlNRUsy
sm9Ry5X5ygv4vzskY1SentEE68K3ifviWLuRdf+aw4x3on7vf+ayzXgbuibmPuE2w+5hw3Z7Qc5r
GGyPLx9NE18+Jo6DxmFo0sR7KaTu6MVD5kJt0q0X1k/j5a+JoLD5McojyopLzXjD7Eh8yT+bdRmj
RzlNI6oIlbFg3yztzHLJKtHeTzn4XDYdo8b5rVyuq8nk6HQ6P+hPBf0m6+R9swVAzjX3VdvL0m9p
3M43z0tipoBJHMmZvaGh36+8Tsb0I+MGQcyk2lIWrOjjwrFJljubaTardqlVeO+u82wfpxl0BY6a
h7HhHHJaxug1gmr+tkJQqZBbk1/YfmEmzt5gW41cQY7UmqRLToYdxxAot94rfq/iXHTr9eXcXRC0
xw8kwyD9O/r+6u+lMW51Jyg6Nf+5P+zCUM5EMFRyW62Ty6T2ovYC3PEvMzkifja8Dpq8AUfhsV/L
rPM2d+1ugWOY91sz1+YYsuq4HcStzVrHp8IbmvnATmG6gzHJUt7UyhbVMVh6XCXwYY63kIcE45y2
ccct/dpTLbO0rcnLBySS/zha8TTOkHBoTSjudNK0iDU8u1QHzVHwTUq5EKiRD8GKyLwoJMpr4KX5
OPi2R3zLHotst12L5tj6AAUXc0/qz4ERbeoePOKp213li8pDfk7PsJspDdWxD/yVu+Xh40osUl0W
461HGk9yUB7vAnqhkBOOGpKVKt00HU6uBxFhtyQNk+8tl6QGMnHmRRwENgh4R3s8leIyVK0qv4wd
ZyMU56p9LVTKiEDq0aG5mFg8GygyjkDkfTpfDkukWfHpWKNVBDIqL2jVtpcWHk69HxvBtINqZdsN
TFJyTLKO349J/vA9KSsyu8rCffODZXuNtj1+fqQNU9WXJHH0cFgdVfAaTXbQeK/no+/YR8gFXlje
z2UPgC2KeK0+gUU19ik4P4tw3c6yTPoceE2F/mdhGMjbRd/PnN7/acU0reRR9HmzPKfvO2vMiDa9
jIn/dVH6S0aKnEusBBgX78eqG0n2nXOZci4h9Pt2f4ZFJ6z7uXo2cnEfrks/PkYZm9dV0ejMexo5
Nr1D47ftH+wD3Y+4CPwAQTcNrwvqloXE9avnFQ0XFVZPPG6WjNY7phKyEdtBTloCUaALdaqIFO6L
57Y+EI7bvK0rbkKkPiaue2REi1sC4m4NN9DMsX1yvHL4Cqe/RxEwOgqXOS8l7saJSk61cZ2JkZEb
ReCiDmoz3WPih6L6D4DAR5vR7VtZoZgHURcwIgIZ+FhKCiTxcCMIjz5XGmuqEU4WbZiKnaQkaF55
wTkSE1hM8dOY5qmlLKhl+D3NKaaQ9GW5w37mGhmYY7Ek0pBfMfNO9HbinYjfcX2L2dY/C8c63j7Q
k8bmdoG3NO7YmCnXSfIug6cRK4jmKNd1Je4Yckb0pcber3vg7BpxFvEcFvHvv/sv4AzffePoQaQC
6WJOD7Pr43fvV7+SckS5tnolhWKWicDitL/gKOPpHlUnmVHI5kLr0zVImwGlT93oYrSwVBbP2d9f
zn+ehPF9T0HXCzwBhTD4hdJJXl3QIB92QcAHUb0opeB1OLlH7yE0856rOKe6PGVF6owIOAyxIb+/
gHdn5n+3FdwQEUAdEwH3QhKN8vF+RCSheToN59NAnLL+Pjk6rF8dd2SdU43FlCCmIpFnqEy1X+IV
s9yuT7o91fSkT2NcVD3cgyU9xECdxUEMLmr/soJhDWMj94hKKEmD+/01b4/o4yVrTfUTKCO4Ib77
yyO0pnDzssoi8PAFpDUgSI+hggmaAQFfLNg/RVnsmrznvhYrgYkJw8LuDzeOEfZ/LsO6lsqaK5BS
/+fOZdZrjJqlOOl0Yf4nTbRFjS9kb5yqhUb2qa3yyHztSgKf5Bb9GJhr5CM0lzUIN56eKu/ch3Sl
SQDdfm9i62QMps9h72+bRiL400nCFfCQig6InBkwaXpXVVk2yZ0u/TgAedr+21QuAI1zMLD9lGIw
zRXTdhsw6+TAvD7XX21bs6LbIOUTygwvv9OQV1vseLCorfXr608qcIz7zJK1ziGN3az6m819+sRN
GNxP4SJa0ojerzOqZz418reYbAmuHl51MDiiZ8YglGFK1eLL7BlibIewqSsyYRJv+LzM2ulwhNq+
QtQxe/gsRVimP0Xm9Sl5N8YrSE30PPKJBiUykiyzqNOfWm92cqyMZEL64xB38Z3TwdTu3l/TSAM+
PtUmxoViHo1HSjKT3UOdtJ23XJYYekJqy8Y1u4P4ODuXOvdKH20BMGZ16I3eurp3RNbFVNR9qAfJ
fUzRa7SHINOxpNonc+cTy8ptmQqng/vQmoRvTYbwyihmaivGPOdtT85OoL9G8baRO0EzivjCY93c
BqNJZ0jrzoguTiZq4csmOuHndDDwSJZuYjU4ZeTo/YRzj/laTLBYLtQGJjykNiKjswe211+DsmFj
WJOei/TDjKRrZ4Q99OAPuNfte6GT5YrBCwlXoYzmkOzNhde4dUBzHs4/6/qVHp/UWLFNg56x/lyh
eXykVrBQzo9SGel5xzmEvEU1NrNcKITC9mtQBa64KmQP9L9HdNBXpywPZX2s3u9a4RguTvpJnf6c
5iFyDpm/xu5edqZIf/ZRLVLWJt9+N3hb3HhDeh8Z0SszyJyUWNCsJxHnebK3hFokd3GUl1vUp4sT
8oqVmD0QpjtmN13il8O175uhe5aFJefRn005I4ZYM80oIAfTLBpUW5AqQ/Uc5t1MaBhcjBNeTMHj
nEYaT7Hzg8aui+/oIHu1R4U2eIuGJRS0u21bS3epUtuqF5W1W5wvD2yI7+KgU8Mp68cgYOxZL036
0zRJqL+WcnanU7aOpryLhYEBDlHZ0r6sZcp7nzTDaB+iOAnpC0sKrp20NZlabqlzd1sBc0tqkR2a
A2NsB31CUqKRdvy4pNeYZyxsMMKPxue2arm9xo6sAON0kyXbMIYX/aZz8E9cY7Z3MWephUwBEU0Z
lAyaJ75yTRgI6aCpCc703Yyfj+MJKWTHJLz/QvvCq6A8P+3/pIB6P1E/btfWehpmOiOmAOr8rydM
oGs/mTx1WvM0ePMHD4sFP7U9IUi9vQT8B0ZUZuTPrtGNOJV2xAFAlW0Oyl7ikUWbN8kDDI9kG6QD
/FfwhJ3Ppet7825uZlg121y8uF4U781T6fRh9uR0kmSOte7m/NA4tM4PqhjyZse0dSXlaJTB315T
9vag2r6LXxGq1uAGjOZLRjVTv4VXQlMkcL403rITQyBDcg5zIP6GHs2gudcFQTfQfQ3JNWHjZ095
6ULvjVjO5QmWKBGtUJ9nc41efK4vqcdchOgRTlH0QiPBTn5l7vM2rc0fBlDvergPdzxADsCNBi0U
jPN+neb57oqBAqyq0/nm8gY27kWzhH+Di2Lr0MMZeWug0ScXmWP9z9CHo6dQQba5SOkjJXTFlCif
WtWknLI2oTKPFed6tf0DZmCV94m4EDtgexDAiDUFVio8YazfWiD09FbNMcS+ailUct15jAzJZUr6
QV4W0zhVd1E8xtNT6njjk6ks8nMLUtHuWKH9czSOPhMYPcABgG6o7pjvD49j2ATf+6wTyckdF301
t6KkMS5dD/tCesR8l8UV2EUqprDf89YWfxkyT2GWaot5YLsMBUZ6sW7uppDt49pnvn9JbQia5q0m
aTHjmsNhB9ztVdfwf8Y3Pw+Gk23r9tvvS5ePkzjf+IHULn/g8kRBYTdFyr9Hg0W0wapm1KdqdubX
RKzZBCwgmfnUoYK7LDkEQkznZpiZv/9k8yu0HvDAA4QVQiER0QhWPn700LSqKOZCXU+cxtNuCSbm
QSiKOK2CdqbbjkA9/eOg7EBeUUCk4p0O3fp7XRu2hjOgKjMflEP1bi03npjXvHgUHv6VECV5mXqg
aZirkN9YTHqBAFxHULCGpHUahC1JRAzsWG+QTrCIectNl8uXlNof83FoXCAOdZaa8dn1neSvEOQG
gvc7wAmbit+c2pHdcJRNnRwgdUXFbSb6jNY1CV1ILlPXbuAGruMp0bXtho7NMFseu8wq9WTAwX7E
HcyHS6ctRf7gVHJ9docleG3MQMxxN4bT9QJ98V4GJSJmCdCMQw/v+t+0xGu0L5qV+xC/M7sMWPRy
qqkQsOVKQpLAss15xF/AS4/wbIPlm8+U5OvvH6H8T8lJjc7UVVshrKbu/LVY71VTk1lZM49yHRBK
kA4aJONMXNi5lcvajr/3WbuWf1O21SgUBsrxh7TqoDREiwdYYT1GtSfNpPank43RltoYhOue854g
2CQNsU24EDVuzHPt5t2XPC1mDTPFqPTKQ4gToFA3pd2nNSZxF06hO+INB49R6Jm8UDmpnvbpxPe4
oJv0wocACUP03A2BwJImgmp5GdjMEJAymK46jnOFN1Dsk52O7GXjFsI6BBBkG2/rtxU9znIdaczq
hQp568O82gKY87UfQWvX1LsXuSfMCdspuSGaemGBnYcKydjIhBnsgiLhjOwPZaymUwD948FW2HEe
fBhkiKN8yjto5RsejzrHR3MTJsUPltdApvc7c6lcu5lJg3bg0Iexp5oLx2UjREPeDjDf3xkFWSrX
76wmQCCvWRtojL5pCzRIKSizXWeoaQl4d7YPQsVTirqJv58ZWmcMuiPB+GeqJkgWZpzNyYZOBiRT
Y2RjW+I1Dvn7cAGok8KVC4tQeUADQ1gPI397stCSQkiDopuQZMxTeSnAYuVV2pIc4Obi62ijJsTx
P3C7K1O15uSsrZse/FjHuA7IaInxTGhA9f+wcNVHHGWjREDJEew/GExvbN9fWjZ2wzko/Hy6RmmE
fDVgbX+q18aCnDjTgtenO+Y+x2O8YOYYj5wWX+XSRsq9CiCsuc+2cGv3eCZLwt8FDMJWNHgNNCLX
F+wBPPNZCfy3rigjxMNA8gABqPO0dkcVgCBBzmyAvdYI5eTDeSoDw6Qd0EkZzLSmqdwIrkPcbEjY
eczjTQ1+NE0b5sHNAOT2tbczrDj867PlivIpFZfRkjbj31Vemuba+M5YQu7fQI3CBphOALzAbzB+
dEXNHZWfMeonAWvhWMRCKRbl8qOvxeziOhouDlLiOmNpgZ866nQGk5klgD/aRjOpOXcYHVIg4tha
s5FYsJr86dDNpd/RaWGzO8BLZJA2CbBko+tm5YHqNqHlTEgCERSoxc6sq10OMbQsvmc+wKm7XMq1
qY6Op5Nyn0WNdK9Grkuc8HlwsCtwnezan+vFuToP5CZOr+AmsZYgkf/l1zkxiPahcoqQV6PU246s
orofrxVWROaF8cYU3bsQVBguSUNAsA9HEkdbkUaYR0F1Ki/Sys29vasCJLR+xBt86VS4hu3HTjb4
NOm2oIFekqWFAejkxzH1cDHsg3rFcdOWaDKQuqX21GhMlXAmCvOrDD1MfPJJtide5H1+KQMqv90K
nfAxKNKiPySrUdV1zWSquvBAph+Xpi3TI815ySa+dDG7VeqkGerhPlAH4S/ADO7qF/W9L8MEu1mB
zH6Z5EqwiZnAqCdNPs0jcqQZf1a8fMu7yp3L/Fuy6iF5TmuNVVNZMMZ+oK8a/+Dv8B719++qj7Od
4YQC8PW02t62jwc8BVZO0RGM1yFYon+dV13zqEVk/3LeqcpO7WHSOWd97rxi2NhgOCYnIk+ZfEML
NZjMk/xeQ+LbgQtLzEnsCjuW+TeLk0YaI97Sa7Pik5iX6hMdiD+ezpht7YqRlPgaZ8AwLc2jB4Z0
1fluVRwqPu5zODRMDlu/YmH+fl9Rv0AwUKxg31jL0M7zrP0PEoSfakln5bg3ZyZuWg0mvUbxVg8P
nk9ewc46OskwoNsQc8CEhOcdTDmO01lBgjODOB/ZdzaUcAU25idsYUT/Jul0/VjPsn3OTMtxApWQ
msZmIoOvifvetFzQsdVvagBUIdxkm/gWqPfoqbskgmi+lvMMT1yL74Vi2HtzpoybKSrXh7WYKwIl
kzBxn/vchOamUNzAP62GX0Aybo0CI6PO1BS524L4uBqaWfeov7ADbZTjFAcG3+qwLp2P7240IfU6
ymTM5MN55F5MobT3nY3HCGvwRcirLmPE9KBSr7Y7dEsohTCycZhpOwOYwq11Av9azKosgssorWMP
yNBDw7qMc8O9L/1V7tqckREqRJBDvLAl+UNAmWN0u9iG8GYpevfGi4h352YifrN/wOc2Jcq/UEKA
XkO1hNBDGABf7sIv0CquMF0Gwxh39sUCwy3MYDaUCcYOhZrgjGGy1tSvq1thm8ErVfR3ZygoSWPh
XK8Y61fTH5DL/14UkCElOA+EiQKq4l964bTgnLGyTQ5n7jvGWxRwaeGzrcdpBS7u65IiRNZFH/0d
QjVg5rr2a/MT3U1HfCniCbbX379F8mNnwJ3a5ONWwkuiP4cG+ktn0DtLkkqZJYcWh4EeEWZetj8a
ZphQoYkEig6MVOf1UtEOiE+hGm16JAZAlbdFmQviXhG+UVR5W/Xfvi+bP1zfRz7ldn2uNr5hETOB
oZv9ZSnLUYopnaPsIIrA6/7qLcUY6oeqpJa3kcZfFGjV7f6iX9SJhD7Q+/axMUgJb6ye7ZD96YZ9
vCCuJADp1yiSXCoZxkK/3LCQQ3AYi3W5ik0D6sLkBP+ksgvb5Glg6kK+bQI9/o6wdqKYcqqv7mY0
eXKqLd1n8oer+eVF3y5GuZ71jZIGadOvLhwm1AP5WcF8lUwlqA7kiNHtdooN+MrtlLx3ihwaHKir
Wo4JI5vyCQr8wGD390/pPQj138ePhp1khbVWuop37tdojqEm77OIGn01FaXzU4R2xjpV18WDO0UV
pt0LO8fBDDouH5CpTrj6UkCXHVTyYM7Xm/6deRFiTNCfoKNuXeJ7X2PnmpYzTROau7Bb1f1g6mW4
C5kmdvftoofyubCuatQOsw+93AfoR+s39ARl/YctVf6nigVLCQJpaNw3+Jyhycc9lVFe5ER9Hl/j
acy7Khg7dluSMMyLhTYFXjoiRSz1SoQIOPjafjPw8iA68PKS17h4jXqoc5qZyyqWyCjTZMav0MAS
hGsqi1Af3aDWckd/MFXHdlofvA25vE6BjdKDLlrEQGUzi+oLUrCA9Ovqfyg7rx3JkSSLfpEDTk2+
hsyI1KpEvhClmsqp6VRfv4fBBrYza1GFBQaD2Z2aLgaFu7nZvecieBmYLrR3DjtliPorkAheGqP5
7PSFK0oAlkOcHZWt1OvU0gM8m0WgqxvL7F+jscanz5iu3nB+VvNnhpf0ei48pJvOjQko6nO6csEc
062ind12JHorr78qAmrrDXap9LkjSzvYugzk/Z3pyAW/KNlKkQBwgWnXuPmOMwGsMz8LuEAMF2aB
nBEDBnx9tOFhldBpi0Q8HCIC0jlX4QpwnU/Y6Obwru9CZEFGystzAjDQI1f0pU9LQefSPEQL1zLM
krmDqUDNct3UI0nvQy0pbsyc3tapXHz801yW6U4JlTrbuItpc2lRd+lzbEqWOEQgMT4JyAHxluhw
eC7l6Mc/fDNP74qJTNeHJlCzubelCvDJI109uUmoHo0gZqhUWw2gDWPOfVYhxGI/14qhmNpggErv
B/NOSub4j2vrZD1josjwk30gU1xTyD295pRbo4puVyFZUbtzfeNaTvOvli5yGXehHFdO/Z3VQOPB
MmfO6GFQ/WOZWST2StO1hkKUiivmH25333p5SxdEu8MB8y12ZVsU5XRCWz88iLTBdJ30LhGAAOT7
4RB2hR5gktG5ui3HROwseuo5YtN6eu0KEdEXpFMy/W2Hfr+MLus6JYqHmNGykXFSwL3/nJLMFmaY
4bKB4+eadywu8XDqBsZS9/VAsc0tRxz/bTVl1PwR92iWNusDUYLLQe3PC9j/sQ1Si1kXmyrsEXab
95fTlDgWUb6kx+TSi5gQi1aHaijogwV+A10ad1hbITpWoedtUc4wbHNXMVpocFUaGoY+rU2Q2bcx
RP75Aj+KEWjkulAe0LKg/aKw+1jSObNVUQf35tm/nDaqJIi8U5bGYP7dpKv2NQYv52qtJviq6YPF
SBEucrQEHbvvJE+E4rTTlV2PDL1zpuvOiRm+F0IOnsOXMI9H+qSO1UHpQ7mVPaZmXWXPSvnlWxGF
SfQXZ8IHXCTt0AVYgyUBw4nrUK59aIc2gTflC3zl33s3S8b+n223IU6bQYfGvBQ5xW0CcSO6Thkf
+Oe49sbhtpeB9rY+k5dlu1cz8NfSeamQ7wPiDWpGYwcv4lx7b9cQAT+poK9QXV5KKykq9aq9WhZv
2ZSPWzOeqVIH1JblNfp+PJ3SJMNlObvTOPyBBtGqfpE5JUh8uChb//xQP1SEFKmW53AM5fy77C5o
Et6/dVJMtLhE752zxmeIxyaGIzW3BsaD4CEYHTnWKJwvY5zyQsW9G5WvEQMi47unOMb+s+qR/1/X
tHyYNmcGutRk/tE1/lilcqxDCiALdcx0V9RbFhuGzoQDyfsiTVp80jSK27Ov0YTin15sXMw4TThd
QR8+GaVN2+LPV/TBwbJcEWJwymaGSOglePff3yUv1DFi3rg+To3n0UADx6g2yAaXUCqpyf6m39Yu
rLvoBvKkTdF/Oc9ZPDJ1tEtZBhHOkFwdVO5PoHo4GyGIvDRL84yDb9emidiPfmd4dBI7tGRTKuWx
qAxYx5E/WvKqske33hhZB14tk7yfx7YL40MTqeZvOWHmh5URTYFncf8dA4wDJdXHWoph1mw46GrO
6zEhE3LpqUuUlbe2OWJftsq5Ts7TGHAuqxqtEcaHyvBPVQe+ebOKmWcTKf8dkjEG3oXRONdVHVKd
uHPTpCRhRCBpgMZrUf6D6RD0uZmRXKL+sqou5v7/HMOWQ5jDWuq6PDu6O7zh759crAwutbI5LSKs
Hx+LbBHbzigqODJfDs6hjxtpP3Q5HKPICS9SvzGw38quKPPvunC+r2LLdbA+hTRVtzpc3CFxON2k
NAbgiFMfWrsRXNJNkrTZc6pzWkNUPgZxPm6JlFmjqr2PqXNgrOY6IBInqFDRttjCtqtArfVapKX5
xcxbG4480amsprsq9Jw3w1EBb1YfGfGZQsFI2E8BI/1F4//7raKVETg0SDmMSQ6w729Vzo8K4QKI
M8MoPnnBqtfu2Y8JEq7DIb1r3A7xyFSlmoPscBF7/L8+s+VhYSyQ7C30JTlt/fbhN9WErbtV13Vk
5uNpopH5pY38uCSSgBnqfRopPhbDRwF57IyQ5ZMiOeuvrLSnxaO9eLnTlz6k8hIY5W3ujYS7rNI+
ZRvhdVlXprHrjIYqhpw5nnykZkPfmhNqgE3X6Cy6opdtm2iTneETZhtDHdVFc7u28f7yi3+750w8
rIAlnWEcr8rHHcgaYrsd89A+rz+htXkRv0/e5MfnhNkxMpAUtA/qorRJHtdzyepJsC4YgxWZUF2M
D3JkMkzMeNk9pHLsoNsIq42uy26KrZeI01EJUbjM9V6H7qQPnF/b6qs9GkSllHk693TnM6tkDjqI
6Aa7rqf2gzdQfDGzHcvjn3/40mj472ktsCEj8KIxSYKyAdTu/buGFI+2ES/DGe1W0MPZZZZ6S8AH
ag9WGCqbP/91v50OAzfAEMrgcRFuYWv60JxMC8ue7NJR11E8sgyoGI7R7WrydaMiyBZMhQGUB12g
h8cirNgFcaUY+tfqGy3nAFep7TrFj6GGX3YcL+O+orf5aLPOwJ3ep8bCu1hb5dLMWDJt1A7+ni9d
htc6KamIckKy6OJaLX/9n3/ib28SmybNCYYckm+Xqun9HY1lb7PS+D0mEiMWu9K01WPcs18eE9nR
gIqKuDGuvBxI06mwbfoGf/77P9SvfLzMBOlT0ZcIQE0AFnx/AazDvMeTTehrbSNr8eIQgZAzhovg
TNj8e5vmGmW+jgXoSJrdiKRjJ7ivZhFnj75HtXZG5EnhoSuD//yXy/vYp+DyEDjSYGBdkXTkPmzh
YdjgubEMce4vD6IPcSctqRUsGRIPVvnciSo6oVxJhx3uBg7JuSPTu9XjiD8LQXQ42/k55xg43lio
eMAWQi8yrnxZpPNdgwxfnqds8Qyvz/rPP+C3YjXwlk6i4Rv02rBTfFwcx2n0B4EI6NqKgC3uwIZF
IOvNBQCSK2kMh6ZSnnVXDQi5T9S8U8ec0h5IiPBL1f5cjQORyvqGRBAVnvOsbJyHfxfByxFPIBsT
z6tcjxEYoWNh3mGmTITfNUdUcrzAbNI0lEVpOdetlcyks+VzAjCvqYV3WH/3DOPCPXft6P3lK15e
4XeLBv1kH4YfZzbcp3QN379hZp6g3vGpJFLM3SjNi4rAK8Nc2iDw2he9GFC+3H5EHmi0f1mwfnt9
0C/YFvohDxTQ7xWgxitbz40noEeU9vBPlzSqu2dXluyFFi92u22zkY8qiRLyzmPFv7fYl2ewfX9+
Dy56pf+9C5daFFc0onATSiXtrmUh+I9XPjXp/Q9QRI5F1ueQ4C+z39xMkcTHZTmWp7QQJHmsVi9X
+ix363i3R52F0aDWJUwfhrrJLg84WO+RQY7utjQHWHRjTbe88iZ6XkFeBsT35S5RQwJZEvLPy9cS
1Z2HAJLuRT6jQeDT/lky8en/9sG+b6DjxfRocF5anJwDDJ76+9+Z5yp0RSDno9/ENvQYV/FlJbWh
mKt5zFPf/p3Tu5NPfYAYyXvq7FLMB8kRJtp5+K6+/fnWX2IE/vfWL5e0KNYdWqj2snV9FDY1NbqE
uE09glRSPru14ynLzoseQlG52Wup8pQwsX6obLnvKyt2KKEx0YQJyW+aSHrrih5Rj+C2ZJoRblb5
bH9Z75y+9tGSXrS5tL0XU34dgaZ7XZXYYzFGUDNW7Vw04oC5mmeGt1Aqc9xuFw1NukG7z//Lu4hc
A/xDDY7HRe++/kVrDdvphBe1CdsAfM/FT7q6Cd2IefG5y1mKzwNSdJyT5tQFW9BGMtyt0s2mHydU
faRkIEJ1Lv+DVWfYt5pYKidsQ+sGCAihZ6WZ+jQm0xjOaFG1dXU7w3BMNpIRJgj40OAioKqjDV2/
3Vhw/n+ddLS4D514DqNr8rvS8KbCwhweXAtX8kEFMQbbPz/Wy2N791gBRvKvpQSjHmGfef+m4X0E
D4BK6FhNqi9eymqcrWc7kzCUXDmxj4uLKGFdQVePlVtbSUBkaI2uYt/VA39oVmCPHlukkfF1hUBT
bYdLjZA3GNsOYxbZhOn0I/oyhrpZ8xJnHmKTJqR595fjqmFywf/9QXAfqOQld1A6i+Hgww/SFZhN
yw3J+LjocBeLR06iB7NuZHju6B9KUYfdoc3TDiLgaFV0IIqxiw/I6IruCF806HYzvMf4L0eMD3J/
Fi/flvZi+qAcYz/8eByzE8rsbiaJhNinMX0aBGZ0mr2Gs9CsEaleI/cKQsJ2Wqt74w1NBgxLU6Xu
Jqxl6mVszCn9Vjc6J38SQapHSXuRtMdNXX4SEQvZUS86y7+8Ih8yXOgUUTfy4Rve0gWAs/xhMaK9
6VViKIpz4JIlXBlWps4ArtKXlp1XvXo29CJ7KId4PwdFklyBQoqMO/YApj+gPZPiaX3JK8AiJpTS
YLhHhez8rQj7bZdivCOpAyUjEJu56IcabEBIQ9dwKjGbcUS/y8xxTk9D0CxQh9r4CXKXmNFoaTlc
6Ypp/hVCCRadP39Pv1eCto0vAujH4nBhk/pwFfjAKYShcUE1sKj/tsHYgm5WqDIeS5+eOlCniAjF
qCq/xSZiyK1SqYluAB6J833oK05dKPLgqx2hrgGG+/PlmUul9+7roLfKF0K7i/vEF/KhEhw6Qw0Z
wVtnK0+sfe53srj2B5OMK0+0bXOYLhLCzvTmdoPcerhrIId5G+US3bifmtAJbiI7Cswb2J/VeIKr
EsantvAMSMKJDi13bzfM6G6DosKNtlnn89hR5/lmNq3BPkSMFbyXKQt1uP/zb/vtEOAgv6D4Zogr
eQgfRZaWm6MJAbh8rS7UgXU+OIJ5wQg9a1/c079j2VUIBJx9OQ1C/6U6sT7u2lTYpouBmqkgUEWI
Pu/XUiuSKI9E2J5XWFdQe1SjEVg9WtZp3BbbGvpLuAOi0E5nUU12teUsUrnXTs/BYI8oYCQIMkfE
uMkcmxrFGnPDYhS0CDfXJbPUibGMrfqORJmL9tLQPa1vO+nqo671hMCtQTdQ5LNRHubSFkBFtOmr
w1r0r7byKRjxLl8a1KuC8c9Pwn7fQ+OlpzWAP4jDGDIILF8fitW0MgpQNBylBQzh5q6IvSK6IVG3
zA7cAcnenzt+/+bYHCce+xQRk9rIJEnFz7qoRbFRomd+FrsQkB8FRjWoSBfhVXDxrymFambpHqfJ
tDXHMZiuCimJGsPn8azdsnS+hh0+ZGk6AmIt7ShGoL1tevtE2XRP8r6KzTNi6wCkkye87JTyRaSH
1i6nL5JFnJoP46m5Gxr90Butx2TEEZKM87HgpM65FjWNM6VY2Nb9/M937/cdDDWR5PwPMAglEUX/
+9eo8rFyu90cXLt1wN5qJwRC32A1bbKTMboJrDYdPLU0942dSf/spe6ggm4LlGDlTZ/bxdUEgJhC
5S+X9VvbgkWDmEWG3XQUF47S+8vKJodpt+UR6Sc8jBAt5US5LUqcBNsJqztJDirV3XdYdip6LCgJ
QcOllfVi6ZGax448TennhZnX3fJkcvvAmJEDr187HVvZny/2d8U1lyoNXHILr8P4zTzaJ2OfNVNW
3wzhqNNP7YwHBCBZX9BPY/3N3Bs2Wy5rFS+tbaV5+SpYjjnjuRek4XoaXIkRGTgDEiwure1Vy2v8
21pbkE1g4tPpGNmIn5Htx5m6g5NJnl4/jGF4peNkIB0ziGpC3tUQko1rsy8dIweN37ZsjfPauIvr
Uvcnh6urblo84vFBLhiwZXPtp1+DrLNhs5jifhUckvRuNn3c5SC4wxvLbaE70FxgThcGHWEdZRmJ
bksLN+lOUzYT3TGPwZL1hYYZraO0h2GTFsMSsy7gHFOl5606uAJT19YKCtpuNFGSbZ/yEW7sKBby
lpBjzJgbU9atvnEGk5ztFTIC5Y17k6QOd+LPzxHOylJd/HfHYuYAl4Y9HQmiwYT5g2yn7cap01pE
J+6ur6ZtnRtlbwABkSoDYbyQr55cGqLuOaey4E1a674h9SiZg4uVlNeQR716/gbTotKmEAmH16ZA
i3EvIoay/1RzwwEgZ9D/PUO8js4wqPxn2zLqGj1mbX3NYPb4/H1LbyubrT47sdYTNr2WMlkojfB5
TPumu1tpY+WlzxT0dvWWUFS5e4qTTO/Wa4ndAL0IKFHsQ+tGNTsCk3MNC9b5gqLEvmvlHHkciZbL
ShDZ9E+Z2eUVOaI4S/Z+DOdxNzsBLY5hkFb3uLasWaxYomx8ff1TeDkDyTnmmOF5DohhL3Qt8Q+y
/8nZw6mfkmdoG6BG18vJMncKX90OzvMBkR6DpzBwlzu6ut7Ws9ZE8DdHKmFh08tsjxzHyK6DAayR
dMpPeD3H7MkTI1xDWXTIv/aOC2H3n7Wxufp+PTLeQNjP/OBDKzthfJHat4t/sniRZq+PbC3AGwee
AFqexkWfnI1dcA5Sqrhz34tweMnrMXytq5o7uUrPC3SETBpq5Kb7dkL0vYTdART4xGnDn29VLxP1
JjuiAb439pyWS3LdryoqvOLBoE1Izp0UX5BHBMFpPXfWdsXLIi8oucWh3l07uUmKrnXpYa7HURTu
nDqduML01ya2FLeILkOYMN3FsriuIYPAxYfcuKOFFSOF/ol5os+PgTUQSOaSSV8RtoS+udhYXg1n
wIIFcArgz9ffOxOd0xMAWra53Io9QIXo6/hpq5szL+Ipv5qzTvafVhtgz4dBxhohDGDFVwtjyvnZ
OXiJ9pPnqOl81FOEX0ByseuShiTZJKn7xUwHTqirt9OiMQ0MP0P3e1Jht/Bbh55rc83PCs3eyShS
cnln03xWvl0zl5/tzehVJvYlAPBpGe9UR+hbRhBcNsCMa/LAIixCxNuWxsB+qMQidKg8TGKkhxaZ
iK/zZKpusHzM286MeDSZDRG4gnbbKacDgddl4wMVj8/8x2mjE8SQaK+CJrxzEu/XjH/okAPIx6My
PmX9YH8vU4EJrG795zkaNYqeYDzXjhtex9Eob0XiY4VAQrdhusBMb87nO3qk8QEEv36s2mnYSjlN
FAiiJGcZwoJ3y0GNCKqQpOWh0vuRf9hZFcRrdIGWcDhnAg7IOozf2jSfz15CWLNlKHNfTHZza8Rz
7NJDr+wvZp/I74AvyN5lQLCV1EUYLkR8Ww21fdXWnXU9WaN9TA0+ZaTaQ/FJ29N0cur6BQtIAxQL
lNYOcFB6DZOBZDYoHZR3bXjXcMgneSzMd/Bz7P0oIvPQYLs0N4nUbwPNj20rJ/8xrEX6xUZbdGJE
Q64Lh2C9DSfIS9rSclcbzJvaRmQZ/nLoNa0Yz5mRjvt4VvEe1MWww9EUyAMNZHklGwNjbDApkjpM
i+x25g0/WIQdY9MAOzsLM9UHzrHto+jM+BRYnFOlGglw7M3PdV5G935cYTawkOex3N6UInkgioxE
ZKrDfZhOYIm8xJ6fp34uDnJiIr6LSxeXJ35bvW84SCRYe18lBqktIKbkQKc7+j4PpDSJwUBxUI6/
ZKhGwHr0KFO/+IafWU67waMz9ExCU4wUP3Q+Z14fXTlGbC1WVFYb7nNLtMCYz5umHR5mrCSbCDIQ
p5rC3AVRSkBVPFrzUU9l5+4hFKXNbhrzmmWHunfbcBR6MXITmJ+ZzcGhjCoLq//s001Pgm3s0KnU
nQKjnLC+za0LbNBCatfPcXMFJ8F7cwSp4Q5p0VdBKX41lozObeq429Crp9tCEOBtClu8lZmdviLO
gSrc191NyUj2cyq0V20mZRbXdkgyuBj1t7zDxBNZpX8soEXtIkv49abrNEphj5UXdAABv5WZCE1Y
Tyh3nt94jyUHnmEXo+56SjVZEejcuPPKDPa4dYyI9hbxi4Yeop9DYj+mmRH+zFNvfHAqrCXYk8cv
HFAKgU5mCPal4QzVZy0z83M4B4yHGKW6G96v9MUz+uAGeAHK5E48hWAR9iEH+h3pehp7iHcvPLNg
oAkdJadfIiRmsoqhEgY35xBB1D5OpJKffCWyO8yS9RGxwPwFAL6D25Ngz6b35lfMjeraVQEJTJI8
zMkbbXR1Qt1UbgjDXFTBlefOQ7hLnaWtjYzcSzeFUvyXXtfV/+SRF913ge3uDKNuznnkfrKT2nqw
qEhUCZ/Jpu3BWBVbna+JLVUe6fO1NT1Dtgi/0oUjAj3BvTFlBtGrMBIfQnxXsLOn6CGe5INNzM5W
K92c0qECeNR2BrhwbLGtiIBQFHPQb5WZtcfeL5NdNfXPVNvxo9W5v/x+GlmP+uDkhIRFWAgUrkKd
JfGGXcwjQUiNb5lXHCiF25shSeytWY7GN7c2iCnp9NBvIROQEOv20YtloXGznJJ8pW7IzU+1Mxt3
US371yJIm9eAnfqJPB+FqRC15B3SGGpEs2h/NKoojiD8GX7xGQBL9DIaRgHEFheJn++U1tZJSMMa
M2fY8Eq6altNjv9ixm50CMMw2s4sJ1RZUfoWEAz0ea7owC+aVbUPUAbwRmF7/VLYRM7RfGcp7GJv
U86iPNloZA5+UQ3P2vVvfbz+Jwvb+QMEpe7eGdCWEUMc7ni5rXsHXMNm7OPqCHd3oihuvP4mTZzg
U5YAfwya1vyk04b6m5r2h1Z+cerLsvypW+3jCmqIiBEmWSCNVxTbSurkDjaRvXXF5JMiTt3NAbbe
WEncd5t5UN02svNveSNzok5B1W38MBA3YmpIA+nphCuakUczHmB4BCMYprHq7zRGQaincXBbRHH0
2e6aABQed0SToPQ1Q2G1rYN4PvI1TG/kjGY9QSmkiWT0GAiotTRKmVx5PwZl3tGYKb4Wk7QgaA3E
KLqkd3Rbykt7m2sNQNF2AoVnvk8PRpob35wooq4LiYhSg4kTiUq/QSvs65awHUNZw8bxxMJHjfV9
ZqnuS00q16NSeEv3IAqSiGZy1h2yMfKfgdL5+7LSV0VY2kcyXOrPEoaJE1n9Xk3k9w7+SBfUqIJt
YTgIngoWdrbJ6pHdsb2yu2DaYZ8vbzJq0Y22IhiSRpYf2HTUobTUIcgJFLZjODmjMzMX6Ay8+ByH
jtynOwHz78VALNttQoZHd6JKEORwGGSqI2tvk9b5eMx199VptT5q7Jkn0wDeUQSxdXZz6LlZXH0d
WWKOcpjmXeK4QI/dzmnPRj6+oXB3b6kp7qaBdWGKBnFAm3iqYrJ189qjdKb83KL1ba+6fsi/cZJB
qkrUdUhxthwFS8DpcjoErcwOA+3xHSWAt7PcqP1al6G6g6grtzSd1G3Zt+KO97Kh8ulGvelcxq4j
9mX2ODNZbFxD+w828uLoe9NMyEUULl0k7PyTZfxwolR+dnPxyTWzN11qWqCg7GBhDE31qlU6LLb8
Pt5DnS++ZZhyrsBt+I92VroviIcTOKRZcyhqtWSajZwI4nK4Zw5JT330kx/YdZ1jEBpAzBJn8elM
NJx8owhPbIzFHSfxEaX+Qou0cvanWN9ByZXIaXJ6X1bW3inaXdfEvqVPQdcbB9fTytxkYxM890Hb
TFdp3ye30o7sh+VUj2CktRA+uzhiMFoWAMYpJlznLNC2L122Qs/wFkbKy5GY5sYmTGqCvgn72U6e
jMSt76BlVvuprr8mkMx2dY1hvYNnuK3qQD6Y7iQf29JtNqJu8vsG/toZ/GfNJ8IyYkEZeWWxmW9T
MKybto++GjjniepxEmyn5ZsL1JEMa06nIHkVb/QEBZljZFuH+QHOGplEDgBNDl5YKX2MlYeuSuEj
In/qT0laUXum/vzMsDX/YbiN+EqYGT8Av881YtfkxYK4leMkhaWQGpwQCuzTV5oIgy9hNZEajfz8
LRjr7HZw6v5mToBRMh8uDh5clmOtihyvUIFhcwuHTRKGJsgtkn7UHIccrm6VhLegDan9OCm/1hj6
bvOR0R6PQyy6oRzBe+ZgJwhTh314OPc24F1Rl7ynXnI/OFP1NhZYOgHw5F8KM3YotqkbsnrIHmiE
QMm1+FY8gobo3BEmHfTmtTvF1XmeSdBVnbp1OEt9IluiPUthFTuqdO97DZBjw0bs3PVxShyISNpv
KKnUV2HHZsjnQNhqEcsA6HA0bWaHC65HS2Tk2yWAhJX0niYEjnfYd0c0LsI/uYPv3zQaDXxpmTA7
8ma+Nv222VSJ8jbSs5prU4Hexx4JmTc13OspKILd1BY/JNTGJ7ewJcpWU4c7uKrTLhjKiPwJnHuv
Bn7bcyqFsQub2Tn4s9djNq5wO9OV3w1z9qVJvJgxdVtdRyxi0NGrott1ZscztPrgNTd7ICMJ+C7C
XZ3ubOBv3qMKgPk2j7J6oJ+dvmSmB4EJQP0W6QKJuErH9mFM9XSPO6G/kXFjH0HVVPrrnNnzLjRr
NlEvVfu8o9qrMO2e7bis46dM585hjvp6F+XtpymR/tFNPPqfXfyzqqPuVY15+g3fTbBrIxseYu6b
W7pUyckbcrFHO6ITcrUqhr8eaWe2V8H+npU77Wfay+fY9ie0ZpkqXpysCphzXrA/rSXZ+8zEZRST
97y1T0Hr4dbWPVrw+9JWdnCNqtrtsCJkIMCiXpvlBloCF4+zMAmPTZAFxd1wGYJJnBf5w5DNtTxU
kCxyVLM+qbwIVyNC60M85/thTq3gKoM9FnDkUUay6+zEareaM5J6WdE4a0d3pm8nrpPF+EVcbZr6
B5J5lhe+jSdDvghaf68GQXskAIlGFK9Y/qaeuDRMt/tilH71KR8mcdP2NkfqOsDW/9QEJR2VhtHu
+ErzhHaAlThlfZR6Dk4zIS7RMbG62L3HPBtY5zCDNHTySDT+SXQZ3aOWSfkO1UoiryNr5J6tVKGI
N8U8msiji7t1fJ34GVzWrKoJllg0s3SO0BMz+ehSpPLn0irc8jjESUSE1gjS516Q6tfs14n5qmn2
otHlgBGno7jXbaeYvYMRKKCDlL3Fel7D0TlEF/AVu3f3NSCbLrxOpnx5lJcmjPLbHgClb9QVN7lQ
45cVnzNe2kfzha82Kp92zdogGZ2YQk40jM9venZV+8rNJ14DjeXVOkMN6N37FZ0UQKYy71Vt4pXD
gXzhhnepK67dofHy52qWXnPjG9W4H0M4gM5BQrcrXh3QFTONflAfu9ZLkBY0nIEY+V8e0frUO9fj
Dm0quLf5gVQSOk3rLAmtCM25JJXTt0UPmN4t8OPxOqGuYU42tpo/afYuvSKRTG39K4/pGxHh6ozt
zbgMM66sKHDiBSGOc40pBv+0lTFWknbk4LfXA1qaFR70lw7qx7EoKE76roz2pUX3Hrjk+7Z9Y1Sl
0DQN/0VJY0rOjNtIqaY/Is0HltqCbq2gCOOjuelt+g23bOntj8Sr6/kqS5Pc27f8FdX5X4M5JbNk
XhPQdmTgrJBD3JNxHMorYFd+fBwIVGoPf/4Rvw+UsB+iX7YIN0Of67sfZg+NOVjay0LjPAgSQ05z
l1XlkfEarqAaKMXn0cd872wkG0d3Gqa84fhimvNtUw2atamcG5/WebZwuHHP65u8J5JsE1tFpg/t
JKIzOGZ/3leO70OnoeB5WzkR/Dg66j3dlHhHExJtZmuzqkwHB/ymf5wxyX9ZibXE7fEPD/D3oYaQ
wKnvXfoBLyZz4pLchKkq4fd3pMLseTVaTgQ0td+EIiDzZ9Z23vxlGoauvW+zvBTbP9+9DzNpJgJo
DkjtYT5qYy4Aqvj+FYiamsFEburz2nyGRNS6j0EUMTJbm6UrXW19IwMjzyrs/IbzREyQ9ZXHnSx5
GfQ8twkxWX/Tbn6QRSAvcJh2LSPbZWyPJutDg1/XgiBJd+qpFUvo81I3/tPojlV7zTJjjoxodFZu
QnT/JwP89i8x2hgQmg7/HsACqciBoSjcZdpzZgaLVZfSJ9WDPgBcUCWQC0uU4i/zJdxJH8cSgW8t
zgh09dxahs7v72mLer8fi4QK94Kang0jLW7IJk7TGz1mYJ4D5eeUwitcdE2oahBNzJ9oHC7ZQxal
N1gYiwna7TiZUn+qATgAvY7MhPXWTX3GnoUHy6beQEoapzudY9lRICottk76NDOSxPmS3uN4beWe
1BAZ9t0qjl495OvaKnKXOJwgwuFxtBGVQb5OsEgn9sYir7T/hYXcSJ5IgLP017K3dX/O+7xO93LG
eLLpLwCglcBQtoMFvT+MBgLP3AsBx2H4Q2CPNYuJH+tQrv8LxVFVvlytZsxgPxjkKdQ/GjuW+lYi
DIEVHloKPJRf8UKRUmrj4MR10bVvme8JzEPEs+Ldxw/KHKNpbP8tG8vFlTfjoT6ujJlV5bfC3ati
cJdMvEKz+OgEI+U1kzzsDvVKpncWa3fs+RCao2CRvvuk5ME39ktRvSDJ78RuxQWY7JLiRLRaTGK1
CkHSx5Rg8Q7bF8Oe1cc0hZxUdlnbTunCY+afLHoGWMfV+7FGAtirT25VKK72tPWqoa/x3MsMizOp
nxeEMb5c27wzK+QC+5XlvD4sywEEmWzX2TeArLY6tbzlagtC2xyvUP9gptqsSVuZm1btVzKsVD5t
JiPHacg8fOT3ZgnpGMd0oAEONPESXzGm7HQPCZubfzAukjSsKstLuTKpEILk8ycOhAHEAmScIvll
VSH2rGKecB5sfcukRaa8WRXjRjrDzDS+aFKSlPjvjYwXSg8teRwLz331pueex53MyEfHQGSlFJEb
LWmp3He2Fwf3VjwEeIkvKXVuQzV7lmQglvuKNc09EjyYgYRPHM37hO+dY8qG/D4K2A2E5uX/mi6e
ltUjRhwqorLV8lldHv4CjeMP/ataZ2Bob4mfbf1TFJF9LYHNwTihH+LEXXHoSkxM2QaCXwDKvhVZ
G8N+XjC8psoYV8/gfviLBTVCBqHDLfOvPg1X83EVE8frfRS49/hTqqx5AHrRpGGwqEbukAnoR55H
9h/ndhV32srz4W9JPTHbAQTPEkHpuvwvJlSgfo8H17TnbYPPOj3btaavFouKVlnumqI+5KQNeEdD
Mxy8IlbdF5tOeLW6XV//lfjrBnBxiBckHyr6aebanp/4YDp1dNtu8jY2Y+2A3GAxtY8DFm96QSm0
yFNpdKptNwLCZ/m9jPImPYqy6Tm5m6ZeYPCIoLnaKatm7i90v//h7LyW5EaybPsrY/WOHmhxbXoe
QiEFk1rWC6xYRUJrONTX34WImu5MJ5PR5mZtZU0m0wPhcHH8+D5r2927gCvrt1h7p+VDQuErYfvm
vXDxYch7YXzMdS31vkZJizZ3KhvDfAsL0SPpE6NVESFFn7O2W4BtW/dtzvzcL5a2Ykfbect4dM1g
iPd0brreUEnEix6GpfYPlH2L9PZCQZsiSknv2yRfxBuBOd+O6lKdw+bou+ux3BCgJ4/CFPN0mQt9
4FTbqThnfbBc0jXCQ1uwA+dNlpfVYFtkN2GAey65uyggATDw9JCIRLsPOorZX17+3gZkSoQBi4pp
S+hkxO96X4xglTKMTZtd1jgmZsewXtfXeIzijUY194yTHEzY5rPr+Jnx/qJxubRXextLDZu3yP/S
WcuIuFLD3O0Nd3DGGpI5RkR5KYy5FGOUxYiceBsqw3x7KUC1fKRmt1mWDbjIR4XZ8JGknL5Q+onx
YTCINfoQdGaM5foYxw8tkrCDixQH+04jwHX6YiDZuBYZi74gfU7+w3Y12JqbXdv2RdePuMkE9U1F
/YlxpwNXmcjNdObwAm9W1sa66CBp4XmY1YyRZfzEEuEHt3/P2bPlweX/X3juSd4DQvIHcy4/8G7a
6IScbk6PcTMF2t1loS2GfP0+U23SHLQaaO2RCEIT931HFu/wt1Ij5+7tvuakipf9OX4rdPQgO1AM
HXBcchCEdD4VWcwzhAUbcz+bNn5TMZpoX/3YG1np6nNBwYUwtNbmZnAZExFyvhij8d5pemubpmfP
utGr6VAv8/jtzF7ZFNErbtUIiAFRgelrFngsW1xp3GXnmkLXn+DCLXR+eW/pSHDf+RUmoQ8XxhTe
kjRxmcRDPWn+Q2d6g3uzNCv7ZlCwMt6NTWvNXFaZ4MRakiME8p84mrJFX3zBuC9Z+RJCL/Gu4Mo+
glxcO754PZxtGXGFsYsHt4TQMxyds1i+9FOXnnCKhZ5oGoKuMGu0uW12l+XNJ7vHVG/9fnDDCyT+
0jkYjjBRMk/n4S7eN9OSp8P7McKtDAPzTZhyJaqVAERUQwRU3HhQ4jEuIscknQmGmhSukdUF6FGC
j2OpRSwQdpmXCZcRRsf6DrTOFK/IIcziO2HIBr6dq4TgCjQGb5+IcaypxvF7TmnnEorLwfrXz+nJ
z7mV9RHme5woXCoMZV2q3tU5kiqru7t4Xs4kBnEMwhdDhKz4DZZJhtO9qWMLwR+2ZgJY60LyKcQQ
mPoakWGQcAkKcAagrDrnDNEdgEWX8cnLgzU7aPiMJkft7O8JrzaZwkHTi+UUr+Zg3tRd1wM01ger
CpFMRScrc/U8xCt0wceqjnX/roYHHzCjKYIPqeRCbFi7eh1Nu7gX8JL0vsoBOguXvaOYMxIXOSUU
H7KyiRjSWItnwYErkjHsG19Ub7OYyBkxjg2/IsVsYD4WYx4wqpYUcvixw1KqwWjIQyMrcKVfP15q
/jf0BA5GF9vaS1i7AGnGSei8ijRDtC2qF6HHXArigottY2X4mn0QBnLpI/6wa3/AO7NtQ1Pv2W65
MibkmL3NO7K9oAIulZLnQqj2HF/4RH4gBM5mMwUX3kiZbLiJe0RtYrkiApdFqmjTOUsgFTFNmLOM
3KfHBqo/S9MqkurONqqNiXTBUBtZF6TH1LTSco99erW8GrqWvM1/ct6SUAabnNuzMSFAHO+bVIXJ
ZZddZuidBn78lhsuCLRUwVcDwKx1ITF31rJwHUVZIlLHkQe86GtSHPXsm2Rlu/5rg4l+7M/Jk4IS
bf8zC8iElDWbDGxr77lqg9HVBumqhzlVAP1DXzCe95c03WXdbRGBLPaVY+4m7H8iFPN8NLcWluU2
aY4fGGwV0ZlrcUV226Ioyx8QvlHZ78Lzdu/6jjzkh+gM7P717P6BIeCw/nCGx6qN8hjqNqUXKhrS
dOOckdnDiyJ927RMRuzNjbj/0Iy6054uUrNLBclllcmLnpUx65uufdUN7jL//utn+uENOwYPxbGa
qk/kqkzqp4Ns1PxREJpmKF0zVEmXCkQwctp0xOCte4NlU4W1G6HHNxf1omnuZ2p28lONZa75Ofao
9v0e9PlQPlzyYvEZPL944Fw5W8EH2ddWDglUIFf7vxMunIlN4UR2BOXpCByRZfbXX+uHOgSH2Uga
iwaoRgC4Jx25BxYyS0PnG15cB1xPa75cDhnt+Rg5jE3T39Venpp/J2Uy0u1gcXtSw/cURvivMlR9
y92SUO0ULjNx5I5EOkvDlSeVc248KfObcAddGeJFeVB0qEJ0fJrqsKzXsjwOHCGxxPMxk/2igQBK
0EoSeR/A4NZeSAp2LI5aOer9mwhfvHjXjLZx3yNn9Hi8obDCvkAg4uWFWWNqhGn3K0y8OTyhx6As
zMydqzXDgfwNqBN2WKgcEkamA4dEKrRruyEZVitp76elK//iIJfN71IuELIDjiHt5wvr3fdbtw3d
s2kpx4nVfUHOLR4f5rMz8aRrNiq1qGizWx1bPtQt5/L0C3oAVAWpOotwCG9rv+YbgNPB+HZuGt3m
Kptag9shJTi6xYStLT5o/G4IHs9cXkbjSB1Hpn9eG2dCJ95ogqaiaciGPYnIat77A2vsoWtxznoH
rddu+p1pxPmQ7kmWEm71jaiCe9+aAWOb1hJbJwP0Ts4RLZ5BbIyWwwLNGfg2jeLWD518KVyBEcSU
THjxpewofTaTYoBCyimIIi+iCfRuTvs1xfEn2MOudPoHf12sb2VUpsHRskSF6XUBF+WI9yHK8Usy
QI9yfPgIswjkJ74oO+9Z6F6fxclWAwrgvsMfvfqSIUqAQHVBa+gZOzUF4/yX82i1UvtGglPctyau
2zsRjMl6s1n8ffJGuwt20IYwcLAWnfQSm864fCU+7xpMuDs3+SQ4Un8eRTTVp0u42flaou1ZBvT2
3o2HQENmMWV6frSHVSRvL88Z9Q2b+Wq5RRbOmkbBfDMu/XyTztl28u0X7q0qZGhzLV653WL2l2qP
//5z/n/xt/r1ZWHv//d/+POfsB7IICeD9Mf/fV+X/O9/tt/51795+hv/+5D+2dV9/X345b8Kv9Uv
/yi/9fI/etIyn/730x3+GP548odjNaTD8kZ865a333pRDOen4Hts//I//eF/fTu38n5pvv3ztz9r
ge01rcVpXf32949u//rnb8aW3f3vx+3//cPtC/zzt9vqr/SPH/79tz/64Z+/Bd4/bBDolP/Ap98o
9ewL07ftJ67/D/7MLAdOTs2Gvv0EF7Mh+edvlvMPQmsq1gA/U9Vy/qW+xkOB3/oHqzF/SX0Y8Iat
6OO3/3uuJ+/v3+/zvypRQhuvhv6fvz0Nk7UzBYJrBGerJXlU0oujK9Z1xewdBycpsOlbl+VTYrrz
y0fd8PfH/QfNy/TjzEPEOs0ws6mS67q3k7vq8fsY35fvv27/afTxr8e3pYUSu8wcpVfkHimhA4nT
INbbLhYyUgicC0oThVQ7RNfuQ56EOv/+MGkH7NnwM0Cm7nHuWbx3vm7FZPkW178SQWzt/DuU+nf7
25d89C5AjujYRy9oGY3GfjAQoJbvJj3T3ReLP1RzqHkroohyaZu3v+69Z16+DFUHj9OMqIbc41gE
3nyHMiQSe7unYOKyXDxZLR6//qf72b+/0fbBj76RTyodkjga4ylHGn9HAWNk7pu8NxO48UlmPhgi
F/keoXVFIgycucF5p0rG7kbpC8q1k36VOU2NMDJsvGjTrKzBtwYT5PZK7Hsmqv7sjUnhZ+OVxGY9
cn4Rc3+/J9sRchD93uQWcgtqqKcRFdniaS9qLgeAM5gQkBEVxCD2rlS/PfcKzac9XMRLyQFtooep
Ht9bXf3dc4AdK3WffFapWQgmfxkcaBO991mvcfGJyMNfoUs+9+jS0lP4Wer2Fo6ZuZWm33T2kReV
hp/tlZfzTPPWNiYfjb1am5ymTRznWAze+NFA2gWpYfXUFrYz/OlR62Sws6YxW+dIImRdj/qsAThw
m7q+RvN97vGlxcZEXOYvRcZiU9sQgxbXne0dnLviGnvpmaXzzK159A04ZE5OBmsnLAukUW9xVGjF
Rwu2k343aEngvYFMYrm3SiPJkpY2LBuhMPaYqMBi9NzXfdonw8cSFtl3tfalW8ze14U+zXiKr7VR
4oVua5Rnp3nfXRlMWzs/mehnHPejzgrQeBcCF1lg76S9TxP3+ggopwURS5smdqD4MdJ6YtmkmqnO
8EJk4eZwg1QE1cdaGcV8bNJhmtXm9Zn2+ujbtPUI4X8u/bBBGf+erHDyqvLc4P2v38VzfSWdf6kX
9Q3kAEFoaiSOi77zLKqWl7r9lDvcql7pqufmh7R6JCTWuats/LBDIHarlav+CjuZ7hrF7Znm5bRh
HaUcdijcQ5XamlyzZbP9xV3r5srG+FzzUtxCOWTN7bZLwq/gDQxFDPJTUNh55dD+XPPS4iFSq1qK
JfNDux9z3sHic6tD7Qlqu1+/4+c+QJrPeaA5Ldcyfoheoa1uG8OpqCnLvHV6rfYB0oT2zMXqDY1a
lQBazEePJPHrOY3bRfH5pYnmLVsBDZiIsEHdnt5w2J6DXZKjyFSbYuck0aMpBrqudQez88K8jxv7
tkdS6O8QwHbX9uZtpPxkRZKLvJc4i7nr4xW3qFu6QxaDD3pdatiw3VHkD+MfIPNSfYb6aP0uqniq
rqzkz8U8Z4Ljo29WzDFqPoo0Qq5qi+YugaOB8/nKLT11kcOEpeuuGoC6YQPtNiUydJTuB9eerPrd
qA+uUOtgQ9reFwg9np/Dsiw9TRysdPKQXlMS8evhJyUY/xW5yqgjZxzmtDXbILT0tauPqxGN3NJE
61rcNIBNl1cxtkLfye1N5Y29+pXzcgaeVT2YgEiyz35ODu3Kozwz1QxpqhVkNg2SZV6IwGsKYwT2
xS7mXvGvX3/T55qXJpowOhfz+tgO42b2v2CH21D7qpVq65yxfeqjwUK+ucpITwQhoht980P3KefC
FmvprwyDZ6bBWXz16AP6tF1w2On8cIDRY+L73HX617kxNls1kzJLcjaioWp6dZv4z6ZcweSp9Zv5
9JtZU1Xwljs3RG9eil3TmuBhF2FTsKH2AdI2utpr3gq3844CNdgRhVZ8AKSoHdRal7ZPNwpAx7Xz
GvYiHsK1otDKpaDryiLxzKCSURyuoSfaTCyJQzx3KiaQwkO01KbaoNK3sfDonXMs4QI+rdfQ5Ny4
0xPjUwVHSe29ngviHzWOP09lQyRfw9hbhgexVDr7Z5sYmWL70nROgDQ0VresoRaVwa05zvkhgmgT
Kr1WXZrNVjM6zZDT+hCZ9n6yQOj1pZEqPrs0m/0KD6ARGF2oUUq6zy2U/W7u2WoDXreevlYE+x0u
hv0a4l1WnPqgivejY6+nX/fM1gM/2S91ab5WEVyv1dCmcNKcb5wL8/Fko2OtwmHyrsE6nhv20pTF
H2SssjyaQouJSy1NnR0Nu87Vzsu6NGWxdbDsaXWnEM2Je4srrjhkeFgp9T6o0qe9bwxA7/w1E5s/
i32fFqX30MyF0qOb8n0GO2mU54Y1hC1UNRQyjtnvvWQmIf7rl/vzjofv+vThnYg7Mm3DKjQQB+7y
IR5eiCgqlCYVVPCnrZMf1dCwZMOpE/HUv7MmxBqvnM53E8W+l2ZtjiERZRImmvlYrPu8cb4swVJd
GfjP9c32948WNCfTcsyCovEIVg8lQi8wRA0owFTreWnSWpROoZnzR3pe+9KZBGBVMEeKr1Waswjb
Ok3r3b8f3TZbc+eMXAWpPbo8Wx0/En5ijFsZ9Kapo/VevWOk2QpgosGBmdZnvC72ws/FznXNqxbD
vLwfVzPcKZ6+1MR2/Br0E63b5rcW689TnMZqqSfTl/bXHLmmn8Y0jkatDKkr5ZItd2el2MD0pbk6
D0CMiiUfj86AxmU2RnNnNNGgtEVBgHvaMZR+ILuydHGs0J7sqLP5hoTHUBsxsla+XzvEw8kkjmWe
gK6wnS/a2F+zE3pmnvrSPNUjB40hplhHjwrKQz+nf/RbeYvSWD/r6R8tAi1y2oxIWBwzSp1Qt8Ob
FijaFFs3n3a6Z2UaLjSYenuBMB56rkdeQ3QvrpAQn+sYaZ7Ogtp2eG8iXA0uG3drBS31oA2a3yuO
GWmqmniClDhJjeFibyh+zWochLDm8KdS33vSXDXApqCBLdlZo74AodMbhz7PFqVgmOPl074XXYRe
ZHFEOATW72iV3/S29UbtweWZisC+XBYNv8hEe8ny+GUxoXiptS3N0yClsMlAeIwyPvEpE3Te13lU
q71QT9pPERNrXeBTUq6liA5Qj7/wzFZXfHJpnnJ9i/xu9rUjIuS/0sX4ZDrXKKrPjHRZuAICNdbY
r5eQZnvYBWYPtWbprVht6fWkeYrjsUhyG/QZjCX9s41GCeIQHHG1SMOTJip6JJOa0lqgu+nWQz17
X9HjR4rdLk3SyE9bb0w7ETpLt+zLsuHR82s3r890vIwNDXC6R5yPMyq38sGDj8j7odCi5pPSWHel
KYoMdOiGLmU4JpBMrHL6TPmP2it1pTm62nWAS0Muws4ZrZ3hz18QWr1We25pjtqTPU/Yf/LcWf/e
FssDNTBXrAOe63BphtYTsJHBiocj5aHaXgO1jGBRLT9gnlnajzY7AxdUDymddnT14FW5eF/8binU
lpYz+fBR2xRjjKzm9AkqUlTD9QnxkdpKLtsZ2g120DNJ72O9jgCzIPE4ajuoXL8J44VKGcxTQmwK
X/g1FfiAu9TGiDQt02KYEyF46Kb8QGknGvSPSg070q5ZQLpp1pyXaCf5124O3virq7ZOOdJ8FC2k
12Vyh3DpqfhYl8EMM2H1B7UHl2akVUEXyTDfg9vFXb9Z5TdBFHxWa1uakXmBPy/8Xe3opES3mu7+
QcWx4sbmSHOSgd22gBqGMEldfNV7WzsEgTeqTRxnWwkeTRwK0j0keiPOmO67rgZ6oxhJyEzlJE7g
6CXLEAoftcVk9VT6tu57tQ6XdsyJC/IFolt/NJIGZzgu3ykDGxRHirRfYl6l56D4+6NfOK8t0fyZ
2ss1FOvWrT85IP6g67KdRW/9oD92pfXaoe1ZjIpty6IuY0qR2c8GaWPT0l8IP87uWnt21XpFlnQl
vT0WxLObherq7lY9+1C4yRVM/TO9YktzE+6UPeWUm4aztQzZXrcjPCco+DVStaXFliZoM5V2xF0N
cFm7+UObxk9cPnxQGoqyWGsE+Ny5gKWOQsTOoYUthi+16anFEfbWY4+mZ5eMHvnomQef59ei3mok
W8UZaltP285KD4RMYvWhn1sPBYLDI0USpmKPSzNUAB5xAzEOod4Ub2ygFIDD1IIUWf7UOVqFOLns
w62YZD+VRrc37Oy72uuUNs6FG4XeLwdYcoX7Je7nu9Rz3ik1LSuf5m6Ict/UunABN08VrNeeNsap
WpgiK59qZ6rA6tI6V0jroVrrl57Vq93LYzb0dKhQqtvn4Lu6sEafApNJdNq9NurLW7WekabnpKHC
bm3BGx2Xv3oiuLn3v6o1Le2eAxtP0rh1H+Zu/BYZ/a1elmrjUBYfjRFImaywO4AXbXIcp9g8YFT+
p9pzS5MTH6Wo72aYhkHSYLG0vCz9a2Hn9tV/sgfJMqNJIx88NjC5k3J0xK7z3OyhdRsgjJup7l7t
+aVN1IEEU+WwCcIitX4vEvsToKf3ak1LUxS3aSo/vKhj/o/9zUgdC1W6ttpVHcVoT4d6DJor7SyT
B7eNT+VIsbatNR+VntyUItyEktG8w7Y6dMzUnqgTEIu9g9+d5Gqb9Nm19NF2YeMb7QvMBcCaa2/S
0nyftopncdlBpkidlgMzTUdL8GbQ01eR5apdQ539rR49NWiBqMTnGkh8VJqh5pvDGyOeUiUpLnVp
T1+o6VFwNqaMxEhfgUB0bYgxlJqiC6TM08bxStLARSVdWI2NvtNH79ROsWJ2WBYrDZ0twG/R5SyP
9+Ni3hfOrDaHZJlSMMVUrVMJFHpRXO28dbkPOqCoasNcmqABo0SfzbwLYdK/3uDFnT6oPbcsL+pS
bifgtrRh7/qfUqN7U+St2iFOlhZFM1XScZN1IVZVLZ7N8YQ1UumrrYey5H2wMujSddByb5O0e4AI
b4QWqIWgshRJ1zlnVVjdh3FqQfibSFQcha65ih0jbaFZRtnimC3Mm2ABcyJc922R6qviG5Wm5wi5
OUIM14b4aZp7o7dfspMq3p7LMiShUUTnzPDk+jqglpO1dtnQJX4w5mo5HPn2vyWP5WuibEKry/zf
weHPQCfL8UZlJhny7f8AGm1ZQQ6HlDpSscZ99E5bNO+o0jrFuk8XL7S/ehDPFeMmTvA7qEj8AeG2
W8U7kLOI79G6vuTYQHdl1IS+1uctth9N+V0E3qR44D1LIR+1D0Rct8FfUAGZLP0B7DQ4TgxE1U4w
sljK82bQs6PeQHNzzT3w3G6PY7ri2i6LpYYC9WBvVU3Y296GGcH05Y98ARGqtgbLeqk57dxumumb
OoEwkg7lh7kw1PZrXQrXKbgFcOkJ+r3ym5ulB/g5FXWiNObxZX06Kkdr3OzdpibMImf9BHEhvrE9
v8kVO0ZabyzWeMdceK1BFbX9yRN4R++cqIYVojSrZL0UF4l5XTUjPW/1023X+R+g+ijeK8hyKS8v
TQTMXRN69vAujSET5cM7teeWIvY4WiarKOI29Krg96qejF2CoZhSp/xQOd0tGnf0BQuZM2If4RjN
HUCaK8PR2+KKHw80Pxgdt9gaOY1v1iHE9Y2EXVYZE9ZL55yK6CDOoW8uANDLvrgFEqdt7Kykdd5T
4ua1r4Em9ACavNK9ybmXrG+yvLLdnVekJOPxuPF16LJ21nYfptbEA0Bf2ir/o04Srd27BJYmMCBy
7UevEbM4FAZZsr3LLfV8C8PPh2BOobJ9G9UZgABDJ5vwWUPZu5wMcM1Arb2ZNqciHdZTDLq8p9rO
XMWpNDHqO/RjaVW/z55tR68H+ELZ1x4aeBv6qxmMYTfzfQ/NsDrHTB8df19Rew+He/FicQOLNQ5e
uD4sR8w0VvMdYpVpN5pud9ukfbeGeh3geAInbLQPY2fHznHEJYcUdpGM9j4GVFcTzwbBsve71PJ2
ZY1D9/0E7zW4LSxjsMOV3p72jpWPt+uqlS/zgrN1iAI0AyGO/9L6roBE4ylFIbBCni4LXRmP49iM
dZj7sfjY+e1KDrXyB7UBKotr2iodkM8HYBQ2SLxjZi9wpFErijFkbQ0YI4BRPnDOpW6wIan1ifLw
Vk/VgkussJ/2jVGlxqpZWRNi2OrMR7PfUN8erlXtQWVtMGSFzVC2U6QlQx1yP/B9auw7R+uvVWtu
C+9PZq8ssGnE1I3t4tVhgqWQvRt6D78/Cx/i72rPLh3RRqddrVGYTVi0EHl3Xt1aXG368LMUh475
tPenpioMfQbEYOmGvRPelB3TNFUNAaV3W842NrrCqkPXwaWNjRfjAStQe/RA2mstO1o4QBVNCNv3
W2Tn7yIvVZuvgbTPjtxAzoXJczsCr5yguIPar5QUN2RckDOiyDLInIbIZeddpAUQ4wqjVuwT6XV2
emy5OZfVYWxC+pnz9jtmSO+VxmIg7bEZZd1j5QFrEYtoXlI5mN7gFFgqRU5GIJ27Exc/o8p0+zDu
cvsFAKqMsmoxfFF6dtnpsME5LltjtnDuaLo9ijJ8AbRJD9Val559wlYKp4AKD/O6KO4A6znDzgX6
pqbvx63i6STtsypGyFQzHCvh3WFWoP/OmXZRSgUbstrLw95oLWGRh6Sy5tvIjkTo6YOntvp6UvYd
NJYI0m2Wgp2GTD218U4MZak23j1pgTE6YxYz5+QQ5JX1LUFt/m0tRamm/MQu+WnHO6ZVZUmWN6Hj
eqN2C5ve2OvRNDlX7g6fKXwzzqS5R6dA6kGjyIW0Fq6FYXXvmzyFXxd5ldkcpr7W3lMR9lLTAiA9
RHF5sI8DDnQnALVOrfb2XekrTh60kqrEZCTtZu1rmU3Wn53GLqA0M2TZTJ9h6wOFrQwJgV5643pf
tPEVssUzW6+smsHyDZwnvj1hP5vJnVF0/g7yyqQ2pWXhzIQVgj/mVhlauV/HO+xk27vEE1WilFID
Jfh0ZFG/7OoiI+yfljbx91qZwf0ok6opTko9L+vyYMevHLe2yASzvwgvvphyv6VdBl3xG0jbwQrV
m0pgswoty0jzzcVhsndZbo+K+/v5xPRobmCZy7A0+YBFmKjFV/GJook/lXpHFucVQ7ng8bdWYdNh
2zPH1vd1cBQfXNbm4Qlr9IDVynDU7RPeXnem2V85Lj436KXVtASQGU+AW8LBHvt9rtnc8EzrW7VO
kRbTISm62JjGKowAth9FYsa70kkVQ2VZMGYHcw1PTy9Dz6kynK78m9w2FrV9wJV24K6p4jgK0go4
dTK96LvS3ntw1d78umO2tfAnUb6sGwumfBlxCyGTudotoY/ex8Gx0A0MSFyi2+r7rz/mmZcra8j8
xY2wao5rDESsodklzpBt7xgSr9peLBPuSxx22jFIWY0d850Y9Lexcc2y/blnl8YO9IfB1/GDouTX
cQ5pRyof98xK7fXKMrKK5VfLUQUeDa+L3o6L1ryrEketmonT7NO1uEgrQ+hmX2yLgf+mKS0nHFLH
V+x0aaVvyC7oEUA2LsPJStSt/0az41SxY8ynjw4TslrEkhYoBEA47Sk+bL+sBb40iu1LizzEmChq
hq4I1w7Dpip/KL3kk9pol6YstiTcVlMhSNFqHUEl7cX4bbLgEis1LwvKUvIIVRJt3d74EXcbwINL
1xFqcY0sKKtNQI1rx8NHcULayTBx+81nxaVSlpQF7uotTk/+zZgGYzlUKXqEfVZV2ah2CJUlZT7m
YQ2RbREaibscsNzQX9fU871V63oppFzclJP+1GqH2IjnGtcsQ39pmo0jrjy99cx6LAvLXNsyZ9cV
DB1XOOWr1jAqcZPmY9udOIgJ8+Tg59kfcOWYa0wZORW8aDyMAb+YhoVJvWuut56tLQ7g9EiA8Frw
xX1VVs5s7su2XVKMFIEWf62jJRWnqiHK3Asnm/+0Stu+H7EevFswgjxZkZhoAkgFrP8SP9v3iUF9
y5t8A0m8r1K/6Q8c2OyVn2IfmugoP19mTaKtB/51nz5gUlaPahGNLIhD19iaW0HyMY6M7OWIj9YL
M8WaQHE6mU8XmlrLndrWxzw0Z/2ba7Zv4OG+Vhsu0hrDWXPB5nrKQ2tFZ1uY9q1Z99dIF9v+85Ot
+2xD9CiIxGa+BCA952HbANO47fq1mA7BgurhMBGq4joduEWilmWQRXJGGziuPTp5qDU4bdr5VJzW
pog/KPWTLJLDV0hwRrTycKzt5ICZ1SdMKq710zNTShbJGTo80bwTOexXkb5DVW3j4RzPf8x4p1zJ
8Dz3EVKIoIMWj80GvG0/W7l7SIa2a9Pd2JFsv00nKtquHKqfCUVkmMyc6a3orTo4DKWdzngNTB+a
Ls+vHayeGVHnRenRiEL9EIvRLeJjnA55fhLObCA+04pjWq6Y6CEYV8yeyhq9OCE1E3UF76QyNXR0
7ifWOcX90ZLCEg2eCXmGKg8NbswGa8LQw7iy/j/3oqW1wrOQiq6U+B7yuPWG26DonVPtB1zNuzFW
I0riBWMDnD5WFzu0jauFp0EBASRIKX38OWg9tcpZw5Kik34J2jTFeCb0PGc4Ien2d1FiKJ7+ZZ0e
dvEcOYWRhKnt25gbLuXBD1K1xIgs1NPdxsC4t4gOxpje4WuJGYyr1ueyRG/B37GvB5peV/sYBVjV
pKZawkWW6C2A0NI+yKMDrO97z9HuW1cxSShL9FAt6h5jJTo02dTeZX0/hJpjvVNalWWFXuR4yYif
DYMdQPyxaXCAXoLCPqm1Ls1SPci7yMFeJ/RSjEUR1X5q40WNPWvIEr3Y9WJtxGUnLBazOIlgqG70
tlBTuhqySk9bZk5aZZeGaZa1hybxX2he9zcz+lkI7DNrvCylS3C7xqUC79ZqbLm7rcOsq9U2cVlK
tyTzHJcxgVQx4DNYiUrHNcy5sjQ+99xS/gYT02Glwo9Rjt3cDtXYHiy44polS+mwUFz6cWjwC/ZL
3D1wCWp3UVfhqKg0GM80/0c7X1Au1FzkTkChVY3DvF9E3X0956laHaQhg72EW0WV11rBoZxW7q7e
oAK48uTnJn4SBspaOttduXHCdj3E4dQa7/W0dCgwioFtvoeUVIcYxeNI5bVj6Rxd8snTvh2w2gZh
2bjLqRWB3h6xyojNP0rPMccw8q3UU8vAy0o2rMgNuBvY1YGaHOLb1NJ9cUz6vK/UMhCylK1K08H1
jcQ7zF3isoIsmaj2CR4BltrZQ9aydUMuVhxHxVHUSXMsfXs6NIGtlvKUpWzEVI7VWKU4Ghv3CwNs
KrVtT0lfbchKtgaafh8NND4K4MpFb7e7ujDVdHKGrGOzE0E1vKjE0cyMZm9hNb4jI/FVaTbKQrY6
931dt6LhOJpJufM1jQKu2dbVNh5ZyBajNdVtDRepGmXNDjvO+GXhWcNHtWfflsdHK4k9NY1luO1w
1ALS73a+xsd0cRQ7Rtoz024yai5ihyMQSfM19sf5V1dfPbU4RRaxYSk4tYMY+2NVucUetDREGDtS
o5784PNSBIO1Wr7TH1Nv7k5ONAAA13JFsYes97Um01qLfOiP1lQmKK6G95RXz1fW2J9vbbos9xVT
CzLLW/rj4hnrLtfzDkNxtWBCl2FfTi5czWrp9bUE1zINy3e9S9RqCX8w09XWpmyjwhLHmOoZTN8T
bJ2xCdyrjHVdJn2tlEFE6Ujk4zXmVyxg3pWJqVZercsSmKQkpVw3tjimeqfv5saMjlGEjO7XT/7z
c5wuq2AKI2/NvLb8kxsVzvg6EWVanhbXLDBt7Rp2wV9/zHMDR5qv0WhFtpHxJXAI0g6j6cT7ahZq
ihgdR4snS02DT/wwuLQex1V68JHD7IN6+Uvt0aUzaJ6xHKBn7I7N3Cz7FIvdQ19GShufLitiAgyc
htJxuuOYi/FUYiC6gzC8Ku18uixJXErLdddu6rAyWouT0ecfViNz1F6pLEhck9LGW7Fpj9iHe/sS
izmcSjs16bwuKxIrb/EGz48aHJa0bp+tTbWzmkWN3KTLesTItovOyNzmmA5tgoVsWewxT1ejCv5o
jW0spJy72D9lWbW+X7E3/5jh1Xdlxj4zlWQ5YmRNkyEQKx+dzqAeZQs4GtO4liN8rnVpotqGQbp6
CYKTrZE6H7U/MR17rzSRfGmW5hwfIwwuPJy9LKzAxxWZ7ICrupKeT5flX0ZRW/Wqd8HJacoKIWI2
u8kL1ygqX22u+lK6qMETlii+CU4BzoxZYN4VulokpsviL0Bc7bCYNF3abH/bxXylpozVZeUXBgpp
lHhtcFo39FE+GfbeTvxJLSCQlV+ZXmA4ttQ2Zu7RTdU1rzFdVxvnsuxLd1C3WGVpH1wEP1mlvbCr
9I3SSPxB8gVGKOmsyj6YriiN0G4K6q6TqRQf1NrfJtej0LdqjDYrRO2d7NqYYZzbvX23lepd4wlu
mYQfT7q6LCzC86zBPjdycZHW+psBZ7XyZe/pcXykTtWLbuNynZKHYY3+g8P1mQDysw+Vpq+3mFE1
Zm3BsXX+/5x9yZLcOLblrzzLPeuRIAECZq9qQdI93D1GKUKhYUPTEOIADiAAEgS+rXf9Y328qrq7
Sv2yqi0tcyOFnOFOB4F7zz0D0p7LZOiQS3yQEk/dcGzrayDyMo/Ik7mmMONs33uvp/w8D4q14xGN
dS/HYghy8+e29lH9NU0daHdTDG61LNIeMZauQJGjljvJEq7uN1O7hJ33KMsXWegwNFFXxKno0qbQ
NlcohGaGrw5xnMvcfFW6HdekyGTejec0SNg9Vx4Nfd5UftmcLqVPkYcHCzm3dQWVyOCBzbfvdjMV
CSJLWVYID+92eUqUZPCmHwEqWgTLdXpY8QZNPk8fFBnRyPR5z3+OasRf63XJtoqBd54WK+6QLLfN
ke4GwbU7UpckogynrzNQ1Xwtdo1uADm2nDXt56nLpPg+NiuSeCDkDLMeC7h99f7TlS12UmH0ezHB
NMqUznUmkVUO4WR9CBjZkEOEdGVT1hwrTZQbc56OFdkCjW8TZPaJY0fXMEJbtcz+BBv/qcyZ2th9
H68dr+IudWnZ5mxBFcZHXvERBrjFvjRsmcDf7Oe2qaxAv5+XQEj2BjHoepl0XiDgPIduZOtu6ixH
2Yi9hI3rBd/W3HaF5qjsCpEgzb5CPh35stgR+YE+7Pn3tUOu3lHpmcqHoGHA+douJM8fUlun6V2o
W7421RCgUcmOwq0JHBECy9fhHgoNju9LdZ3Cm0Mis2jWYwxXY1RjYzwHefIIEHXfFj52c1POG9Da
cw6xo3hJ9nw3vhymDEliDY+uNpDDOkwugoolgKYIB50cQd8Hj+9yns+EAkgjZyYn3haSSXFksp3K
me1u1EBTfGS2a2W5mdt4NfLgNPaoBzY3a/+y76SZOJbDTNZjn1Kzl3PTZgQusa0fKvQ1Lf+MhMNp
vhV7QOPX0njddeGUBdpeCI4cblRQ1qZpWiIFLu3fIXBbsyMMVuR+OxGXAHaOLbzVAsbMdmugf4q9
YRaUQgaTtXhYv5EhgmZGb3mmnnM6Jrxqa0P7b+h9+ICHZszmrTI9nc2DXOOGvYCetYzH3ueQCYk5
nukl0IjIu6R1MvzopmFesyrTiOt+WPDQtodJtZ6c1Zj0y8c2GnlMsL0hB50W+Yj43YfYWpl8y/q6
5r6oGzE2N85tG73EusvmT71jnpbwvI+hRm8cwsph7UzZ8L22rpFNIRfJv1EkAauPUJeHFpHkHc4u
8N1nfw8eq+F48Rxl3+deb+E8EuX9iwxxkpSqxZP0vc+wzE+NJOHBirg5xmTh/SPXa84OMe9U+36R
7R6eHIjuJMIkGr4BvLo6EbOzcXaafkqMVtrbni2pv5nnfqhvFiISfbsuIidln6UZ+cwZ0mx/JE7W
D5CQRxfMecJ3UPxHpJHTpmpgEBRVexe4uyDkYQsnmAelnwbRZaJSA9SC73KPwOCHpKm75OxmJBYf
oqXt95PwGhnJOdtl/DFmtazft4toVKm8jeCJ2MdIeC3EyMx22YKh+t7EwcbnVDE1fECyRj0/rog2
bY9xK+e8snu/Ye90lOv2CP50ou8XsbHvAzwBprIGZOge2z3W2EraeXcHRmermyrGOGm7lT0Mjo91
syrIDKJ8a15abkR2HpVSrLB1pNm3thW9KpsJubN9waekjhEOlKX72QwjslKtI3FUWTORpJiG4NTn
1Aq8g4rGTQI7Q2Rkll3UGF30e2Smw3S15ClgaBfkw+IgTDtQpd0XEnvHkH/WIIuxRBQEu0e51Lwh
pBTmxf3QkrFEZDCdP/olpRQGR+MIy7MilSF0Z2ehNH3xyKfTddEuNt+x3wfl5rnoLY5pVwDx3sx3
mVjbvEcIp7hF2JvGqSBhWSPeD7jU9dtUdtUHKhjmkYfJkZEi8VVN9GYQiZCHbWvSwRdNYnm4dbtp
AF3syH8Sp7j2KBQhZ2vbs0EWWlQE3XXRM6NSk6rN2BpVJt4SUeU+hP5VxyHtT5sNTtys4xzV1eJI
7e9SRGw9xYnpu2fAR8TLohsGK46wjm/sRUi0MQ8euBg/ZrLDoWfrmi5gHWftfjc2cS/LOejElpnS
eQTxgjZ15yChCyZ5b2M5Qho0ZdY+dXucI4Acg93+YYbdXbcUm88QcwNz8WJxWiTnJBXGPlKzRNNX
0u18uGNDarDQpnYc2h/pwAOWwwjfNnOYG95tR3yyvT/QUWbmA5NbW19M0/XpGWpUNtyvmiAZ64A9
aWAVAo3S+i3ALxnG5qbt6cnMXdOAaQs5ChYKh5nSpe2tVyfVjykYrASM1vhgFKIPi836iTxPkeCX
bRzEKycSgC9s0mn9kiXtEP0E1f75SvM+wUqF+KP1On8G/XP/OZsldlUS4QAst36SPxVUXq9IY/b0
hOhhLOFNLNKfEjd9lDrrK9ghd+/R1cAjKcQRAgkHHca8FDvB0h9jBDY8IMV+K5VBsfYkCeZ6x8ZG
pHJ9VxG4er5j+bS5+yEQn1Vd1xv6PIqFR8d2jlTZ7jPyg8HmxjIY3VDGKw3mi+4J2jKOvPa1tOgF
73sL3edTm8FNsQLNqb51+Iv70AxNhez6DNgCkele9Zn2n6TWjS1HSHz8HSwB06+t1nuR9ey+HWV8
3oyJ0htI+lV6zeMmJ5Hz7DkkI8xgWoGn/iVO8CwWgkQb1sNAS0Jw7sei76YKu45ZHkK08sPGxVSu
cX2n+mj8AM/e7TFH2i9ieIcxrbpl/h7idin8WHdfkK3S32XOw+3cGYxEThLBsxkqDrvPvoo1Te3H
JWkgH0WhFSjsCy0cB+HVJ7EOitlF2QtBVgypOqeS6TvfUuz3ETRMt6o34E73IA03tyK1+/YT/Brb
FQJj0FDFEdnoLc9t2H/k0+iOzWZBXS5aGPQ/8sWytlz2qFXv2gGb4Zd0HutCmwgZ6OUo/QpHlbrJ
hrmQOlfNJZDE6gqcI7veOMPGezeiGPw52fwptWFMqqlPmhG3qoUsfRDRUj8Rper9CGLkNL0HZ832
zzAgYHdt3NXbzbh47x9yOCCoSu+YnJ8zWOVsxbgSR4p0X5b20zrpJv7Sten22KdkeVJah7ZwsGA3
G4YQYWff56RbkmeLxMToU4pRWPQxY9hJYdtkLYWKNhsY9WXe6Y2UjUIC7aXtgi6XZc2Bd7N1rcs8
0O3I7dr3N2hOgrp3IK08CRy2uS42N4Jq1dAHIsap9DkiDXUNWh7277WI+rUG/bhdS6JDftiZ6M5+
7MraTZ9HRH4V+d65swOPrp+nj2Dj+dKnc1aSNpMM5iYOcQl6FgOOLwi6eF/HMGlbfdUMmUJljyT2
Yt9Ecofk2shXyKSOT9SBf+trDEWzidkDUq+jchj0UnQphfmCZtMHVL1fmKSPa4JghsTiEc38lYk9
kh31J/vUdOJ+S0U5LwmejCSJb1o5bFMZ+h7ToyjOnpPRLWeEgEldJD1yvmWmRLlC6vdk4oFfoj6f
dBk38wP6DLvdkCGnbMN3Fo/Lg2qXFk4ZCaxgj0r0w3yfjspFOCvgUnArWJNW/bzY/UiTLtsekynW
MHTGZF28ZHxy7XEbEL30tJA2/cQNYoMqk9XAlngXWfbgJ1Xnx1j3jjxioJlO741l4ZFmw5DcqGGe
o70wV/hiyrDjgvoPDiS/2RKF3iRMjbitsWUqJHFnWfPkQX2Kyp3h6X1vglvg7QFdNXElbDJrWeYi
6dSjNMAwcfOaYTmkHrrt4QgtbnLgdTpNlY5rosqka4fkPkOCOpKCmbkW1xzU3bYpBd8oqcZ1iZMV
F4FmfBptfuj5AGuuIoyQCL4oSHnT18aw+U5PK8r6sm36qEx6WA9i6fJ9K3LHsEmQFf4Up4Y5haIy
32P0go3FJBeWJNohYynNEBnf4c3E79YZD2aJCPWlkr5dpxu54zz5TGPttiNBZHuCDBwNc70k61Je
+Xxov4uNNoVJk3Bc+bp/mqa6JWh5aN2bhxVsPex4GiV9d0k75TD7r/0j99fg3aBDems4l/GBIzlp
R/mGUrfSIUvpqxu2qDlLNlH7sg51sr2fNOLNMZtbyBc/1G4rKULOKyXbD2Jf12JT0ZuXkBPNmPQU
eu/bU2sVzFEy6PpR7KVlCFaoIkdDvoD2K5+tjsmJSOJukOotDm7M01uZCvFxQEFV7r7/1sDI+jEB
pPXUJoQ1iCmwz9Rtl3nGyXDhrvE/EtUnr8tEeXsiXQt5QehNEPdLRPRT7OA/DPt7eg/n0LXgzMOJ
ZI3DDcqW5bUB5KSftkiBYG73vFwjUC7qiL5yPpnCz/weY0h4DCAUN9WFiZtbbHHb2WtOPmB3bw6S
9EwW47hbkGMQdkIQH182DgkQlcSjg/uzOuwZdXfq1rw5YGEgMIw1/hIY/8F5Y99lJMsuLJZYcOmg
yy5m7waqxw9JGPZHzlT/romVAdNpHaRcij3uhDNFg/7NHz0CC/2JbaR5ZcmuLrb3XFT9tLByDGvY
j5Pu6cWDkJt9cBHPn5vBpQgaIHbKo1M95psbihrPCofxg2/jH52tvf1AKWO+2Lpx5yAnJ5vzVXc1
0zkPfg8wAuI68QpZ0ctisMr2Lp37qmFbEl22JIPOGop9F190m9TiwUS7sccNzhXxa2ADYaXw2WZv
10zR5gt6sXFBaAaJyEl1qsvu+n0bkC/cTBu21kRp/pqug4ofl3RN1QHmHX6Cn49h7XmONjF8jvBk
IoSN+o52VWz61hYr7dBcCbvmXakHVN2uqNMoTYfCU79233dO0+Vu2+ctfEPMmkOB31pOcXoPeJCp
KnposfoDfKFqcqP50PXv9gRo1mGesnQ82hwbX4UevcnPy5VQeljykaSP0Cv19BaM8DSpErFTcU6g
SNt/djhFx8fVWK7i0otmay9mMWnMCtjMcNR/oSeDfwewJyfAdUBCDrfGDAY7UTvlqKHUiEf/WQJ+
cZ8lleKcIekdkM/o8s+JSWX0ZQRlAMDPPlPkbmKs0pZYHaj8i3rdJBJg9LpX29ho/pHBpcK+ctfG
/JMxiyB9RfMlQrFSTzTanpkL/d4UESF5iiqn1mMp6nQgDybw3f/MYGAx/NAdhIIH3iO88r0f2l3A
QoPO+gmp5VTuh2mDX/GN6CIyPzE8n9iD41RfCwTEI+WAv9sJjhGnPo1bd0plK+OxyoLe9VwMjLEG
wQYzOmq0L/1SehSpKKxR91j3rrcoEd2NkI3Ur4OJ5u0495EVZ2PESvGNBeF0tZBh375IQaEnZa0U
5ot1ctmOqonHqBRyTW67palZuYDaYe9832cNvpK8g7zVYG5UarUt6LAWBpOh1zVkgsN7Yqnv5oYs
N67e+fslJd6awtIQ1KMfhqHQSIgtoLdr1hSJebyfj95xlC8NQnXXc0gNIIdWrHlhrEP9XNjVOvMu
T1ze/twQ1sMPQcZxWzEHO6+5aAxSU06BjfSbRzZj1xfpHIn6goDxjGWlGUIfobnycXSzB6zgm5zQ
JL9YnCz9VxG6tvITjE8eZ2L0oYuWsIIlENXRGc1aassYyDh2RW6XuoRhWPoh3Swoj5trG3UW7fV4
wt2yCfyK57krcQaq8ZViKBUf+7adbKUi2rnDtkOaAxgjgnQx5G3SPfDexYCAOi8foGxYz0PdsQlP
ZL1e5hjQ3b0gjSVn1NvDF963s3uYpDMXu+TT0Fbc+72kFBsHwMWm/gIjFzQjzYjdtOu1vLc2FhBH
wMTLnYect6UKHkk70DPFpy7X6XC/2NQM97peze2q1Nx/JXrn8jBzqV8Ao6SHMUpRheH9MH72Ic90
OeyZe6Ww13nThMVx0cJQpsMiRqFTDC4fjymCztdyQa86lxyj+g1hj3zHvAL7pkE5qvdyWIGBlLBe
EnsJDZdviqTF4l28JEOpQP0C6RyOOeR+FpMFYGijIMZL7jbaftrdtoS7kOGw+wDjmpncjaxbO1Pa
dFPd7cxBDIMp4L5XMevnFWnl2SNB8nu1zfnew5KjRmDzhKIif5e0KeCY2qDPLxjCHC+hr6MdjNZl
CJXEEB1VQm0hi/teTwibORMJCLGoYXvC32YLWA1HGRoXhE3uMTgUwWJ7u4+4mO0zxm1E3zkYGaDu
dUgpfchWeDSVnGvlHkdMQ79lAZ3tl6mhtv3Yzg3UctIqNYAIOGYvIxHobpDZiyZAIiQFGBDCILH3
bepj2wH1AMZsjtKsPimwR+x1VwRg0bSSOWvb4da7HMBJAYFZ8kUbNaXlDGhle/SqCe5drJYo/+Tq
ZVof160T3YW3Ai3NYVxr2Z23pt2TFvstoT+lQ037RfrGjdshCAWbbDkv4QMmByPYbxsgpnEvdhzx
+rT3xuHJJssrSdv0iCFPcgt3BRwknMLjvJgcW/MPeB7ccBCtbdG08GTa7xxfJ/nZjUBjCvSwa3af
RIRNb6oXQlZyrjV5iUgYtwcf8357qGdEvL3jgFTJX4Gk9UGZNJ1+0smI/LQnzRCXWQan7DscZA0O
62anxFU1y3euSoRkgZhbhgTsl+cNtkbxhcGiKb7FwsrlZWVpppDZF+/TvVAAWAumUgejc9Xqt5im
XftAQj2BUFTHcjrBcT4iTxA85mwuEd8UHAY3k1dHBC86fQRFTY0lxiF0/Ta50URINgyWn6MBEMin
eBgXNBAMlWOVaKF69C6oZ8eHFcCfLKFcsGYt4OaTkNuYEYqqndpoOnUgSGzfHPHC4FOx2t64puOu
0lQpeRjSlC8VQZSMlcWiR98eUUgN6AgyeI+BNTlcc70QczZXfduJ/VJbzBpLCDwaQStYKMQGhuj1
iEE0Zphzc2HbngZszVZlJ+yTM8bsC46wAgBqIgsoPUNfLeO0DsdsX5PlLe+oHCKUSElmUwTVwgbn
p5LjACGWxGjLmnIbcRxmZTRoccOIIn4/y4Sn/HXViGC5u665XeGDd1mflX2yp/Mjzbth/xjh04io
aNHszevxakON+n7jYcse1mtrcltHs9xxxoDoGore103z6MfEoCbTa8riDTMl4Ex5iSEJdbaIzSim
753Hlg1Sns/H+E3bLVqOK9wlUBfiMUfvj5iZWV+MmFf+SNt+a3Ai8j78kC3GCF/63s3ymDXZFKEP
XlQ6IeWY6e5dhqoGRwOyCjN6VNjal7dWZdTxwiYCNssuz1b+kgBT65DbAuDefhPwYZWvKlrn6Glu
MKl5t4l+MdC8ez6QMt8WGBJD76b0cG5HDKywSDKVHnWO+o4dEIC4LreQ7jXUlQHDn3mEk6POu7yK
KbP81imMgO5QRHB2J9csM8/T0Et9yZvUzedoRQr5lzSO0Z6zaWeQy8xjtBZDTlx0N8ew13kXrWbt
PkUBgYKlQAEwHfw6cv3QGQsJyUjjfHsJA7iIJY8NpjNdOkwwKdJNZL9zZlT9kgIbKsmEYIJ+C5co
IBhbVylM/YazU03qC5QZfSiTfLfryc+TSE8a8Li7GSQL8WvSWkovncQIr1TxiMn9AULgWKO3m4DQ
A7c3O42OiyZkLVM29lGBZ+6eKXOFoiYKg4VjnIATvRy7KMGghk2YzfhiQDYaL/yyK1rpNqfZye6r
CCeV7VE8wYuNuFUUMm0QcobmK+nvaKKNeaUGduhveZOt410MUDs/DrRdxbNzmKlUQwN4D7JCMMme
umka2G3dDJN8dhw35tYTLs0lXpGFA6AC1HJkhftAn/o1H5vL3mshP6CeBYoExJD5bgGiwEdAzRnM
1bq4XPEwq6iEewTzqsIAL+fiKMHju3oP559h3xebpBQC7o/jYcQMx6znfHQaN9bmvdJPu8ZNw7AT
KwFx4SQX/jnFbYdsSdBWhg8YewDY2vAkH0UI+R16BRbdkqgGgliwGLZz5Dp/4+Qm7hlTN7LPF3oX
hhmS6YT42X523SoA3ckV5hNHi4Rp3xaJAwaL4SQBWypeDN/gbqdH82XcMk6eZjiEGHK8erQmaN12
ith0roPY+lKMzsnKj/oaBWcNe6C6zqZzBgmuOy2TWtOq2bya7oiBwUyx1zJOzllQNL2LTJJER4wV
bVcNvBGoq9ViFJCxdOzSr3uOZPbbOjT9/h6AcmaBlLe1Dj/SiabNNyXneDjHKdSJ57hzfrmH0F/b
lwEu0u2HeaLZfpdkkfE//UJ7dddt65gfwko5sA+B8XSBGd2KcUhnDPh5i83u13g0rrQeWZ9njbfQ
V2sgRJagszOMubPsyojd+FGAjPwwbAjz/RA72Zh7bUMyXXIk1aEiAOJdQ54grEfausmz/htAkwjI
E+WRMkAHUYKVZsI6Hw+YI0kADdhCr32Mu1YiItJbWvooSjQeE75oKBwUvd47odCmNwVAW/Fo8m2I
4BDQ5d2P9Xoy/shX4GyQf9PmvMwCRUiMnW54TrUmdi2zBsi9LtYhgweDSxHtlAMKjauU0AiEmLRZ
6gfS5tYdsX/CvXAbpm57s/2u9rs55CP9iCqAZXvRL/168cAi9488H9X2iOO6SU8GdUoxwidlKRDf
0+zVlAKbx2GLkeMTqmKRX0wLbcADphojJOoILAho3ReJrpwiajKj9uu6RgsvoNUhDnCmkgAs9NK+
B7EhaaptQ4zy+x5cRByISMWA26LYeC1ecxULcMOnGBMoIFy1XmZbdJDQZcXMMflPS0yr9fqGRrkB
HIaGNLZf0Y2FLiqYBfehLyi2VxuKZpihzyhgK69cc9wh6EScz7RnrP0MTTRA6WJ1iJ1Zbkb0Gl1f
ugWO3+6CRninSaXTFuSL6o9xXH6hRTKfTeM8meEQi0999sK2P0RKj391hKFDuu0Gvfkh7d5z9Dwd
/WPSk/hXP5gZbm+i7vL8iFMqRqsqtvjeYLP8d5Hyv2P0FP/qCYOGm1gwuVB3R3gIlnbu7O3oohke
agasFsBhWw87/Vws5Gk3AIhKxOBGcQlUFj3Hv/5a2H9PDfo1163ZgbF1kc6PM1JAh6qDGOQepLul
RLmEiR2mbfzfKPR/h4TEru/gH0hOejHeZGnKjhDSL/mz9XO9VqpBmQnVNToxIOBtNKAo3P30b9TF
v0NO/NXHqgevCps5oUfGkWVhYddyWIBo/ZsP9HtX/4W1pZCEZ/JWUDAuxm9SJ6+Oq/qPkdl+NbJC
lbyMqqnpEWMu1Ovan7t1SP/gxX9hZtkksdO8MnoE0nUA4RHwagJ8418vqN+7K7885/WOGQYVHTs2
cWRwpG41+m4cvn/s6r9wKolUKVg1uC/o1OBpawXSGcP8/K8v/jsr9FdLH6YxqFF7j+XS5oL8MFM3
ujJmniCPh5NRFWoFi/kEcRBVfyjWLv7V3qfljcvhdUKPiBGlH7NFm4c+ATrzrz/QX1V4/w0H71dz
n7z3Kdt8kx1HLlrgXGLyDhAu/nvziWWvGQpf/M2UJRO76VT/0ofuJcFKo6fadGuLVqFpD0g1/LFv
aatIYXNURH97d//5T4JN85f/wp+/z8rrrmntL3/8y8s84v//ur7m//ybf37FX27e5oev45v59R/9
02tw3b//3uqr/fpPfzigLLb+3fqm/fs3sw72r9dv3ubrv/z//eF/vP31Ki9evf35t+/AdO31avCQ
m377+4/OP/78G7kaAPznP17/7z+8foA///byP/+Hlp1/+39e8vbV2D//lmV/4kmO4jTLcZxhQoaL
ubfrTwj9E8vTHFIXJlKe5dc9dEJUaIsXkT8lMV4g0KFjOpFcQ6TMvF5/lFJcj+YUqvQEQCRmcb/9
77f29LdF8rdvA7fi73/+j2kdn2aMQc2ff/vngyIHFwd4L5p7/C4m8Ct/eQJzsRqmQGpCfHz/eYWx
1oam/1r/jLv7+g935b/7VX+16Pq/6/Zvv4zjYvg8OW7ErxIf1PM49Ra6lXaOxvAMi1QYbaPQhLnK
aucFsYdqJ8l9S0X/UwegfDdjm7rtkJiVn9B2RxjPw+EnK3iy1updxJeVnmXT9OaJLJRPp6lD832k
QU7ReTEj22/JAoHVieUuv0+7YZkfZWvJHTWdbR6mtu985YTel9uW+mY5howAIwXS0HhMcAI1xySC
sQvmvDocIJUJEwSWw/VFlACezGq4S98AZwZrxrI8OW6pnNLLCgQTZJBpGcdTBuUY8MkrjNasuJLd
waItmRrVZ4GGeoHuLsDvdzH5khV6u/rM9LC2eOrBm+lLJR3FzBSNjAJHFBCpQzQSBi/g3CbVFsNW
u4AnVxvdO8CJ54wBbai0dQ4qyhBncrmZ2JyMdwA5KejOwwrMBqMXgD9nIqa+LkcP0AgcRBiDlNwk
AplL0OjD7t9F8V6aBl9iweNe5AU1a/PqPPz0zmHeso99hFom25roW4MuAW3SO7VRVlGCd2pG60tp
MM6B5QewDBMAQqHRKVJ3vZKsJ4Db+I0bz286xKJnETw3B0QXI9AZlROz9EGo/H3DWlUltX0VUSpx
41h7iFryqV3zF+b794p095lnoP8S+YNGkED79Wr1jT6lk6E/YsWfF6CIZzHSuujgPI2zRTRwWwNt
t++WS8fWi/BxV247OaYcU7ckRZTvuIwloHdEkkaP2+5O2xYcyCXZaTCTrqR07/alvw1wA6paTAjM
CLaB2adq7fa6EkjaBq4FXudo0AiZt8SR/uDizaOxNKcRho33ZKfvs4mgDyPN19aQCwzR7xUfFKbG
bKuWUMOlfDLHbKFPfBuqfl9VBY+Why1Zj4Hr9z5pHmTQ0WlIyCUACa9Bni3iHLif7PU9y/oTBj99
tU/+Jnf+FPz0mAT8djWzO5BZnihp3xIBygfoPy963Z4xrj3QyT/4FCN6NEofUgsFdVafMLYKB/Bl
HO5djRlL35/5ELcFybsKrCVZxCxc31MH1Mt1JbG+0E34MEIaPMhYFA3g02Ky4JQkPGJXIA1jcjwe
1TC1HzMAPEUk1seN+xlmfpEuRBxXIMoVgLl/JJHAlEbsD3m39DctNW9o8ocirrccFMH2OSWk0kM4
1gFMDSXNvUrGFybntsDM9taRcDeF7mm+GiSlSV5uIX7YawRYjJ7C0ymWOEanHixINYOGA34PWAnJ
K1QYKJs5BhMiIHlwQBgAs/+LsDNZjhtJuu4TwQxAIDBsMeRIZiZnUhuYREmY5zme/j/Zq7+qzfrb
tdRVlSQSCLhfP/f6Jz/og+nyq3ij/u1pRdTpaXNjBvQXF8vLtGgbCDmJ9519rsvpEyD5MArAOeQ9
NHE5/Ep7bw7u8T47gVAQUCxr4daLR80jCQM+MFStWoNKCCtKizx/HNtOhZud30TbWOSbtTelDSao
b/cbFzOSdz7nPkONw6QRWyJS549BKV41bnPeiuS5NcYVfsxemJZL5VtdQ2vIqoegqdWDlYg+qMxG
BUIUf0m2qPkveb9UsQXzqPG7xo8supXH2JtB7GvJhLf902QePIWpOb6nyZ28W/lWVLK5ylYmh15Y
QgX4g2NeZyX4mzE7DylLLDLN3qGVpLBBDFuZB+wUMp2bVqd0E8ckLs56XqH0oI/pc/xE32D5quNR
NZ3qKY9zGmw012CW5RgU8BKI/wX/35zCvlluoCtrC6vVfokb52ZKOnn8wE40trUZAY5D/PXeIXXF
ztHW9wGiNBiT7pCnfeTC8GyKTxPoeAGQYBZoqaGeC17TvkIxmVzl7bOiTVCTCIGDDf67lfV7Yzu/
62Xb1waTRCg2ETgp+WIiTrWQU+ObkN+wrTFBEIZJz19MY5R05s7ijw/60EmGDHN+rIGGV6RjnHkj
Qm3SFfp7WsXpYXImiNs2ssSQBYzun0onudhV/81WU1gx5iJNlsrIc7uoIo/axyOnIzNmr5Xuheaw
IE0tYwqJ0g+cuwlihhtt6D2RXaXglKteX7jpm8jQl954XEvlBcYyaFdUqiH0pjTxRZl3eO06vtu5
2MEBnBxPW8G6YsR7bz43XXlCrx6C3nP+4uDgaDCKgvdiYpKP5DIX47J0R7fWTl1e62fpjux3seLi
MDUr9AgunqTsvyxTPDaV8ToKsjGqxtn3qBToz8r5qL1O/BnySruADTP1XMpHB1CqBp3zG6FkUMpt
5w7dL69NX82lsf5sKLohNM/VgYR/KrqtZFNrtuPl90s5zdd4T8nwQOqOtNuHmNl1KOP2APhj+nnd
ulGPjl3bmu7HTvxrW5MDRue/c8OXa86te8ittL3N5CafDeY60X3qwCuyrl5BC/v9xPqLYCpLwYXi
S6r19a12csOf5jTyhoUJp90+m3IToZUZj6op/1a1GnYew1N/3cQlK3ioGJpMAfniALuqQh2qJa/Z
nkmbNySmn+CkYUZbf9TUaohtg3vpieH1kTTfYy+uA7twSuBbqfl1FW8np2/PU+L1R53CFQE0O+fc
G35NCKCfOvlXPdbTsdXlp8s4NcJE8SNpqyeNcwqbrvBhfPtHAGczFBlB7TocdWCuYDuzReIfVNZB
pcXJbbInkIRH16lfJMp0ZGyJfX8BLpFMTetZeVvsi0ovgwSH0At61heojulvs7WPGwiURujZQUu0
jhSjanpCWM3Plqk9tkNL/oitfyU8EX5m6NOD7eVIwCR0Y6eotN8sgvme1rW5GGv2LMno4ouj5PFc
zXiXrrOrF5ntrbbRQJ7tL1VX7U63pLMb8QT5Bs4Uv9M2cRU927bVOvq1Kpi06/GxGEXkVunRMqcr
265+Apc8codbDzaRXyEe6d192uEzjL9M1cZzsrlNUECR+1VhUDI7DuNTDACWOhskiftNPf9GBI48
YZxxGvS+8IqfdiGuqveu+Zi9tmw3MXTG6SQH+klbfhcevBpyP/iRrYdstz+oTN5sUzyBke430/pc
FUCRQ4lBIccx6KJIrqX+c3Qzokcn+c5v2wAOrb/wIb2xl7tHa1zOVW+8etyI7KTqT6xsmAO3XLQQ
n2p2rSqa4dXr5wAE+gtNavUnFZsX6PVuPeZ9QlFmtVs57d1+bdOnzM0rXi9Qtuvde1T/yRaguSNL
a8BIi62snhPdLNZHDubFID9BVim4m5TnNqtwN2gGo3G/yYXjHCzb0eufRa+KD5ZmEzHr4+bhVWkl
nniEb9QpCVlbAfg58B+xSDMbrnov4v8rx/mfGsG9M2G/mok7EfOl5/Lnf6pZSc3ok2k3YlzlUPPm
M+axhpvuoUbRT4It21ZsyDL+v0Ke/xNM9c+WyPGw3ZPjYUnTNf6d0dYyOZwICkf/NhrsbWarWRlZ
cyNJryXMoPA1fCd5kG82bt/crvjesTOZOteZQS62suJFCmvea10pPovYTHcL3b+OHWdMQlWMbgny
oTU6laGSZxT1Ff6pcHL2tNWCOQzM4uvUNzANBEWtt//d8f33VaWztYXhMuP2MEL/S5nqaid1ytkB
VK/68n2QXvk+6+VBq0zewvdFcZ826rse/e9PNe6a1D+vqSc8W9qeNJnJueJf0mShqVEk+sI8Mp/L
LLTqVryJzrCGHYjHHeM25w10XGY8SVW10mUwKdXk/XwpA+55hsX/+ydy//sHssx7w87CD8s2jH/9
QDMz8jvbweyNu/lcObV7XotBewRVzG5a22qPXeMwr9MWJib/+6P/q7//j+hgWdIQzI3QDf55Yxup
5gICt2NQOkvya07cluOiVn0SCDPnW+8dMMnwf38mgsY/rr/kkzzmMigKniRr41+fuTDIcJzYSsKp
VKfKOdTxPTbo//B5/+cn//+/ZWkLx3QZTkrbNXG8iH/+ZnIB46ucpgqNF29Xhup4xWy4H/xfP+ZT
vWs+Ld94us8Nu1A3g8A9cOjv/vfvaXI3//tXtW2EftdzPYczWP77hyjyKosdwr6CMe3OXtG8MimG
mSLNgRlQE7+sKbRcqcnTmhbXtpLHduTorUgbOGxlq0AM8eAQWgUKN3LMNY43nFZ4NVubjjivyiKo
xpwCqhHFExR9GhpDCajWpx9Av2CindXuLbsMHewTarB3JAoDajYvTSlPTmbfiMMLbaMPba25jL15
GEsGfLbWH9ky1PjE3AZxXW3+OLu8r4XI8GHp9YNrF2aktDtIVC23ScSfkNyRJ6uXZsC7IaqzO7vw
b018Ke3lo5frSZZcZbnNHwTmfpnD+qVDHcUYCnJRnzVO1zAfc/JR6C9XozvOlQZoq3mvyQIAnvAd
xfquyOx9Y61H3eiu7Ap37tT0d25qOwUDB0SHKqUGEKe5zF+MtLq0lr3bsmU/OO6pgtPGpxl6nv4D
SOklHe2fGUAh088Di+OeswZGfwZzlPbwVUEk1aL/4Kq8NjNUtam7BAob+3zLTpUmP6nQHgctuaTV
Fm4m/7CWjH7fTh+zQ7OSE3pOg7ZLLG0vU+274P1qGlnFS3L+01jNK+c0U/8RAjpbTuw7lwFPZ6g1
8VvtJlC97YiNl9z3zHlOhfkpC7wvU/XOeq/TVFklQ/JC99uV7X9ux8jZZl1ZcWwY4c+t91Wv8ghP
eK7y7mJu+QcYz702PhTzsmPo/7NaPPA50TyLbHkp89jvKhEx0v+h2c4BAx/1K1/sXKorY7bXNDFO
ldWV4ciyAWXNC68Ht2l2iarpZfL6y860NUhyJAgw5Spw9PSFgvJtGYcuRJHrglLnLrKlbrAxFnlh
Ga+4XF/xNS+7rgMMz8g3/a4b4ex63XiI82avzPqMbThq9KXm42BTYy17sJRzWjEdA8vxHbu6p6IO
0UKl7l7rNyiMYsTDoB42mYlgEgNUiRgv9Yp5oh7zi3CHMw3xVesGbnnc9jsttU7wlGfa0xO85uJP
m5Mz92ty9nETFjX1pYi0xMwOmJ+2a9G0D3NesGF0UigVOUZE9qAdyjllCeNA0SfUdsQL+2ahjh2t
btKeUGn+5uWs7n3zx1iOPxoLX4HSNhXoVTUewaqJeWqyr9EbX+0qrkBy7DUcuBa6o/acB2OwbVgd
ANsC5qkPWm0HY0xQNUVx3WBXTm3DC2yFyQEwAp94s9qw39R9OjsikQT7yCqzR2eIDyV5fe/A4zn/
xenVa3nDdVsMXDM3H27Ly7BDZnvoFy8OGspEX7ZjGZYjLKxvjNN5WLu/sSlP9ZR0qC9NGgHAFL7T
W49e6j0vw/SBMe55SXsI3lQFTizywBFoZS1Pu9/E1qfV690JG+tB4VRBk8AdVnmPbb5FhnBfCTKL
StNwQtbYaQGeSN+e5VW354tck68BhhoMbA/gfzAqucfHwqY1QHFQzA/VbJdsMq4xwzmTO6Vvsp9N
O57KXotYeRjOaBRat+5a1wjqrbiSlv+rqo0obWBWS+u22nrQY8sctoRJfglOyx69zjW+JvXTSI2P
SbX5yctHq99bVamlH0Ovz/txcQbfgWyhH2pCVtZBp8M/4MU1E364rIsmx9sblf3H1hZcSpYHuluC
ZPlZnqljLGsxsDui1X6y6wf4G6w6sPu8filh3Z6nJe+RhLnoHmcjEOjZ0Ob6qRuz9gJgsO43TxXI
wsW7RW/Izb8V7zjsFr8d1jVgZ0r+iu20uyEi/x4146hmLUZGMWA0sDgyDUQUnFcZ2iIbl6Mq4jgC
4bk5beMGsHH635VMHexeBGAGeUy0gr+6+mNT0Cm4hYfKAMcqEygamSr12Gb6G5mIxrOu5wMYRea8
TZk2RTjsBgxWCxlsuVF6GL2S5ez2DeWscMZfCd7LU56326MWs+/SL9lxRSbZZoaJO14X9JR9Vw7k
c2fnGrA70MZ4hIlQKlAx3RWm38dsnrtoKbUHd3Fv42JaQUx7FDo2CsTdke5jvj/VCYvtqAUM1A9K
2xR0fRzEZ8eGN5ILIJukM5hBb3dYtd3uQoDF0zaPD9ZWA6o5zth8w5r/FtW47I3YBg7sNNRgXPMo
XEYWj1+ezs4mwPpS+1WmFrwYrkzOUAWTAbb+pRN2d5ozS+HJd2nPnytDZUgduJCvaFXWH4Opw24w
hi6N8s4ygANx/CAtFmmnzhvePxEOYHhN6LqifAekvPY0DdqRozXFOtZ6RhUOJUSsP9fxmgVJbK0/
stT6nhJdVtg0FwO/ezXtVjetQ0er4l3CvqElzMkdGHZkEQ9wPUWbPqKf2Pi4FIhRJp62Ft60iWP6
rn5pmyHiWc7IA1SIqCUbS6/Y7KbPpCu7C9kaCVZkViWHuenqiOaN+2u4E0vFXLbPa1sRPJIBuMUU
M0JfL246Z9pxlmJmn/i6es8z9cXrqCX9qTdJegiglaunYtq4kXMjXNGtQibuxQM34+i3/bqzhvS2
zauzd7XmfUbZxiyj+a4y49DU6ww3BmECoFt7N9VwN2fa8pHK/pkwD0CthQMwmxf7qeuIdxrYbPep
jcDbvshi62+N0vrK8iFrizCbB9aaXyszDrzciay206MezxEWQPe9a1rD17gdA6ev2wASPT94Jt4e
NM6mfKEUKeE3lUt+jCyfcUGmbzrrOrZXr7GS2Xfn5CgdfX1css76qCd2q9OIxjuzspLIQ+na1zm8
shQsD3DJ9LjlxiL3BSaLg+VNxXiQ1ib2tA9djhw4c6BjScPgzvN8mD2MMfGIRrom80PtrssnczE7
XNX0wixRnftRQ4LQ4xh9pPDcV879a++Qj+xKvU39hgIv6ItusXaU2PnehUgthX4uZPuTS/O1pt4l
Z9MCs69jr9juptY9AchO2LFCksDUItER1nvnkDHd/ANnXz/Eidphf4QE1KW+Hvupj/eEQEz3t+es
rJ0w5/K8mhyitUbcg2IidmZG1PnpwH6QLJ+b0FoIdnBd+RQXNv4JVWIicWR7a5xt78bZ8FQDAC5Y
ag/O7EVNVrZHZiM63ouyOU+LeuQJ2QLPwKyvdcuIM6e4uzWqw6Qv0ZZ2Ljxf8XNM+HJGryRQ01xu
Q9WGqWvcRwMOsRTTn8SWz7ZJuA601sms84fFXFgla023wvW+yVxRIe5Wf0ObCWc5Elyh+o0Zk3GA
PgO0QvrVCm5ALVke9bov/XzxTrmGmMyWUmxy7i3BW5kp7M5sKOiCdV73q5XN0Zow0mOowdsw6w/E
2bW+Nin15hrxm5XYZsDYbvL7eoEirLFcyob3bl3WBvMHaggQYdcfhsn8sVCEwf5TUYolV4fGZpna
Mc+MJWo7S3GtPZndCHSsGexg25ItrFsh3VtfxuLRmTRrr81S/0SuHE8x+DC4l+O3pldGY0f96jOf
pIXuynpiIMBWFEf10jlyFWrfs8hvHWrnsKyuwreh9O++T9OZrYDe+BuXO0s9kCuuYy2eytJaL+St
iBd90SDPV/fWEh2xk5VV/7CX4XFeiceBmtkvQlNPXU2lmsjircOZD+K2YTPJJzRT6+rEeh/URreA
226npEf/TZb+B6amIcKLD1myus5wbaYNW3bR4SCe1688n51T7t5pbX3+rAt2eW+qyMhL4DmK9W47
YAbrdl2/3T0flKxLwuALSx7L+mKSFioxKb+aMcvGHmMNzbkQolL+HtpqfYLLdELDaSPxH7Uhbo5K
dvuCM48qmzF0NeIu0t5V7Tw1c8/lbneJNwU4Fw30X5JOcsx5z9mggnoso0FfySKK43Tcs5HZ/TXC
MKBixhiVm3tRkmz2MS1nvDySt14WlLaVvAiMFC8b9Pi7jbmdjaHo8NNtthsCl9qxJtWCoPdI1ZTz
04ZWiO2pREnnoGdgysvSXAg4YVHgNHt76uv2oET2xBzTT5vhaqvuuvZ5VGjt82Qxq0bWYWuzmADL
Gan0g/e3L1ysxWM9fliLNgcL9k9kPP3cr7G22/APB3kDijxtSbljA2YcmA1Bf6kyoxbvyD4Ztexg
My/iaPk5k3xBnBL+HtM6G1NzQln6ZpRhRRyIEQYNKyL5UfMXxEnfdtrZZz+N8tO1vwlTnKeBO6CZ
85eybh4EY8/KNZXvNUQC97IOzJZ5mpP0l27E0bpa3tlz+uLZKofSN2tqh9gpj3O33Eo7Gfx769Ux
iuj8qVinoGr1j2wbOSUTcVzvS4+w+sFbmubPrjTfJIDTM5N3CiprXL4cA0MVlvuVC4MlNV+qD4Bg
yUhz/Gq0lCUEZmkds0y9apvXPHlJSqFvCTcixYVYBPjOHY/PUWItCDIzaXciRxKwYwIV4Dz1EJ3R
uID2rwE+sk+9oVxkqSujIpk/iC2uItZZkGExPfLiI71HdgAGdWyfTXsWO5OhuO9l5lMyeM8x8R74
W/7emerAyb0nZ8UdnGFYCyAWk8DSaNFlfQFDMvelO2Ij0Zdgq8fbPURF2k11zKhtMOXREOUiUaey
zTYI/iQ/8ezWgA2j90dk2q2iEp+U7ANp1D/FYJ+7Ku9vRYM2MDvvI69gWgpx7BlJH8tBnIya8ZIh
EpeHt3/vNhO3H7ObZ8vNbwVzpsc5qQinSpYmEMv0MGuT3GNoZCyPjGpi1lfOmSgT9O60PbGTrcB4
0ireykRMDn1dHpLJ3A7xnLww3cCVMqLDU4Ts4tYek52ea09ZL4+TNlef3t3xNefNDBEt+H3rGCcA
k8x2wYOmzy9j18NWJMOlxG/6OsucKTlhyCFcRha1bJjj3aAavuHhfR2mFXPQZJPmktJTwaMfoBIl
bs74YDbZ3f61/m4WLAlLLb0TdpVfOllaJzKpgjLNv7rOQgZy2i+s1DeCJ+toTGztTu+XUbGkQ1gV
7SvUzZ84K8il44yN6kr8lFmBLcIdjQDv8WVIF+fuPGWkxw5t1WYncj1Mnz1hN9ao5QE+vwBHkbaz
LZuECvJN7sqDac0v7jpduUJZONvVYZ2nwzAx7yGF/CzMdAtk3LGjh+MY4fmaz9iK4Iy8K0LtD31T
GOUt922bjL/MGwmPII9LNy0c6bOFez0jPUnahEWtWpRNfcc0zK4DLFo2+VLlbUswTCR4Cg5eBRjX
ZgxChd79agdUcyKpNJ9S/zJY1g2lmtSztrgOXYvtw+L6S03+kk7ORzhWelS2SoKubZ+LmXwzkKEy
ZHXcua7mfVGmxBRQAZ5S2NPfZVmb+5F/Zbbzz8nk4YT+e2h4VB/Ldn0p8Nz5nUvXPg3txVwtfhKV
rWFqtm9dp79BnN/+44PLGsEPQvxELMk6JV/q1ZDZdSIqwtf08omx9w85Ugt5Mj+3Yt3IJujALKbs
bKzjKny7KHseGDPFCm9cZVv8TiyenExqYVoIcmRqSsSq04GPMoHIPHsrFoB7m+NKLdiW2aI+jyMi
6Gr+3htDi7/zSyKHhq19S7vyRTlwEl2uvQ5z+UHWwYGrKH1d8j+28ra29SfF79EjbD+g90BO7Fcc
F/Ac3CPeGnZiws9mMtA2RjapdS1JJ/1buSHzsKb9iRgdytS2P+dd8ij05TDlc3+Iy7wh4Wy6kXZ8
9kz30fWG5zovW1JY5LsFYxT0ONODXK8+al2itJbXXKVvjsX4qiVyyGq24xqXPy13fctzfW8T3hNk
ovq0+zJ/1y3b9okN2qVcmAemBViNCYHzbd7a5EbkD+tUA3UgM/KNW/lRl9Y3Np88SMd8J8b6lk0O
nzt/SgrUIS9oMaqcTLOiCcwOW59mWmhoKEqr3DM2vxL5F2zTAEuTJMBQ68+5bw6bNlN55G2zW0pv
5o+Is02rv8xt+o7T+g8Pt3W2GlYDM4UqWfvVRcXQxChk7hOhJC8Ody6mIpYTOQYhLfN4MKb8aq9U
lBouFx97Nn0gMwXqL+b5NPa7tM9uNIYZHRHGA1dzb3hCOiSmstkxMY2q0S4+WW5P/gr2KsL76gPG
Tg/yVxORsIkS2DSX26nOf5bJ8AC8R1hNme1aEx6iIqEkrNf51tkdWY+DvCAhPGPS/mQXKP+YVfg8
XeHIUg9817tyRd9rMv5FTJsnvmNB6Wx7h6YsKB6tvv8h1/67hMne02EpTsVVCyyVIMmU7FUjPIvY
jNPCURyaYi0o9fWbS+vti1jStMXxdZPlw6bPD4y8HpMOeUr0UwUqhb/ckdvbshKOzPbqL8KPCuZk
Yk/m2gmmL/d1xYuwMSjoYxzleuWml1Sx9zaf7J/uZGy8OvjYKiaF0p2WJ0PKO00LhiXLbgzgFU6F
t7zrTfLaDDStXlc94LjKSHkoXq0N27id1IeysvtwymMZMH1FFl0eE52MmMW9tLE46w2enJSYTaC8
+RvnEnXXRHZVre9Ltq74anYpmLr5uFjq1BUDNVTKDHiOB8svG1ZLqEZ/Hy3e6uRKU7Gb2RjgQkIq
N8twXjLH19yClRQtHQWYoaALTtjJEQeEzB1WDdYECuTJVM2KPbQdH3VRv2zdInlZJu4hMWgIRFaz
+U6ZMord9V3TWGFYrD+9jBwic4jXq96hnllNxakmbomXsjhnqPVndjCgaRVmpp22Nf499xAQZqeq
X2tlaI/OiKN50r3IWOIzXJ5ABa23ZyNWaNnedG56z4ZYatpgHXTvnDZk8NQtgVlLn12HXEcjiyXi
Y8ZhsznT6xCjJ5QlMWtG3Bo7rdcChrztNeaW9a3MtsltcmbqThe+j1CA9h1cdni142a4baUe3xbN
aO5+wWl9INwI3sUoJkGxNS3+OjpFek503pgcn3vCLJnOFPMOfzQHELVc0/2S9mQFgqHfg0hJVu4b
QVpDL1UVOnPfP2x9+kzmmrrb33+WubsdZuXGB+o+en39s17jb2IY7GMn5ZvqoE7Bssi/csvfRZVk
QdqjOpGX9KUK8A+VEjS26ltomNM7bMNH5pE9lFNFADXdn5u2zSLmZr+rpDUiY+quLfsrAkEk50G0
VrI3tJXYwGFFD9zMH2Vi4EFS/Pr2OB6WdH3utUwcdSadkS3MPx7x08FM9pU/YCDXZsUh7sJe6eAi
vmN0H11aUPk5TaQn7nkTpjq1WvJm0cjvgBCjrlB1xLhw9ImHJ5PEXPM9rmA4F8SxIYZCjh3sUYxK
a5b67ZQ904nOADKE7h2rlG+qcDghRZ5FE7IOzB5FXW/rbjjpFhShI39NaXyxrCUJUGWdEHBKXkZc
yY+69BYuzEbmjEy5Zsapdbv0oqGFhSLB04ardIbRLOoCD63seUEIjZydGv9qaLTdtVvqN7JMFk7f
EqdbyM9WFrtedQOia9I1gW1nDHmM0TCrvSTqpY76AVjZxzbHNMmmN6+oeaR9IomNyB+jA/26y9hs
mKRtLdpDZ7aXWrFmV7KcLFJdD8lXMvwYbXHrWsZWnDrHGaN/y6Lci5hjtfNqF3f4nEkyFfApsgAO
TNCgv3XoCsNJ2yKzWk7MID9mzf5VtRO3K1broG28N7MbuK28Fw0JnY2GiBBXb6rKywZtG05sSztw
0OPd9qzDCv4GmKVRy6YWbjabuN3eNxW1YG7EKFBYPEvVHUevRdKovmTs7dHD0Zxk+Yjx0cE565AZ
SiJTpUDVvHiF+l72feO9ksxM8IMyv7RlfveW+nG26SxseiVUi41Eso3rNcJEJR9xOn/Oi6KXQ39f
SSPdGcp7c8TwsnDfOi1hYejvSLhetNY8nSk1ZYJlNJ1Z+GTV7DdbnDocAQlzy92CLm7eIVaica6P
Wx4/TrP+vQrzuV+Nh1bEJjrDAOK7jUmATe1SAxl5jgoXS0QTyba+bIpnYi97QhlALfmJ/4LPXvQ8
HfZlPD8Vy2IGNdkBoarWko8sow6fcqLcc9xDqMmcEq0o5p+iwtaXzkYo1voYd4Kp24r61M43kf6o
BJH1CDQnrfYiF4cVP9kHQ+fXePizbHS9NE4kswZW/53kI68uz9wCLUsPjWN9Lk363DgdkzeCxnhH
nxMU1MEcTnSVh2ntf5CYFjWDilo1oSONTF7d56nLU7w542Nh6yCe6XVFHuCuOdK37GWb/XAUSz1N
gJJjuTqHURqgmusxNYgKddJ0j1XlRa3AT4PZnEk/qncdDBYtpILNyPI/ZZz8bWX1lwiVW8xSSory
DzZOnY02uWvZhH/pJYCpE0+gZBalu9IgV5zCWB5IUADllVR8lrm85dX2RBE2+mZq7Og4zl5Vhmzz
ZnWr0zT2jvRZlwuD9BsUurqaVjY9GuOGxlbN81dn2nQF09Q9y6SNXzijGFEXS1YEm2WcirZnPD+S
tp+JljCdXEPrX90+rDVSiqNSG+2/Q2kmb17SJ7tCdah05jgGNZbd5RhjBleyEZG51W9mphTgrAEr
x8y3n4AjFt1pQ1Hlc1i7BIGaZIbsZ6JgCFtIPzM3jYM4dr7jZOleGlYEN/6U2nEgSjyqAeYTdhsp
GWEe4NfNWwKlUnUc+3nhliQCoQ5AZNbASVBlSsz8e2HpP1BLe57G9ODybr0qR3BEtLqxp7D7Hljs
eHVF+0kuT2DqcXYZU8J6eI2Skuq5+U4f2bWRWvpzlpiYXTf7QcEagEJEG6Of0XIgrtu+fck6Owcy
r3jyrMXXC2Bo0Wq/zZYQ6tqOmdYPsGqrbJtL2hokvLreHlB6r69qjhyTkCUque+ejukyJ9arE6dP
sUMl16tvlEwZGU2nRcpKHX7jBPXv3gMJJ/k9AbaH2uAkR2zLVztP3nE+H4m2exlaeVraiVjr5n5M
6tXPmjU5E+e0ykzBEJURS59Mxanq209a8W23rgNKALrsXuST9itXnONebXa7thMuimWnZbB0dkWW
magR+9zhiSg2Pj4Z6/NSpIdS1woWWKYPuB86n6SxvdaA2OaxXRDdhsWkoRsMSLb71DTtTdntlUT0
BUs3Y76K1T1Lb8tANqvBhXIiRzGBJRdv8Nul6ENp0mIo74kKIWS0MvnEQb4Q4gcyvc5hotUfZPN+
d0VFvdYwG3QeKmURzCzzwCh4Xq3xNjWTGTmlg5WhnKKSFSEByvvkJznhda5k1kkhes5bbB4sKiA2
z614nVv9SWmkgqp6Z4zxGo0mM99WeWo3dNNxc0UV8Z2f8q3rjn2DQk5MzqX/f9Sda3OcSLa1fxET
QEICXwuom1RSSbZkub8Qlixzv98Sfv15cJ94j1s9r/vMxzMRM9EzYwsVBZk7917rWVN21izxpaxQ
ivYadOG0j6+rGKeLtmRfu3R4qmdnOQ29G9GQyGI/Ge1l19jDo5NXe68AD1T0ifJhv/CW6Na+a3In
hHsCyCu32E6hoiO8bW90Y3xBac5jxo+pdxEfL3AN4G8zDvhdFWXOTTZo+2as5A7davTJcAG0Y7R5
QU0zkmRSXLPC2M+5jJD1WOq7Pmpfln7kNx5tNKTMWeBMCofDYZocuBsd+GM3e1GW/k62wPDJmqBw
ORUkTg0YNTN55CGLorivuL96U97YGacqUWqev+TrNU1i8WjiBhiw39vsNMyv/Q7xvp+AGduWuKe5
S27tdatAegrv2n3uYXkwJ+O8mns5Y/SWXbGlhcHQaRkD+p0n+Bgmaq/2LLVVnpaUKgUK5WeOvQ95
Kcsg9Qrz0C8M7BzQZIaPuGjM/G6sCk73PSgDOr+Njo5OMyz+4GiZYF/5TPEN3/0KZb5xkDRHyDer
r0bBBHA3t8ay3EyWE9NYdYWwb4pka3TpYz4GArE7xqAcGMW9Weh2flkkoJ4QVCmuGS22QOW2o55+
Via9yVDluFDODPo9JzTsavDTSfcEr4tgPJ7jhEoCiqDlm2PCSQ2H2mhkaEgOTCHwwoznYJFjuLpx
nd9PuVa+TyMVjdY2LNrtwA+9Te0ty8qxKekw2+S8ij2x0TYnqCx7l6nKqudK8X5ju0BWFAwGtI/3
sujZ6g3EYEcIF2v3paPTWjALfKYvyn2Px2H7z3hAc1mJJV9oPdtUS1VraOKoSk+rfdp+360RZmso
MupxvNp1EE11Wd4qvLXdmZkQCiMjXryvcVfxeyk5rfxQZO6vrQGC8A0v+eS+KXQnz8kc6Wlo8Q7w
a1m6PK4xpenjBAqahIu1zC/C2FCZsErrA873CFb86BVW4FKkVwfwcaIFhD9jA0GIhVoD0BT5Ugap
xPon25iGgxk5Y7efxsTNjuyZivu+6nO0h6e6OFfPtTzvBgi7O36l1ktrv0faWftRUeruDuzarL1k
fQrwXUnGiryog9TpMyT03zTcvoBoVsbBQYq4PrSQjOWINZqImgwy0iFeCtT8UT8bny0n8tIQb4ex
HqA/aBtuA67MpZGOlpy8ce6RDeEALL/TjknUIaEtg8AokyOFLTjpRtCIzaspOjNVzzNfFXPb3dt4
p8pPvSYlJRWjYvVQlwylz72F4D4oWuCR55h4LxP+PBY52iLMOqImQ3addwL7vrboyg6VMU9vNLCq
mUILDOEFPCm1vK7nGS1rPTf1RwP2/csQd/MSinZErCB6Zr8PZqeBgi9kNu/dWHbMQhP4K2bXGmYw
brLRsz72SYcUplgiDnZjAy3AtSbTweLBCcO8NxCzT48Seq11BKvNN8OkmJdxbNzauXU4xJ1WhLhw
2JbC5NRPkNUUaIjfXMZbRabdpxUV+21uOmBAgQcsN7VeEYRga7J27lZZsH2woKOL9sDdz8d87VGO
6lNPX1VLEALsUsz/mY+CMPlE0h8dGD2XzVOF29hmWlas9aXVG/cmQ9rzXVuakR3TjusjM4X5FrH+
JTOZPe7Y/xCcTNo0PBDIAPCnVhUpD70NMHPVyCBIIEKJkC6fhpY/7ldcGLStz1MD5msyojjbl31V
MAHdJpbw49gOC5rOOwWnKguQRpBb4thxlk48i0b5iljEeE0ztpSdmH4qMamotMASwJGfG3vSSUFD
ZtxczDxLFT6bqehQ6XN3riVL2daBbH6Iql+rQ5Ui8fZnXaFSy9DyipPbS/OLZmNi2KWrg70jmRUa
nZgcoeyEoJRje2aClQymbJjsY+OmmBrIwFOPtkw+56lCl6tgKC3zzoxmszlXMO5/xFw3v6toltBp
SwpOKx2hDhGHYSZVGDOtzz1djhaRVm4Podks2oovIu3oV9hW8uao1pW7Kks9aO+G+63Mi+YKRbm/
2pZGQwfKCwM52le0l1S8PDlw+Wuf0IHBvFcZv47PjKs42dnsygCq4/BWmyZy806NhXmZUPkdraLE
o7NKyGmcBcrhTMGQM4zpdRZPQrHBpSVdPlOoCbRblMxa7yORZ/RqpeTO0bdXLJ0GkiosDj8F7zJF
hw+RC4lCX0WMPbpNz75EEFboR7V32JpZIpmqPA1Dj+FFmL0M+7rN22O6GHwtMI1TZLbuoH228QvF
QSaEOEaiTG4H+r3XWsf9ZHE4cHwD/UG7H5zS+AwqbZz4ZXUQSmSanIijWT6NSW1caWTQK29aGpV+
p1ckexdpE59qQ/BqTjQALfpTdNgOcqxY2doynu7RZNUv6GxZQugnbSkOq0VlKfQ1GYJ1jlkfOT1F
jV+Wi3jHeCKSQBCa4Q9pDpwxIzLHozGBkntMmeTR7am6faNvWGSCJoad5y31qTTk9CLBr3PotQ32
oU7RV67rmg23dvmeVC3nPzpZZyQmWKVbcwaxbRIQeqO/JIvUX5E4UfM3GrEzgGbje6Q1/DWLVQKj
i9IJTai8wkt2bTTpP2C3A5tNcZUD9TYw6bpZ6lq7eKWdGbK8EHOSVjjHgPmZnJyK0YM3BkVNy866
W2qoR3gbdnnSa9+gbU5f+0yh4nVndcXl7LoB9X3xzLSwWMLZ6BF66vA1sUe4sUWAiWQNN3RlEfrd
1+4PvW+GOzifBZqBqUEO1bNxCmMZSO/MSvfrVKvmM+qn8UI6gvYKhceKfcwJPEulWWBcTeNefuor
idYT7R8OPmtxv0Vrar0gruPPViYVxNXllJUEOgs7Q5dISx69rqnRIfRO8TlK+ltrKPoh5AROnQ6n
6HM1LMmL17f0uHQyUhCZ5ER/fOt1s3oAEqa/2gWCg2Iay9dUGpAvMxvHtpYbHKKGtaHnU4zlI4MT
hHY6+PkAUZMOdr6xphNAIfkjhd93WRadqmSAjgIrVBXPqFITLEg2kO1oXlHllPqki2A2lP1pLNpe
O1pMWUji6afQnJuWTySS+ZFT7uehsIGgUbyjYR7sJfu8dFH1Pk7Ft9Gh0Svpv63hOj1S8MdXk93o
wWVkmN9kTocuXKUeDu7Ew4zbSUjyDEURl0RZKJw2uQLFGW9FXROlXjiZg4ZKG+7WtBhRmidG8pbG
XoRkBILgE9kKHCtXZD0+U74cEzDIvh3MzO4BhYT7nY8dP1giQls0xLV2aze9/kTOS/pWIzbRcNSN
nrsHDsZ4BJrCYAV4fMdT6tIxpxrQ0n0S09FFSajzaGeFxZZmis2XW3SL3PhXa3eXcaDoQkBMSkGS
Eyw4f/olVnecxoMQlOaWURpXU648l1R7PPcGwBuJNrTMfOEWTBuW3ovNszZU9g9m89o9rMmMfj5o
pt2ffw+aJnNbvCBtgJBivUHY5f0xpoPxpq+40QKacs1jkoxehzdedLROkBudgImxZqQKDDVuasFj
HCEQPYhIoLTpHbT8fday+dTs0MiNbP6Yvr1PRVzVSDFNHL6mzmB/7nH/7pA6IrlqOcbEkaLgTvp4
5KfTIUDwXhs2KhQA+K8bJDiwSZG80VvJqjtZBakgCe2wc9VqLlUrYq03tUyi3w+jXVRQskX5zsEi
utSYjwMHHtBej508yKA3+JQNTAGdlUYj3O3cxZCjKW5lQ80MttmqskPpwbva9fhyqxBLZvE6V5zZ
A6YJWIqWqHf2hANpQ+jR6v6BRtmUOxEb8nnmRWYpM4p2xq3rWI3PQSFRn3rTMZneCSD9dHiwh3iz
Ppnfh583axjWZH2mh1I88wLb6BA5isQ7pxgULVfyC/EKGiN7J/Wz7NwKf2LBHRkMWlr8oxtdkIlr
gQ6qzyc8Rl07PYV+vEMSjQGB3w3UQF7WWMrKLK68J+mSbILT3PpkQp8M1Kjs50QKisuSqkvfZZzl
XixDVXgaYXpiCR+Sh6RX6x3iKvNhXmXcBfpQbWJ1jKPpg0QiC2nc1lsr9LSYEqlbkuTBAT4ozmIo
wde3tDYKxkXPiefgKEi7p65GoNy5bf7dWFso6RiKX+nrygudfyr2VEeuimGsM/nbEpdui6e+2Fdw
FeiQ6ROPS7UUvD9rxNluR1ytqe/qtR4fjXLpzk1npXcMON8MoB8bF8oAxRxPADeeazNfZIhfgy+0
IBwGW1s3mNZR9xKtC//c/TcY4MHAjcmrlaJtDxprUdd1TJLGd6FnRzChtXy6sWKe0h1UcE6Uzk/L
m7dtNZeqJ0BgX/KkdDuoAzSXf/4A+t+8ETXGXNQGGfzAqyT/zA2Et53c5GizSc1mzf9iKcWLn+ce
zyXeeUMnFKFONBDPatBfQRgVzwjscTfauk6ejAQ2fpGOZ+WkFLkq2q+GZd/Y4+BJXDITNyiPWn4I
jk82qHlYVH4UXdF6IfAQG0UGBMD8Yg7zlB+bRPHn/1wFGMVE8uxCE4g5IOUtuIDOIsIOpywLGA4D
B04dB4HU9aNhRiw3JoRWh3aRmlwMdSxamLrmktKx8y19Y2VwM/puNdaWfkS+iZQeqYI2oD+b6afl
ZIHlnCUIIKOEKmhxLZaP8Zeevu/+LAh7Fh/9qRzWvLmhOSDKK9I0L/PBH3sYG1y+3X0MF8c7eokc
ugMkJKSQMy/qARouixepQG6FyLnIn7UybXufji+s/x5hD081Es132KakoylkHMBBpoF0yXGgkAK5
Ga26XyWcq/xUpnyTi94U1W2zKCM7jgXX3nVaXiWBptXdF54hSTuzVnYcqkKN9KSiDgGKkDSRfNPy
4k9DT3IJmuQhPjdptcFVZa9jsU5zjBytaS4FgyIk0bt1pVdygMSNDX2HJtCE5s8JxA0pi/APji18
9RDeAE9OBgPx+c/vsKP93kMbjPPxOFU5JNyWP137nFe9N2aTkzjQA2IcrIu+v5pg70ZWFXeAcZDo
OvqVkUiwXZFENrmyAuburGNdf+C8EDkHqVIdX8Jclm+CbBPsYsmylL65LjRaQdbqn+Oqs9pPCmFO
dOZkz+NndYrpC3qo/LkXHo98SuelCkonj07sXSSIILGICs6JCXAO2opFz1wwx8Lvjaryjr0yxB9U
+e5L3kZh5mrIp1KcNZuQl2CJR63h2Zvj6jlOTcUWUtxNM9RQQ3DsoRVB1mIZP8YZA2xMZgNCpeGH
2XlfcQ6yIto2m/V+0NWXn469/2ZEXf+0B36AUX34r/8bNtUlfetwsv0YPsKp/sKz+j9EsDJMrLf/
f4LV+Vvz7S/Eq59//k98lWGLf9HCEc7/w1bxf/7LQ4akW4Zu2ACq/odaZf/LNrFjO9gUhI6k8X+o
Vab+L8s0HWzApuuBcpD/EbVKmB98rfx8bNqeiXEefJYujQ8e02rpJ5S8eXX1dEDXaPMIx8uZAEu8
Dnua5TiUFJU/EQBPrjffZUDxlgPYibQOClue0rm+HfVvskA06YzvjWKWT0GBL+Ocl+l+T0fqTonq
j81uGKUPnhkdZ7ry9JxR+qxKKzlzlIqkPzuiWUxYaFTSakJi+Y3IFEaPlINohYn0tDaFWVOWjNlW
ZLlw24Rf+FGcFi/rkqzkQpnf4+1ljQAK79z4vo+HmzSr34a109m1OPSsjDTCuPlk6qyQLOrgszpP
ULaYX9x6ebPwEhy93GF2XSQIhYGEfEFMW15Eb4zHDMZBfs2u0vWOgxffruVtbHUBaTQnj0oTVoyG
bA5MEObKqjOKQEdkE65x/NJufPqhAXpTvnn4QTaQaEEIwmlhKkQfNsPLsCIMWnCh5FVDermNrgHg
RajEUvl2xcQoIpL9NFcabBQHKvqMPEXNMmBs40vzLfNIrCH9BGEJ3QaUE6liP2v72jhWRiFQEAzi
R6N13X28jqQ0asJ6Qb3xrRQW6ConR/rbY5qFr5sdPEHbr8eb1MeRGQ4d7tYFqdDB1JXhW9HEdIjo
HFhB9ds0cspc49qDHpn1535B4qdkiwXGsuegcSXzwkpPL+XczyHtAqLNjM70o6lvORx12f3o9s5h
VRbYf21K4PbCkTaGHJ/M3DOwLF6nAjJ4Tr91P0wR3OopA9wUTcULcjgjrAajvKvZ0shPaP8oMHUQ
Q1tlgUEINEMi5UBdrl8Ni1BLHItfK3RW3EZAEzZhIiF+WppYw5jszcL+xJdHodnH8RmhD4a8Vqqj
4zkPi91XftGg7m6tGrPO5gmOcic+qNx7soUOe7wc6NFmpNrFEIkCdyYjYsWLcdWHyEVJtFg3FbKJ
r2Jm6jTQog/aCtIkaBnMD3o5pt8I2XHCZdoe8jG3bpyWWYpe0H4TlY5mPF7qc4YN4NSXENCo4SUm
PdyGPe0Qf5wXCy9oiUJGoYROTL3ZpQ2E3p5MYJwpCKm02JnCNCN0CPlaO2GUS6dLKcWmq10dE0Fr
BMemR+4D8SM19vtpRrZo5CvuIFMl9xpfZJjmHa4iTePUzRjVz1dydEyP9mGv4eR1DGRIBQcLv4/K
BMHOxAgwWl1GmKCtDLwxL4wvYMcgK0CRNPQHkzbqjdFzKJTZZsdCkACEilyHTYYP+pwSdlchpmMY
qwaAEVviBsfbU2Kavb/5+nZqjGJ2uxqluMdRDtm/QexZiawhRheUTwhZnXh6qhSi/nQSz05hvy8V
EqdSF2gZWcg6Jb/QjzPIcwJrlTrpD8eK2ZynGT6czSfSxuW+6ujjWVqchl5X0jl1eJmtKp6ZTBAl
2K5eFlJT4zRI5Ra9orkBgsT2UiCmOnWALwJ7JPkiNVQZmlNEoJdnon2NivRc1RWvikOkVhfHa7iU
THrGllcYVwVWDXQZO1mm32YgKagZnPoc84l3OR7evat31dGMiumE4Psr6Ab0YtRegT7hbNdUl/Ol
Ej/qYmsJu6Z3jpNZyH2bIaj/ZXv77zLgV+rhByDDz93DM6Q0JRuYAa3gr+wADQFwS8JXdXU8jNTe
GNi8DHSoA4+8wkiSkVgb0T9wZT9QEfilIRM6NpwZkAWgET7sWKNpDd3KYPU6LVxM62MXs0hEUe4Y
zj/gR7cf9QsagXE+6FGJ+AENlm7xT3/9eIA1PL5/R1y7PPujrTiUrNM5TiN6Rx6eD3H4/d382178
4XIf7qaxMm+ncyeuWpq9WCRYE20ZEFN0brj0f3wp14OgYZkOVBTKiL9+MlETSleo1uMm3vXiQvZa
Zj0wnv79Vf72VaEQ+/UqH76qyKjQ7TlcJRu/qOocVQ96cv/7S/ybr8ijvQI+wrNMcLMfPgjRagjT
sJJeFVKhxTrT99kp60G3fqjh6+8v9W8+DbYvcq6kA+RTfERqM9gSkMIN78q0z6SUN4JkPf/+En+l
Azs8cPTYna1MNPk8zsdPQ85bV9Jt0q6oYmjyUAj8xz/fAylCQclFtpfnr197xpPOQzZlD92WFCaW
L5XTP/7+En+/S8avl/h4l0BTbRGKI7HbGY7wzDt56fJ1JQXs95f5+L2zApg2BBhukgGKaiuef8Vm
x4IKZIbAe02aS1HcT+PeQY0fMTO9/P5CHz8PF2Kt8aAVOSQ4yO0A8OuFFmITjcWN06tTcBIsvmnp
p9z6hyXtA+qc8FeHwOMNm+ToLo/xT1DxLxDwCYIj/nXCIhEl7XQUiYt+xSeUFrdI40G/0F5AaZJF
z7//bB8fN3p92/mCZYfnmQHsh5uYVHCdczCX19Yfo/eNsfj7n29sN+fXBZQLWFwASi1gPtyrH6i4
GV2UxKApc6VrtwdK8ZzEUFeNh8xDCUmTcjQRv9GnvaL1oNnX/8Mq95P69PH6HGscbi4AJfPn7/fL
fQWwtSxrkmVXZnD4xKapvnQCwlinHLrUOjydcsvg6KdaD+eGZsuEuPwPc7Rw22n1i6nPgmEgPi2z
zeyHEvPKadHlu4oxfdJwQFBIu+hQgY8Kjcmmn6Ox44N14GzOxhjvGBhSIssOm2DuirD37OjenZD5
Tla/7mki2Ec6Z/M/bFt/f2Spf3mOAHdagn3yA9EnZ8TlNoTEMY87ei2upjsj/wci1b95crgEywUD
J8f07A0d9cuNLWqvE7OMOQ89eA0lxz+Qj/7+49msXQtjEvYR2n0fHkwsIJim53a8zvW6cz87hH3/
/sn8pwt82DYs19QKY7uAYuaKMmr4hw/Amvf3Z5/1W7dN/mUIfuD2K/xyizIpMh0on3Pv5MyBigoh
EnS39DiYmToyQ+uDgur4xcwY0A/sBoeZPA0dzSVkEcebnV1lxPmFA2rMDDRUGL12GCdwiKTJm90L
efUibzwnkGmiPd3qryAliL9TBu6PNk0t1GIT2R+c+jikz+adnmaQiKHt0fSc8X3RhLtBpoLWaRz7
GpGCXsxhxU25m+qh/Jx4aXNYZlWgHRPxD9UqskorMEhnRzRJiBCew3Lmqn03jzRyZ5GjkuueVgV7
mW5eHwNDpSSmE1iv8zlfrWIvsIdTBDOmlW7ztVHYUabGBHyie/wEU3l3WFjKII83Ci6U4oVRO7Dj
fB6iL4JAdLCZS3sQKLMuPXoSwmOm+t5VWouoTa9D9FzuHzIfkUY5TZTcSndtn6xWtZfEKuXZocMf
jj2Wmbyai32K4PqVSYeJib8aA0mX+GAXrvMdjD2iwd7RMXTMOqrrDs8VnnZMO66OoZ66XovFvO/c
5a1Mcbj01fTVSdAIWRukFCWYRB+SgGBJiTQy4+RRN5sXyFQ5OhWFeLbB+4e5Vt3EfawFQzvlP203
5EO2BXcqstDU9xqWQwnwQbnghDjlSGaSDAPrwlrv2nSq9oPdZjts//ya3dIe27hpDmPqDJz0LNJh
4m481lOehEYjZpxrA5LGVqtpzgy6c2mtvDhhqeVE7hbug+HoXABVAkDKang2BhzgrZbl+35j75qa
jtyydYeTUWbejVGM1q3RzfptJ2d7lxf2ek4tBKcAK9I94n3GFwrjQFt5WrbX+sa13rPRvnBIW7BK
gmdExVM/SguuNiIv693h6Aetd0tu6cv1pXKL6IQgeD4vAPluV4D7fjF562MtvPZmxBr1I8a3je6X
cGiUU2jNWIdF0iASMhvtfhiWFYm4vZlFZXI0Ki8P3VqJe1cqg+/UEfc0KuQpc5hmJDVmoMxpOWrF
rQgqm7/mlfGzBwliv0CRRqqsEqbfTvnDI9YbCSWh9uUImzOJlLxRvG6nlUbwOde3SL1yaU5VTXAu
rACTISPZY33GgLni8X1kKEVqd2L14qGbJunroHF9Q7OREERT5HOcb5CN2sPec1xtx2SJZILFHn0j
Nr91wAjxew4pR+qmh8FANrARk9bOTS4P9Mzid3rkiD5qzAG2i3ewGVCcdl7tnSpbf6glyHWbAKZT
Eo/1naam9pRbyRRCaLePiJG9Ewe55RYTDAfFxhAnhgwxfxh4plET8752Mt3JZZyznbUuBak/zgYK
teYbr3W63YJhbm/EHfOqbTRRN3QBGvxKjJ4MuizgwNreksEIVJXJMKa3Uj7Rd7jThpTJepTWt5Ii
6xabJQ0fq4KbxbeHDKL3s+qzO9uBV8owVkSHj+2chvDhv1MyfRqEHJDZwAj5w4xVFzj99DTLDXJV
RYRPYWnaJ6Dc7iFMR8d003kaxK2c7dzRQjlnyamj+3lkjtgcSN8dLiPuZbTdAsMe1EidcNmYNsBQ
TA9Ay96QzqTBHA3QHVp4o67VWbgGBidIeykui6ayk9iGXpYYt9mJRkh0EdeAtp2E8VA3BaTEI/lQ
qWrgJtOf97uBhQtNgv5Nk3Z/Q3BtHzasqocOpRXOmcjBfL7wWk4eKcIYDcKiAMJqlnG912lN7VzC
sa5ofMyQFKviWMlKXqYJfG7Stt/XrPFuvUyD1pPqnMtTL8eKV3vnsY5eRtsjGFv/OlfEyMq0cSE6
pbiJJpQVlarezEkf/dW0Vn8eXNbGvMhf1VLiaAOw9WC08/QOthnimkDO6utynD5PDUB3VsH2RCYT
kMx4lDfj0ut+XHOSmdF+QWNKH40RmENDZjT0Ko2AbGM6VnFM1A5pyCdaLbrfb43PMck8HHujCjUG
7ftRLBk6C7KcZo37Obaa9xXvexfWWVyeFm9pjpaEgIWXF0ozACb8/2N2nSWpV2kTtb5gpLVb7Xi8
w5YLQayxwF4QAE8INipEWF2N83luJJ6UOuqPPeoPnkzWON8mh80vtHJ4MZYce2LqajNLPHsC+CLF
pIjbVuidPOqjyD+BRaOwtYslpZkW6WesZvrdUFzRyecZvVBnfgO3qH+GTYMKAorRgZbpYws8eC/M
ZdobhI0SDTO/g3ojlKSqvHOXlZACODpeiJ5Evtq0BNVLh/51lrw3XsajLVcIU1GlH7WkwuyvlYTW
2Vp6VY54rRGHfzcnBHkCQd+962T1K6njNkABqaWBZqrmzsmEyZJtF4cSBd8m9zd8DWTFDTQrbt1I
7TDW2duoLISDXW+A4Stlnz8krgQwVc1ZfMinJTV37N5ACKFhHUq4mNcF/uC0q3p93dfUFXc15UHo
VAKb7+C22BA751D0NVaIMnmjDbbsLNUCO9SsL9DCDLQO8avOhyDcvqcXvNALRonKtBq6QtWzKzLf
+kR6cOK3acG+XYGoxiAvh4fKQQzTDbZ+Z6RDceMSoxSCVl1QNa4ocnRrbIhvLQfrrCVOHPTKIfUx
kuWOB79/UMWIQjFqm7u+Yi+HINsHGDXiPdL13hcC/INTT+nLTMV/KrdGKGoZfrRt4sEfYhJDa9dv
adiHZGobZIAuy26akjloJ4A6U5/9yKyo+5bYxvu8/Xu2u4AHZ4ARMAAv6XBwXOx4/oboFp9kgqa+
cM3iqLq2eGc0tGleXd5Yob9ZWfKtnoX2beLEvB8tdww18B6foTG4/kgYAX81W4a7BpxrUEXTHBSe
iI+ThR/OGdzZTz1wvXPa9H4K4daHUVBDSSEvwe0qSox+Wq4jXOS4rrN5hz3k1RDru2WTDNKMxuY4
JNgNMYKT3igyk0JZMiOY5fQqCpRXJK2yggybkYpwOrZJbZrvZBEDpu+2HFfOS1mgAVM7IGm7J4H7
TjCFGXQLOeZzF78QFhimBnncGuslPnNL3ZP+DlNmbH6ggnjvNG2gMbplRADu902GSTfTpFX70pMk
zI0STnY9o+JHXuE3EqmvK+EzW97Qhj0mngMK6XI30W8O5s4pSRir8kvN8nPHRKrCu0mL0YLJue/a
hiFzxxdBVx46B98cyHIwbYeJNLSAg0AclIgL96NnxichMG/Zuf5HZeTFcckI6RhTiW06F+NBa0rv
3CLeZteMuXWma2IAXlx83PZ6sBB/AKJO8L4W8k1kRPoJIF3shaymdTTbBwPUyJPmYUZsBIV7PuTj
Ke9IYcYh12Ih9LxbhL13nVesW06B9hwXixWODEKeU6h9vK5MBBGcoEwD254l59GVjOlRkPCrKXWO
S4M86NZyHxeXLrgpNEWLRcU+VMa3auqBgZI0foEI+E0alF1pSW6EW64UCESN1sd0S3ugRKqDtbGa
YBgd4i2r0T7CmhjAwlfRnTLd9jZZmtk3y8Z4ZKbOxJv1nw03OREO/8BTZwV677n3KHfyK/N+XCWq
flKIiXj2CR+eM+irVSe+oFzGgJiUCrZ+9R0a8xACwuNR9ViEXJOZE6SDBIlKaS33xeakQkGABBK2
AdTKNBtgOgzz4kcYPPZOqw8J4BaeYaxA0U2ChUzxno0EPoupC+api66ymObLFNvxhYUOm3FbaMfI
zhA5t5i9qQbrvUEUDM8vuaas+tFw6ecWG3hWU3Utrcny05UFKmE77h/7XthvZZVnYdlYwGBzZ/q8
uc/uYxR2B6uJi6ccf0hotiiUeRgbHIVw4IhcaYFQcEw6D1DCDn3Pa9ga1nA2dPc7meQybFEW+STB
JweAeSgTM0XYoYnfC/SptosgPvuWlXrBsprHaAUNm6ZggGjhNxfe8yIoOR0wLGvTvWqX15xOym6D
EB7jOn5ntjFf+iyaP2OEIhQ4tZO7ReFp53BSgrukbhTWpO0TELCY4c3YN5veDBgKkY3AuGz9pNK0
vQeZx1yoTLvqQDqnR8QKysadEEMDqiBh+onk8VgsxvSaVoIgWUAAoZnr4xFi1nJ1RbI8Z+QFntuV
REZLA8jlER0IJlEj2HOxyONdJu+lkG32pGkGcebOANw20bT8YHLAOjCkdkK4a4826oyY8aWaMT/Z
+aMwmmNHGd7QLUI3iba10+sD9VpyttHwP2d6SymHjPplYmq0Z72sDrYAmVr1ETEWAMf8TXOOOnls
dwOJJWiM108cuVCNdwiMBqQlKbNQLzkuEXO9NTXmbxWq2ZCIzv5+rXADI7rNTinojEA34re49T4x
C90Ak5jkIixVx0Jk9gV/RPYoeXZOZJvGB2B/LfdSZneWbam7drWtvSHU1xLR3q7x0mSfjOZy8GTX
hCtm8HAyksQvZ+aiHJ4RgQLigAUx9kEqqUbx0AlST40fMmvK08wre8AE5QZzapT7juUx4ED+kBrx
fEqQ9MIHmLsbiXx/P/U45VjHzFuH4TlC+ji5qyvZPVQmGQ+Qh+wQYxHIqFoaAXwoGD0N31+bKWTf
STphL5NQwVYaWQDYau9rk6TvENg3tIdtH0uNcPGcFPeBmHtSj6wvkiH/sV1guOm519+YxIVzwPSe
OVIxDZ+onKYh8UAzTpvBvTWwCuEtWyOyYsyV6hxFrn3KTAAIxBagEnYFbz46V78icCJAd0SGU2zo
QZJIBvlgpVKTOsxmS8BIOV+gk2yCLnhCpJ/KJyudp4MdC/uQeqvpEx0zHyPUU5Adeu+gvA1lumoc
BEbNfoJJRmBpCjFnno3vDOhzvwGBfltmxesS2d1pysmYFaho74c2Vgc9n99HZ/TulgbCbWZ723pY
qxNWGygPHQt78l+kndlu3Ei0Zb+IACM4v+Y8aErN9gthSTbnmcHp6++ibzfKShtOuLsKKFQBLlHJ
DDJOnLP32lqcH7EReDsSnvt1MFIiNaPDhufHnJuYmBw6NTuZR8NZDZG0vkhPufsx8bN7blzALR8S
SC2o3ewk+2p2xsD7ybjhOQFOnKJI0zUdY0RrWUBEjHKhChvsSMEZNCRqB2ehzFaqwPqsXA5spsYW
ZOSqXaLegAngNJiOWhgZQadSBq1hx+PCkXkAiLQ0MUIvB191oG3b735R0xQqAck1Oitjyilww4Sj
vd+rYOeJHEVbYMeHIuiTjTsT5YDxaYVo9nqVQ2OIrWXUm3tm69atgWnuUXMne1m25TMqY38N1T4A
dAGq2AsjcIwS6qISKW14q+jRnzXmvozFKxp+ZN+Z368rp8GzXwKnwOw9rpWnq9ekBqGrx1nDaNbo
t7T45YbmMQ11p5DDlp4XAucCmR1S3BLDt56g6wMLtiXEHa5Ri9Sik7zuRDqXpiF8lzjt4Vr4E0uw
16054Zs3doEedOpySn3cHnunUD+MxsIwW6uEBCenWTdiwtHhAnBPOjO5L2KKJqdq8m0IsGSv9WOz
bYo+32WqCHZ2RcJxZ6IHzbyuveYjkAM6mOm1CZbpavCH9lsciy8M1ltMQFDHLTMfV0Gf6ZvYJP0c
4Z25jQHPMpgIxh2tKo7pUci0ewqyK68Jy0fghsWtLsQPCDAAGyriTO0OeVDbI//wzDiHto0KJksk
VQl90jVe6/pGYidFa46ZJoL0cOxN9ebwF+832iSpjJJbDi4jQhQ3uIngDFL9sLz2VZIUEMZ7b5dg
ZDiS4J4s+hbhUehzuwkojg+OzJxXj1SNb+1kjGu2UQUKfUTiXeG4KWOezDgsHd7YTqVB4URfXA4W
rTPezAuz7OBHxrAHKgzmDQLbXdCM2d7hLkHfguSUunFNGHclTmXrIiyZGp1i0o+2vU1WkCZ0exP4
ytt0rdssGJrwaWbwfDwptbODtNtUkfsFp1y7zWl+3VVjNCDHrgx2bZbsgFjlNraiblv4g9gGYt6r
OMxtnKgWa6QHZPxYNsyayn4FiFLsJHIVuOBcJsvH8BSYotgbyDmuEaQ0yPiJbpoGaaOs6NKN2w6o
fMKZuVdGyd6HHbSMYzdZYSZBjm50b6D3s2VAMu0uQDm8KDJVgpahsZC3mdiU4xza45b1BzLk8EED
80rQC/JRhsBsqdHcMuag2C+12thMIR2OfgsjZsW2BkSpYSNRGZE56F93hZHKK2i4AMYcwfGfxFdq
uCDPj0Tcy02gxCvAX9oKsT+HxrfY02b0W5FgC0PeT8eaVL6FjUjiSuLiODihkW19barXpVOUBJC1
kDJSM98S0wLT2LSL6ynV+1XrAKut7ETchciEdj3S+MWk5d+nIMn2vHLVhrBxWA4ZtsbYTOjgtj4V
RdCmW75RQLLBfEoEKIiv09JejbRz0YFqlKJwAw4Ig4pD1GjysQp5S09agHjIDfUNEXdYVug2iXTS
SHrrORhk5QTWVRK66tINWyp8LFtlYtTBUYNyRaYlbeD6WU/RO41jZazHAUK9xiRuHxieuO9nHgse
rAUsrH6RUEvhacUDmLkeUFcdFTBif9IEOQ+/ZJMc4HJoj7ZDQ7BBpox+uNfZKdDkgOTBUeA29KWm
6t1M6Rp0EAHWvV4J/G9TfTd39HG2uWzYGIi/Y4NggtZJ9TB4DWYg8La7JFPpqiL0CELjZF8RwJCT
LQgWi7oa9u0wG9BpzhEAfqfnxyQ2tTc3A0SlmWD2UQ5za0Vp39C5hHwi+G5NQxuvQ/KyNjgd423j
KWc/ZI56tEIfRV+kqyNSXnOLArrdUNjDU6mrmg+ezpMGPEqGG5Urz5DVsmscFocNBa4vMLd3GTaF
2LTr1yhBuoXEt35QVQ6qWjXugOM4UdcF7hPYEomxRBQtn5m5dGQDUREu8qIKmCXkFv1R3Np+hmrH
w2TUpuDdtOalJuiRwOWpWuIyBiUk+/rK8eiY5G5ffyRkad/6Iq4wmYX90clkv3Wn6Bn3THtEAIcl
ICW5ivfZgNqXowsQeLq261xS85gqKJ5MIm1+mL7utiwUDETwQdEyufTbWqvQgfx730Yxwf+DiUpH
KqU+1OsG1OnoHkU/TSvJi28by7jbzITWJX1WUCWAbDac7MxD5nKeGwqQSnQ6jJEIqjBDWzalwbCw
vaC8xfIefFFJod0oi3qrHWCj6T7eKx4c/w7r67Ah90k+WL5QHuInOmW0D0AOhnDBXXOwjm1k9zdo
jciYgZ/y0rB0b1t8/iFHQxfyU1++VF2OtknU5aPJ6M4U6h2jtc10gl3HsKL0mxvrci/8sL+1Kb2g
mCXdzg+xkxBXKr66Xqb/4HD4hQDN/oZpm/7VA/f/HNuFAu5Gt+ylS91gX9GA22q9TvhdRAy5wUGh
dNyN8BrjhkX3bGCW61cAQLNHfc4gI9wsxds/TSRylWRMpZVjW6uCeBJ3PZXlSJXDOslimLGqdqxb
jpYfvAtBPRoRvP2hvWdYCOaC3YC2LqVDJxlNdwU9MdtojcVoxfbKa2uN5ZTUvGrN+ISF8U3vYbzo
OQeLGDMhwPOIM2hV0t0jUnOJNsbHYdm/oamy1yERUltliI7Q5lRoVyMDhpWLOHXVsEDu4p6WQddY
HedmzvsgsqmksI9fZVh2v6FPwsNkBtabY/v6SPOsG26j2tbWpRFKMKKY4/UU/AGpCxmz7iImHpHB
/kaMnv5jysiwCj2Z3ku80iBNwurJNq322kgyAj7w1a1E47VfWubkpGKu06+aGKadhql3H+qVkS3I
ZiUFI/ZDNqdIvbUCvCs9ZViyustidHsD+F3DkTVx6vDFI3PwYEyqBYxdC6iLUwEFxtWugQsQGy/a
HaaxaOUy01pzGEN/MGoYjKwih0lXQrotu7LZQr1ol6Whp9T/ibPN8jpeqoAQ+JWX9uOTEm5MrFxF
Q7Z2wnKP0BqtLwTQLTHCLjFiBp7Uona/a3DyN0Aa5i2aM5ec/4FlQdt6UCvX0mA2ViblV99oxU7I
+EMLI3FyNJ12NLgAAxhMoOmoMkNZP7rKeyiKQW+3rMyZAY12tx/aBmM1TovnCsjER1zJMVq1gXSv
/CQ0qBjoTxURsEDwssFVkxZA69MpY25VOQeszGOPn9OV5VYvJ+2a32NaVEOMUFnOGbya4+KIw7+2
ayY81AuOOR0ahzggwG9KhnHb8rVsbT/ovoSxEV+NVVndgFjE3CRQOUYZ0TpE2MU3hQDmuE7sLsjX
LtPFVQK9i1mcp70UNlgwmsrm0qJJtZRBgeuV0fCmExCmwlCfYEW3IaymMDz6KPMOOmqSXejTJVHK
rTjFOLDmZ2IV3RRWIYOPkzmF3a6sRg4vZpbccwhDFlqZHWIUu99ZgsLZ9KW3jk3T2eDTCDZF1k2M
3HnkVTqVK1PHgdaOxbTLOsNH3isp9APMlF3gJksnMQzYxb696ohR2gxQa5bOh0/kpvalq8qRPRsX
2sKA/LTMvPpHRLxuuYgDU9LFljqz+LlEM3Jy6vg2vplVrX/QyNZbft5YP3R17q6VCoYlvo92g2eI
8JUWO9ugh/U1rhKGSyPBP5rb5xuncayjM5AlZ9qtpOSjEz400Qfna7nqpxhR6FyONV5Wr6KAdoXB
HGapE3Cy09vxmytCjtYZCBHmfF4Q4SeeLZI0uN56IRu0w7pNcyd4YIszn/1Zak+PNXnhrot3sIy0
0eoKJUJiREe/jxMGlTSZeIm/p7aT3BmMk9bgumyCwUR6PyrPek3aDNhhY7XVqhtSrCwBLv6mA4KV
lVgVq5Y2sZPYr1YD2fVn+IcH/hPSfCePE+B74GcaMU0u4VVLzkCQl1qHwhwUCFmeDG2+aWNRhZu4
0By5avU5XDMZSDXioV5McdHuvcbuMopS7IgD9caNmi2fCTVCid2RjrJdb6TbtzvNx//n5KrbZUEf
HBCfm2DJHPk6psLCXBgCiyk8p79VVQnHyR7Dox0Y+lctNamNrMYvNlY+AJ23e2MFCU3tHY4sjw4n
pmUIYflIfDRKAlcULx72QQ70I3lJtolK3NeJKtCZUpMpHh8yvZQMFRGnk3LRL1uNBJzWNMRa64t2
y28zbLHhuRubGKiXOsf+qOs+6T2jWT6krjAfg4xQYFDvoOYC5o9R376B+qGjaOcZ0eV6SdNPdcew
bPJNLNoM/XkUHuDC833EkvoIc5yCU6HwdK6cckwftTGNPxgBum+hD9FD94fuB3DEYsORvd9mg0ge
YqjuO6FX0duQkFag1xxhaLL1nBtxLE1+mTw6JGjfM01kXNppSO0higuSnZNOv1WSDj3WUvTqxhQR
S9omjGH1RsH298lwKOkDsDBr7CHKySgIRxffE7FSnjL0tUu/Q61Bxozkg5AF3IUOgzlljhvLSG+M
OO9uB620sIIYHwTKkZps0J/ujbw9GlMW7ye6t4yaillUo1nvugJ7NJSOTivQehvxDq+dsJ9qrCkA
i6jwwY9rcyZc4WwcMLiTPhPooEhFFqzNjFjBHDBkiLqMhk8R+PFDyMK5T9I+/qAbp9TGKqfojsEh
QnYely3Sx2nmeQUrYFgqJJBBjqSY1eFNyuCONvuk79OUNrgoUm/H3SbYoeokIcwKd65uMIQs7duO
AudkcUSrUNak3dZXPKqTRABCvauvpW5U+wL88VrUO6lZR+AnbPX9yIMSZuUIiFFv1lPawhooHQHp
XGcmcRXlkjd2RQixofziw8QVzMREM452Ie0v2KXJUApSCFs4wRcmhcmGRj9DOSfQ1wyBvUMrsJMr
6ACmYQ1UUGqEoFjzOik9ctpjUL85usQo4FE3C0PeMnuQXzIOWBY5mNTpzUDPhDkGsoDUisx6CfNg
fC7LttlJqAtzAFjkb7MQfP+iJvg7wZvHIYXYYo1QJKZUOFGwcnIvfGNst1bdpj86YfqvfiOnUxxH
9rOX+PSn4oCqSyNuzE6d+96ISeuhyGwuiNL+IANFJy8AiBjCZDBxLtyrdDPQWyuo7iJHXjtMfhUp
MpYCclWNt6aRP7WB/1VHYVCU3fpfBXGz6BgHPNGKSCXtM8Ud4Rn6FPFyuwN8Xm+JTfnXH+/hgsDO
hraVSZx5phekmmFeb3X+reD1o2j8/qNwGtE0MjvdJUJQovW0zpT66ZDrPeQU/1Yf0uvE61at1l0Q
k/4mGXQFPj1SZTxEuqRwnl2ipkyFNtRPd7Sz2oQoqf7C1y/P8jZnQTYiMkegzuYfLIDPikFoSaMV
2DVxdII0OUdq9tyZbPtjWrdYX+yMqLvJnNZBQ0dc5Vp3jaM4ISabo7dGHAhwCXfi+NuF+qELFDAl
Enb2IDnkQuqBuivQuXyl4mC04BSUSBd+/1k8/qvY9uev7zlovWwiDkmd/fzrp1Kvy8HJqpnUSb7S
bdNvIweYhvus8yYgP35BhtIFneX5lzJf04X2YNhE67Cszm6Zn+roBWDj3fg0+4bywcwvyL//965/
/lizOJumiS093TGsMx2njgl3xvS3N4Hd1HiYHLq8iaAiRAgy9W8sGTKeTLAIQNWZcsXh/BUgi1tQ
NtErnDh3TKU3A0wyaxcxUJgrgP7Zx6+yVCV2JiXnnneasRfQ7NlUfpLvHIOe1cJ0U0irg2NtRCRJ
7IsAw1otFSgTXAX9VDAV85p9ypF+lUO9WzIff6b1kq9wepYYtISGRoRkoQKoKF0YWjZawIAir/Mn
nx9LlamLRRGExIGZAnUUpSyvcPx/W1u57drtYrkDKtIenagtNpGTJTctj/jDqFR94/Q8Z041PhYo
Km/Il26OhEHCqNmLkoTnFlsbpkRZbctyICKlL9+ph+Alyap5dsgx2eeQlFc1ApNVDLJiL936QJnP
yQP8dg/gMP3Ow+Cewg4sjwm57dpxs2rvCK9/jZii0DjvbGczjoLQsIAz7AjvhGSvGAMZ3iFi5q0U
eLCurXppAPXO6XpVVtM8gEofNkPbxTfwmboTAJTE2gxZMu3HmpNxjndrbQx2doAFFJSkhIroEROk
tTaVNoA7s9+lXdkkHHDMHXHrHjJf2C2AQAcnpz8Yi4Q/cx2mIzsE5zDKmGiwuLdputfgM943RalW
Paj5tVEAPFhkjf/dtdNw3de3At6EC+PQCMLjGEnGRRHw1UHvi7uRbuh3CQ5XLQcGguUiselc+xNS
2KaxCQ3y1HgVSJCaKUlGi1Lz6HhBGSYjau4XuRwzjp6tPiJawicvdsp940wcToQW3wgCivaTIZ1V
Rv7ZljYD9dSYNNgMfV0DuNGkp7gpxrXeVAztXaLhId9bvrkZwdxFUJIyBZMWiQkUS7x7lT3YyPvd
keGHPb3D/cHPx/pLQMYkTHEcWZobNc28jLAEHGvJUL2iKGf/d6Zk2yZjcQRV+LVRXvQUFB1NqQQp
Fm6QgGgZfYCZVUfXMFIYWWgdJGBymg59WIBBtWJDX7ipXpxK7cvYvMA7lHLaInTF6QfS5gki651W
F1cRB7iOMMnraFIIF8N0hc6weM7Dxvhax0HyEFRNtZ3odu1LAe1ZCRXeeH3pkuSu04l0BYr/2Apn
CXnh2EeiawDvMbV/KVBMPuUGFRxg/lr0kJmLmCDFCBcCgy1nOOkOQ8gg97/U4/DuN0b5ptWwOmMx
j0Bpq7o3GtIXBK6WwawyEKuKCfcSo0G6p6/dH3QnHBm3ka0AYEdNWyT07raulC8Wcg6WW6dk1cad
fHE7VK966yKfHqY5Kaj2Zta8p8H4mDzf2DCLkkD2xuAQ2NpH6UlmOk3+PUAGRVQe8ht+Bf8Hcp9y
M2hBh/quVks54sEenerH2HF4tkOHZnwwq2VT3dnBRvdWnSX7g2QL46uObCR8Qj66klZCbw/fbOrP
D1FD8wkScqCY4ZnXWujVR80e8/VkmNWVX/Tdumx676poUtoTHuzB3sIiOUowsG6EYzMzS3rb7RQH
V38vVuad/Jc3PlJ+ac9J4tKTloFJ6swcMNU9IZN2K+5kGDrDGgXYdKv7efQQmKXz1rp280QWasIg
n9HmhU30s3eDnZ9937akYzIjNL3fNlHAXIk7DWjhKxQR/VrnPZpcKPXmX/+/jzdfwtBdOZuOpI2t
6adp5hdjQq54XY1t593gOh8+6mnlE6dxqVq6dJGzXXPK0gIGJRcxgSVXQClXRrS04gvb/6WrnFWt
dHPSOMl674aDyNTfgBaXSBDVBRvj5yKDG+a5ruR2USFzu6R+VmTEBopnEyo0G0ekNsEAKi8eu2D7
91V3/lk8V0ishYaJaZJS47x8ahLRwIitpjumvER+T2NCyFmdb3QECgdNpsmFlfb5eg7VJj49m5fU
/E8LP+Pnco1Y5RDGbC4Z/BIgEC9afaVHpDRry79/rs937/frnNXN4JZsDuaFvDanzr2FsTeCtEv8
r3+/yqVPc+ZsxExWoBzm05TwEqD1Nu8a8m01/ttN43TkGAKzM3/PC+Gn6eeXZwdziG+Eeuo/MBSm
p0lbb3Rofl54Qs/MjZwBDcGz79o2Ck7uz9mylhW+LoY81b3PVgknfeWHh3rYxfxbbzkXPtLZ9zNf
DFT7bNPFMmbysT6vA6NSKUQsVdwTdgiW8unv38sffjqrGV8jZZnumOdGMa03Wm/y9ew+0/fUrfru
X388tkkdqgoWDCyM7nz5X74PyxpMYACWdt/13iI6Ifu/cHfmW/3fy3I+jjuSZ4QMLr4NdHRnT0kV
9Wln+sK634zJsx4aaDfyCxbm3y7BdjO/kj0eRbYe78wkCVKKh3No65PTjcgj1h12KGrDv9+os+eD
USZuQPyy89nY4HE/ewoHCHaRDqHwpFv9uo3WVacj9X6GXn3hhol5vXy6Y3KWt3jMk3T8gZZ39pXk
ZS6bZEqMk03CHLWXONQWLjOrRRxYqOx21nzR3z02DWaraWAX6p+xovxbQ4DPCyLAFjywbHKWOxN0
fl0YYB2trKmG7j7Y+do21/513c0/3pU4g2kKmHjoP/94oVUhGhYLeqM+fbNK6xWIy9+/sN8eHMJ/
bQJLpKDdwK08WxWx0pE9I4a7H7OVR4UZbP7/fv7ZDeoA5VcGuIH7imMPcyDUu3+/wLyiPq2Dn48k
2wx9E3Ouaz7fogFKr43MjMZzWa20NjkyNlnhGFkCJdk3SbEONIYsf7/m+U0zaRTyuiTWFmUbj9X8
qP3yOhBNYak8Tij9UfyRJeT/45dy/vPnp+yXn29Ksp0ZLBbkrZ6IjcQ29Pff//yezZUnzR94E7wK
qDbOvpTI88F+0US7syb/2IYAvEx1SDviPhsgTGTKouAfLtyzz20bF0ggOw0eXuPnVendfP5Mog9m
HFuYnYrwBd/X1ENZZSJ4J5tXfwaZYaP4+4c8a3P+dsXzpY2INw57Ur3BQdU49s34ak6iqsbwI+kb
NIAlwyQkZAfguUeidU4XLj/fxP8W5v+9PLZwl1ehdM7NxSNJ7mgSA4Z0VX1gl31V0BQNBC9dFJG5
2Pk2jQU8ZGNpHwAZPGrMfS78Cn+652yHlPrsXB5u7c/3PIJ4LlpmTCepGTfw467Jv0atIacfbjG9
Ui8tbS/8Ngz1Nai9lQWtYcF0FF1K/C3W7F0dz7pRYiYJ5xSyPqLRvbBd/PEXFLS7pEHdq59jwVQH
Lx/oXXpKM17kE4FmlQfG1kTaRNytYRfjqrbb99hJLtTaf1wczM8EW6IUNPfOHuGmbERiximJ5jio
GmiBdc4xhT54Zj3xnjW6r25zpQ0XtouzXet/F8Wvlz17skdGL7DhWRS+SV6ItqvQu/Vfx+Bkhd4q
Gl59cHwpscdeiv0zvPBa8T4/979f/azK0AsAsS7YwZOWMOrElXpMncpi9oKZyc7eOhuvbEsCCXTf
OUjXyN+ZvX5PO/vBSh1iafRNNTlXJT4q9qK9qTPDHUSJZaF670Ny2oBv31m0njZC5euy5xr1lN2x
AWQ0mBkyeWReSuluxk79KDK8SmQ5LGdxd0+fUeS4czR7DScxXKOiuwkHiGHT9Irn5OgmaH/cvsRO
SSxqEW7gRK8MgwUT8KrvJUGsfkkb1EifyCd6tHP9zk+Aczf8bx3CwsYCxV/mB7cSa3OsHnrb23gF
Qo8hB1PcZ3ayLjsIpfi1N6CFnaVvZXSmRLyqCrmtbfm9q8xv2K1wnfbtus6IOaN3FKEURYuCDjoI
HqsIanzcyBfRBEfH/Z4wg6cT+Wyb9BCF6rblxOPeI4VcBj1hJaTAj4X5OGhA9WNCnkbaox3W6rIJ
7i+8CD6XZf/ni2fcwqGCgp+9/vOLgPcAjTdaZSfddu+Y8MLk8oYSVZF2GAK5DcdqbWXYi+yJ2JyJ
oFL/KYz6pUA1wCzsW660EyaTS29I+dsbEvEpw6CfVS/wjLPXk1EwL47Mojwl1YfFTsD3ZCIv0cRT
FW881A7a+K3tHg1FO6a+sAWK358FlEjMviyO2/b8b59vCYiduLPHhEoVH9dxQpW1MTRZr6PWnFCM
DvqPGnXS2+S1+DGcurxt0+kN7UN4mGDUr7XUsA+q99rbuppjvKKgPZg01jd6n6iPv399xlyEfd5K
+F1Njh1wYTjc2Gf7tYtFAqmkVZxqbx91H1Hx4k4wGzwi3b07EyFJrIii/IqIdFFUN4ajv9Xg+6wp
v6qHWx9ACP6XleF+y6Htd/mPgSFoqtU8uziY5/wViA6BcTXoER3f5M6L/wkUMq8+5mZCutb8XdMN
OnvXRnFQMpAay9Nktkd/TO6SqAILz7z1wgvuD291qmVBFcgUECbGeTkOsFDUEvHeKU+RTTOJCD8Q
1qS7VnM+hnzIbkF3D9cwM8YjInH0/tFgXih4/7CuXN5hHHQdyH3U1Z/Xle1EWe+rpjxF1fPYW/d5
NiGSqRYIv7303dTTC5v871soH5n9k06OxdTIPXuIND0odCvh5ga5Z7+b/ZQiiYFoFzhtuCOHSj5l
SZ2jfhVYD1qUB39fm3/8uAanH8aVDJrOAUmarhDyVaBtUd5gpp6h70GR30dtht9x1PcmoXDKsy88
vZ8L8J8rypWmZ1HD8kQY8uxDN3roMwSYb3IInbMBe+sM/14hcGP/u8bPh/KXIjwi3EGburY8kaVE
9NuihadcWs8IivG0DavOW+ci2o8qv7CA5qfh7GGnbQrK2DMBA9ML+LyASkNgfPZd7qjwHjtXIAbr
niYkcn//4sTv1+HMBDeJM4ygAX3eCKwidM4yd+pTI6zbxs+fNELRB9y/QcjsCokUvKNHMBf71qw3
DKSpoGtYoZhkvay87xNxYSXNL9zPn/vz7zOvtF/uNy7ZbJxct6Yiu7WAfw+sHITPhA7VBHs9/v3T
/74hzhdzmM/RcME6dnaTB2BAU9RYuMSiaK8XCM1Vu4fev0P4fuEc8odLCbg6tD7nRqh+3gePRt5/
I0IzVLTxg20V3ikRpbcJYvkj8Efnwl38w7fK1RyPvwxjptV+votAb5WIu3a+GsVW2Wx0J19n8sJL
5/ennoYEzUla1jpCiN90Fh7OvTYcmlNp1esmU98cPPyW4fIWSNZx21xhGrnwWPz+yM+XdGmK8tDT
vD575MHZO+kguCQwdLnHKqgd9UrrX/6+Lv54FRB/HJr0uR9yti4MD1Ywjt3mZJT5Ke/MB8MIL9y7
n6frs4VOC14a6EjAZuHc+/wVIfE2MWZNzcnNftQQ/qp+RNv7MbgcAUuG+MPKzE+Q2wERhRdWx58+
3q+XPnvGDDwzgevO31tDXi3RZITP4ef5+z38wxKc+2HsfpBzJH2Zz58vL3E2ITi37pyuq+AeGQQT
AM85EhwyXagsfn+2qNzAygmHtWj/9nVpMVFII4nIJ2U5EwsPpXVoACsamdGuSuKKL7w0z95RCNRM
JDkG2iVdyt9fGwlBFUIV3XjqBDBULc/K7aR04LbpWK49xC8cKhrjwpzwt4si/mWO5lkGFn3W/tnK
91NJRJFSzsn1GzKHhceBJxyTY0c+5Gbg/h6SXksurdL5p/6ySgGRks43z21sqDxMms+fhIrWSTro
c6K43+/1WiSbtoXGQBIa7vImELeaE/UvHCjBFVEqH9ygwbhVd0nyOjkJ/kgZTvGSnLf0FEEJOpLE
J++mIKJSGYrwUDAn//u6O1vcEkEbbUDKZBjocJ28s/s0kJJVB1bGz4fuY4fbTj78/QJnq+3sAlT5
nxe2iR/Y7WxqncAmQDdDLUh6nm/WALIuETTPnqH/vRTiLFq/9Df5Dj5fiq0WOUolilNB0Hj8DoA/
I0r8/+Hj/HcN5+w5JQ8OQgpi4BPuGdN8gYSAKMQ3jEuXQSh1vpbmb+a/K53XqI4+2KOfGcVJF1mB
HNpzb9I4U6uhYpzS4O7Z9yy3mwSv+jHu0ISCl8Kn4SBnsci4WZWwruhK8X+ArXP3dSWQAGfNrNhN
tTTakQAX4JsEEICB1ISXE+Tuj0jk9o580i8kLjIZLqfviaY5pxjt22rOObVWKnSYDUSGReo9AoNd
nqWgAOsgoWec+ZvCyIYF75BZNB+KhRiEswisnogWnFqY/55SJAojOL0VJthyi5D43W3rECunKJZB
FX1FdvLRo/1fx0PVQk5qwE81Jiauqbe/I/Dic8oEGgAzjm2WAJSzONNAz4nD0zSMB7LEd33T6ksX
aAAxdzp+fruR7rIIc0rRXroPPUI7hUVvugoqB2rcZpQ1RaqjGddwAyKgUjWKGHwksBIis11EEn+0
TGwiSkVFWrMFOoG3uAenBXxMIgd/Z1txeSeL9N3IAnONbt/54mAc3RogoLZ5FapbLCLIdyUqJCZW
WNn0tl81bibXTcS7SE8IiwsjO15rdmvdN0bXHPUSfyWu7OYKhE25J9SR5yeqzJ0QfvHFIRtwa/Wq
WjsSU6NXoHV3Q8M55Li3VhNp7esaw+jKQQy48uvuK1mP9jK3lPgBsHtchor3/Kj3JsQ1W+JaHgcF
4wrA02jWbKjTrAavSx/Li2sk66hT0YrcHAJ6zbGvFoitrC0B8PG75+Uk2ra2uUqy3AdvB0LrKu1D
eSWD7AchMAHS8MLdd4pIZ3TSNlGYcD1UjvMc1wkRJiMvhj5yh6+QmwH74Fpe665vr0cSSnaliWEP
yXh9HSWue8j6ut1Z3sgcmVEvX7ItYFlVb6wYZ0Pek/ElmIjYTCT8oU4Fzr5CLLoI2jFdx/X4Iftj
D6i7y8fHiqztVU2GyKIMw+7G90t/a8V+THzBZO0GNX4g/tZwubp8KW5erWyoCukqTGGflcj4to4Q
8Zqwvnbf2IiL+hIBbXTVJYeoWkA8x/6hCBvEsSq3CKCDXd705s4vFLQtEBRo41MDt1RvJksjUT/q
XvtajRanwdrxt75Ty5vGJIaZmiPklTk6r1BeRnvRpCR22hGD9GSop22T1mQXGw28Y+hZqy4Ktbu8
L9wj05B201rxsMglzgOlouHYz5mSdgm2rg2r4LpxzO/kEyNUd1trKSrcVF2KU9pMnK8kzNC+pgxe
5ui2N6nmE73VimEvomxgJzWi6zoJO/IChX/vB1O0J+UaqP1QFbceufIIo+BVYi0EkZhDStckXnjT
hI+S4ClcZ2kk8MAa7k1ERuoiwg+zdUPr3YZliZkO8VdSuW/QDAHeYf8h0lTiPsl8jh5FWR/xhrMf
6sF1D5Bin/surVjsmnRHwjtX74ZVSBDgc5DZhAjznxvDVNZqACW36eLJweZVkP7eQUYFkoIDSiNR
jnw77CplXq5I54V572GbjuTsKxww9mTpTJfL6FmhLg2ubP5zGTUQi0JVRIDQ6vKdiEdEDaIHeGg6
Gn0LVY3L1nK+hzbBUkEzg/VdNyQZIUiXRjvHiMXJgHB/Tnd3XbIAuqBYha1u45ppm6PtR0TJ1KCR
+qBSDwG9s00722NVORWH0EUJ3uWgGexiqrDITzT9CalZ8Cf8OzHB2NHD8kusImOZjAG4hyYy+ZUJ
0NMIwVtBlmhBvKH4DkOgL7FHjAVsfG9dRGjXJvhfm0xLKjqwufmW+YO+rHA+LaPK+Vpj1FyaUfLR
5833EmsOY4f4o7O0F6NUEBEH4z332QlgpeDEYr684Pt5tyzaOY4k+1EoBUTViOPVpJjpZG0ZPnDg
TBa+AwMmJ7+yTohb1So7RXMXIq/L9AmZJmCtoM14brIaw6WbG1sb0sOir6gpwiD0ATCFw3Xejai/
YA40T/xBnsQ0GjDgRjVHBt4YT5HT4PqxyIhzsuzJRqX4opSWkWKuV4dxKoJjgBqgwroK9EnN+k5n
hiJgKNP+h6PzWm4ViaLoF1FF6Ca8IoSy5ZxeKF8HoMk5fP0szetUXY8tRPcJe6/9LWLXC4oSwyHG
QASPXoyu0dMwIjEJCIyE8Ksydn6Fi25rxWl77hwPLtjUaT71MfmRspvxgdP9xe3I+t2u1c6chNiO
qoBpwXsSgjWwH9VgTDvESN0FNBl0sFqoY1tw9t5q3TNFdBaQUTThP5V/HEJ1MCLn5bgjsWW0SQxG
pqbCevSWHSCWOUzYIfHVngbmSni8sHxhvhTWQiqeWo/mOEzB2nXmU60Se0SiOwwwroFJ7lIEyf6k
e+pVRB33vVnJ8rtS83hjG5R4wPUpflDzjZFrjtjsPFZfXuV+eaokpbs2QHQQAHqHFS6DPUQGhW9i
gITTKbIz8Pt3p5MfchheFwm+pbXy9BHYZIYBgcpQjmAGbZvwQWA47Yn0qPhepiABPEy4m76zaNRn
ItHRA865X0KCxT+UGsLaR7ni819i2R7LWrCRcaXEtRXHV5MHxgbCS0KS1olwofAN+xy/UHnD7JQ5
7z3dV+Tn7Jo2jjMAKEnK3M9JBjnOjphDs7XUocNQdzdmggVkLMDDRuK3aNiBdTgJj3rf99vJyN33
yBjJoEiLap9LdiRo763QBYgQsGE23zsoZxi1kZxhlFnl87q4eJNJRsT0EhvjYwFIiK+7Xl4MgRlg
0vK/euVsTBSqxk63W+CnWnpdK1TGhSRFjX3JeiU1mReks7r4LOwJASy+zdNyG6YixI8DLrvoqetz
sYtlJ3a9Dpcrx0COhWioX8uGMdZQNC62IcsINfRwu77E9riptL6FlDx6V6zifIWXxvt2W+wDbqsZ
AfA07x6orbsV+oRGeO55UXOKJwjKCe7U+tUkx/rLxjKIoSpbCmCIayHxSa6c82Y2QBgQk/5gNE30
HA0xTJChIfy8NCICEMtla8es2jwyCcM0cskokVox7NZ+iZ91eCOPIuH2Q94LR8Cdx6COx2hLf1k/
i5ulErS3u+01zh3gSawJZ0uFiG/dXerqKlDNiD/XY+CtBvfJLjvIUBE1ZTK5U0XCUfNr4fqBjJlP
aApwxOeG/asLdmJNSYnbwcnjnOW75edjVv2DmCpDVlv6LcRVhKlayVBa1vaq90Txccryt6JlroqT
So3+ufGWL7vTOwqf4WeZYZYts9VextbUg0w3fmbiA4NkZuBm1yZ2t8kltQX4BKiNJdnPM6sfNlT4
BlxO9LpJjLuEDY2vlZyjbp+uYd1KVgb4WkOxGPNTNC/1Rkt4GZM8f5lQfAeMuf9cUzl43Of0CDL2
OhRGYKJvLcLvWk+edcS14Idp3HFiLLupIeJmAhfh6/M07NAgp/tZLeTo0eSHTRvPW2GtOfL4KN86
gu+p3cUAZFxq4NMiSaIkiro/pmnePMqmUPtmtq0N4KjpAk+6/+KDX3bmmGFFm8DDb5XzfwvddHwE
c34iHEjhUM6iZ6zgONOxF+5K+lsYhy7AWKoPAy190p5MZQxvfeXCXkUTEpCS6F5QccehXKmarNru
7yFa0SDooOA/O0UzQtT7Mj3UMCbIUFzG5oMYnPM8y0+0WTUeU6K1sUbJpk+tIKpZ/9xKOEDHuGNv
38dsBCDQWWTYlHLcNnY/+lIfPRIz+8gwtiZv6cIbD7noYk/cyqMtHL/Ah3+QPW5PE+YIgCk2yOlq
4ykuhb313LoiiDy1fWloH3nXY6Uj0vfg1nbzljUGrQ3RqWCLW7GyrECiWtDmUFxHOXD7Td5b2YEp
wrIdC5XcGzW5O5CNWucpST1ou614GifsG3HCToyj3r23U3wnkQPAs2kbHE2gvJ3+A6UlWk22IO6x
pvA7WCPBsgRPrweVs5DXqKiDnP/7LbX3B2CI3CxJh4y9y6BvCcigjLuA0xSUPLqdeVhTa+ugaufN
Qx0W6m5LUOjUYozlRPPLJPrIo77ciEyYkFxNFWTT7SzECOrXtkromlzp0+oll6Zb+MHQs8rnAoyU
CjzocBT1rsZvSiYqoEmO9ERJtVygtBBlZCi5Xlyjvs+a/GOA4bsnBbIAKmVhj9RyrwV2ACDHmfU2
SIAGbNFnFiERNlwPYHBxMvLVxP+avFIFMFKCGvpDjOT87ejReL+wxd/zA2aANn1yBzQR0WC8knW8
8Zwx4mQwiMcusJiapWsdyB139uaaWL4Wgeai4hgPZjo41yxqedvLGwlxJJ8A+lZTBG23wMhxI+/K
RAvQmew+Ysf51XJGkSYNyHEmg+zNM11t15IM+uURBkrcM0x1hFP1JunBVBDY3ONdjDQWohaOT06G
jdQabY/xjKkYa0Bfhw4fNFHcnu0JR4BuuRbxZ1xTYtGoDiZL0kmRuL4T00TilA1/7V7vZtcHq2Nu
jQj0D+Hzq19koAnJEGMAZjnrhmGPiZPI+vViWB91BcvbKGPhl4Kk8lRIGCVJZFBcEY3Uebi09EXA
ENStOSzoK+p2CLWmOWlrMT/1JiOOJu3HfSvZrghZx+e2k5jmC+kC60uHa1bIgbg0c/gEYO6e7Flp
d7iSYKlOhIMW4PffE46aE3gBQnrnDJAr3yrzntIWYkaVwKrzquEJOtvvOEHpT/qR+OAuX89mQrZ0
SJCd2tAA8UTMzPighB05Yyh/ak32m2noWCL3hEMmKNMDMzalb/Q1jR9G1yxIkyTj73O9d+JnsZZL
2Aj/1sj5wlM0vcRmWR16qQHp14ulSg/sPCAKycaAIu8mvf2XZHI+ZO3MMTSrfJvrrKDrOkJQYeBQ
JTWjq+663vyxLUs7gsab/XwdTWRq+Nl4vVJYAyOv/0qwAnwI+7O0nX5v5RUDFEcYFIAtBvHKYgVZ
KkYmOItfPX15c7DiUGItAPq6mkJPy7WdM5BSlxUziLuSmhWhFvCirKo2LQkCoY2/23favgNxsD4w
xRjRGaIlYRdtX60Rv1nqsAlUDSz/tNCTfSqieO82ZfuYmK7zxB9l+bbDtzN1kRV10ycUMdxqApu1
Ti1FwHMO3KMfh+2UFeJtSOt0u/S59dknpnnnqcxM/YYQqr+VwPKg5yg9EebscDJ2UH706A3rFPIJ
4t9BlwGM6QWYtDJvzX3njXGAXfbf2mbjFkgNbmzX4vhEERsqz4nwg9X/ZlBeL4yeIM8QCQaglGjp
VPCIl2URj6WTvKxqIkFR08EpWSTRVzGKUYaSvE728DuRtLapjazeJ0MrOH94enpC7kq1yO5RjqV2
amXlnGAdJ3eOyEk4z9xsu0IoZqBb82cYt75f+/Aqq7pmzkzB2pctQz/B8CKOeDvlN5fLL9EmcKpQ
SWzEgum912bsVpP0AvumJYrT1OECvRHfbXe4pjgQz07JjVfC/+D3sxNyLcxmG+veF5vlJtSGktdS
k93XOjKeRFRMmdVNoSmq4o7icCRQCsaV1UaJT9tYwR+U7S4qhuyGF6E3WGs7+1gxkYdlOVJuLLLY
0tAQJqAvWNLrPlf7ngT1Y+yYf6A6kN/V67qpGwl7Trh/da03sJHz7MiRKy+Ii8pA9BOKqTi22sem
GGY6+LzHv0beoW9hRQldXLckkkVdWOPp8y1V/EPZm/Datj/JDCEGRAHx0cT3VpjfjO+bLd9P9Jox
HbBnqmpyGX6ziLyZqpPGlaS6ZgvmmpmcGK1g6G8AUOWenRVor4WU9ui5HArMtQbSiTIXvgRgCtbj
o29pifaaw15/GC0jeWg7q7x4meu8YxJkPkVfSkC4rAmEBFQA8kXuhdMtAY5Ra9sT4rcVNgxG3VR9
oMUDab1Z1RUffW9HJwCC7T4hzm8fGV1yD1axC0qC/XYzj2UzqMk8WSOPJrZj0weKJbfVBAOriNS6
q5RnnkzwBdt2NnBWWmDaPc+odv9nfLRxF67l+qUlg8NAtp7tQz+JJEScCieKqi00OggLXa1Ne9Z0
ILDchMeRTySKpMI+TLPYu3X63GAWRkTXDdtc9PRleqIO7M2bOw9k+dFkdHtagZVys7SG+Btzp/6w
3f49qvPkZADu2mUdFKM5VT9xN0/8+gyExXqL5ovIYg/ntItgwNhzwFaUQVVDWyCcTL8Ch+f9ltAK
ltjTt0Vl9XteTiskhERggTPro9bO5ZMZKed9Xt1/NLh8X3TOGzyUfVg5oJtmrXQPQjYVZ0lTPnea
2wUkN4EjKcknMjIt/RhNpz8TuQmcN9XGbTLMzUZbSZZUdY4br9DqlzXtiUNgLgHg3e6j6ImHQbL6
kNceMZfQFRyjBphsow00Olt+LKscj5IDA8zgbMJrbvXphatO3Ia75gE1hn5NakYTphON+2V0buTF
DCBMgaVTCQguRU0fIJnF/2BVSjzwZE3xncTQU8ohL/6YuyIYc1sOZCKY7YtL+NFjQv7Mg14IAIcC
Lb2CQhLIsiuoQbDvY4WD2yD4Yl/bWcuD2Jkrhhd9S1z5MlOS9qO8DDajuNWEPUgS6DumUFQDc/OL
03DaE78DJGWeeuQTOorrkL0F9J6pLkPLsJKL2VYTfE1nRbEFDb3FdvNmL+Kd5ZpOuVZ/yizpIAo0
dP8gaPqDaBCCaiSzmlE0/FiFZ8SMchfaENXX/dH1YEmVeEnwUvXtu1mYgG3aogtGjMhm+X5j700d
CfWCm6Ev5Z/LmX92iukDRWd9JGLHL7vMZwCofaS3iPc5JnWH4UG/mduRxpIEly0YY45fqt8P5QC3
MgusvUPvqKfRqFqWBHCmQS86YaTKZD/Vhkm5jlaE3JTi2NksYHnjZII48hb/bZqDd6o9o/6Qa91G
wNE7M1xE+jJ4CR2KNX0k9Q3SLfj8NlwA4sllXgD2eMjTANPGOu6KohB9aBVW5OsqeqyTabokhHOq
LcPopntJUVoPoerb/sUyBbH1XeoBROoIKGgSSz9CHXUPM8zWt6jVu4C3lg2l3UWHeGFibHrJa8Qu
e1O6MTklRMHtIuzye9qb6ICTxAikiokmrgjtWQfyJrW4y3dqmBjfeWN1I9XKoHHrf4Ve/suqwtgA
DcWNLh3Ga6eRXrLd5tFwn7tgIwcXTDXxKoqeKTG3DdQmZrvZv8HgVBzrIr/FELNO0Qcnemv0paKU
nr1mTwLF1lOfDM+q6FyWg2NdwE7fQlTHPk13LSviuxVrK4Ioke6Q3JFfDDWHoM8WkkphQOi3Nftn
zeD2lhimsL5X31Ee30aSr+1boU52ExpPtz8ARXRQVaFtnwTEM/D8QLLEXBxWLhFfrfKpaQBEVBEJ
LYbVGDvbAGLbs06CIOVN1L51xKHIKbHUQ390kLqv8UgquspecHGwq8P3HarclY+kSf1bTOO0ZNnz
yvu+0xE7kkbCQD6H/k742UVMi0FiECVvp6e/sJUx9jgnZ7wvMCtKSJRMOs3CpnAv8uh9pRi7mAVL
no2zaMlfLabhWdlu92nAkAu8BbIA1mdj5Xp3ldiqoh8fHN1aj66ZfrpW9xrXOhh34uH93hiZgzka
gPa5annAZbrxRM0JU4Fe8AWIuetQ69NJVIDWmAtPfpVqhGlqTKPLlOnEUFYxo9++JX+Z1hSSEjsS
C+imNYKrh4gw+XlJzE9uMNZnYpSz3uAQXvi0NmICETXW5khywZCG8LXQMHcFuSlLmQBcZWBDOAiX
mnCG525mmdKkiXMihuGD49zcOew7NhbxAFdZuCqIEM+QX98NNi8+zmhfR56BLpAZkC8s3mcN3idz
IO4ePy/G7rdw6JWszK22VUetBnyAjKgp/p2dOdmSlLWWW5Yc7w0H0Ib1CkSqaP7CTaR8i0kRqxid
kgSYc2hqgs4wrWf9x9C67lT34CAU6Th+zCzHb0eCbRlETdSldfVgLVX/qNIEOfgI4+XRMYuS0nit
m81STp8W51SQQwnfwDb6IkmcfaxpNwvj2kEAy1biy4xd48LWprpIzhJ+EfmvoiM+qdheYMJK6M6S
aQbDtgSji8HGtogyGvT8Q4/jZo8dyjsyeP7XJ8PEj1VMB1XZ3GzzXbQEeT/2T42nM7GNshZOGdzJ
NCckWTpxQjhNPFzLov0q3NXcisZDm6i4qqnjcj+DPzuC2nXahRXM8CYK7FBwM4uLNrRFfSrMrLjo
7JEcpOf9DJl3VGE28oA0vPrbMtaLO2vOzWvNJB8YX0mtqA/9y4QjKbCUNsOYr28pD+ZrBdQDEzvu
9kFKdVwdLzva+q3cbnkW7FRpoc24CZs4S4LW6/uwHZ12z7qGlKumTEJqDjgSlWdy9JW67zFcDyIl
340yfyU0z+Wt7pLtmkbmnvQtufdmk/ot6mc3ZFG5PI4WErDemawD+Ih5O3Vdca7mFlBn565YzfDn
QmjnM7FijxAzm6+isOeLtnruyYn5F8QAf1YdrMQ5M9gG6Cap6l1LhAvZ5Bv6Xg5NhkwPidEmbaBH
dgvpU8/iSwsWnc2MY/qs2ccw76J7ThNBelVkHG0jz/ZjL9L9jdZLc0OGoqE8GgTSQrbZDHQasXy9
mRYGWcCg0HlKBAhI+Vu2jyR3ANLTWHcg5J8Z5oZ9zGhcxyz2aVIKsdWIs81sNN1pxvRy0mVqfmVk
U/mA1RnItHDIoKZWe1eM+YNBRbaL1fCQEZW6U3ZDHoXIjUuvbjpuYY1BYufrCUW1ONq2rA9Cw/xQ
uRHRYm3afiZpWm9jwnQ2gtqTcPfC5Ebh6CecIiOyRh+frJFFDACV7kQWQQtqt++2slw5PhIDpbch
CWRjINj63kKsk5et697zYns7jiLZTfnEanl9W5ux3ZMcUm2dUQyPnM8LayKsowpP794yovRcm219
ApACAdIamwdGii7brGWgrFvZwjaxunbt9CQoNffabDEN6zVB0N9tKy30L+m13WURuC1Kp7cP3WIu
T/U4MGaiptg41DElHDNshMW1TWx3q3nTTwqo4z2eSuLflxvOwc44Ceop/inGxQ4zN43ol6eMZbbO
Pxhv+MJyEg+0EPFXL61yR9QcWUg3xJKIG7XJlDPeIScGwa83OldY1CDrir0jaVPekVvYPMSZqlFX
FHBp6ozIAm7itcuWHUPVNqCqbwhwrqdLaRTZ3nHd4VYZahvyeyiOB23ZG1pdomewqYiXCuz1xBTV
VvIlrwdvx36nPdZ2d8t4a3T63RFfht1D94w8CCpVtNHSab6r57iCzn3Dg1teRYCQ90fE5HdLF8Je
+lsitzjYrpa/TZbIHsZlmTZ6Gw9bTIDiSuyr2GYjK11TxuVReZk8gohLd6rIXpRwclpPQz910pz5
AHrYK2UGRIV1DbsmZG72hMqO1dVyMGUUv2Xx8lP2zQcum2RjcOlviqpLQ1aneujolE9CI0blFiyA
xsXRr3GEitlzsi6s5Gr6BNSYQcrZcynzLvGzZWExbs8vY5V3O81LciDMLAImOyogZRvaK8zcA+LM
u6Uy0pBdwB05l264jvJzNPskkAuXq2vwFQdSl5w9nuqOzsy482APPiBnzTZiZh7neLDRoyF3f6jR
DEikTsWyKAMZpLntYemgy1iL/Gyp5/ZITpGReBEE6GG2/JJuOEzIKeVVsD5dxXYPBWwDcPbWjTX6
+yqm9OyV0XCkjcHkwBI85aLVJkRpzANSZPgbQ5R8XWplPRDell2MGvTnmuAZWpOk2QJPIb2xao2r
eVsYeCX9oEAw50ubzENc4sWDHdsuvIbpbWJGGvIlSwImXcCLjE7u18hj7W5r4i/COH17Efj3dBmb
yFPgwB3tR9q6Awmz/vBmkC7JNAyXjMN6rzT+nNhi5lN34hUBQXLzKa37lTzbjb0WD+609m82v1rA
PIonrpvRSSOPMcj65AP9DqRmIZ/NMXUCI06mZ7dyHP4KGMMyY5wEfak/1L2zhh2sHrcfX6uITaKa
SG0y2iH1R4SXAduOaOO2Y7H1EqM/mEPe3w961O+6LC2fgY5ZAaE35saIJQGIkP7KTdRM9qc09W4/
uov1HoMdedFqN4bOWZFuyLLExSKWM8VDHrTpaKe2bsJ4cGmogiALA46v7eGhtcr1cRxHPEeMn4hH
GPwE2ePFspvui9Cy8swkSrDbd6JnIEm8u80E6TIuGcWmEHHIKulpOFv9O+tcuhzcVP/WPmrec8Nd
93OinNBKLAaK7B0rTWwq/NYm/BVq9N++mt4SLX4mGYwojZswZ86ZAALrcZGl2dOrG/N/gKlYbZuO
9SEt0RDcgGVXqab2n94346uh0+0oOlzI3cuwpTnJmNVysXaupt/RIMbA/AdnM2QTPFt4JoHnDMY2
9lAdzFEZQ+iyzWdjsH516Skk/2QOz6alNobRRA8eTii/k5XxoKjH/N5mdUHaA1k7JoUOelQozCwq
9oZVs8XXRnW1omncEA4IJaNo1eCP8Njf0T+ZYTo6L25nm4+WqM093RayHDtrOOFrrhZXRudINWu4
TIUi2iV6SgGNntgWFi+9RE9RLm5+NuwjcqgWkKqm3gjvcDZ15ZA0WtHxCBcpGasJ/dHKPlHPMsF5
iPorFcCm5W3VmTen4IgyVv7TqypCAx0RK8RLU36PhrqL1gV+8T2x2NASdPPEZIZ4ZkqV+AdUPHcl
094c9txto+9ehuUFcWMo7XYv7GeSd7X0WbXs9uRTbZykZAB5jZOjO19JteP9ujZphK32txFIAxrK
uzNxFxG5I15R0vgIYoreBSlNlsaHvF/zvV38eM4DDZef6vQM3ZkJpLHSBOmnnplnOWzTlrsFtBHP
7Kt0Hir9xaKbKq9JuuscxnrysFRk+eS/xbTPmT512sbsWFBV54VxUnow5vvb0nlgvZiP/Uah+Mq4
4dr+D3YWpcJvpwWwvdvhPBc/A+5IM7pb42+jaMmsIv3Gy+7LpA3j6jkW71pzNmp1kGysbfHgNF7I
5Xeuopu4ptrWfP6gnQOSQk/6EM7dz8LkQmboG+mo9Ol1YSTVxdtpRGJASwTprWSknU97Qx3FcnIT
Fq0iJ7N+r+cPZf1c8gK1tNgXt2fCD9lz7POgtkg0dzdu7wbV+HN7dnbyR3tJJCie55W0jK10r1X7
pnNsxnV2zMzdZJyI8DkUOYxT2mfOh0H/VglBkMhTDYDLC+C76SmKMTUNkH3nH84hv4CgODCEE/Wx
nbh+QORn8Ab08rWyDzYzCLIt/TSa/MY6JgiN+N5wnQT81lkSNsa9RsCt+Iir+9w49MnPjQGP7Wgz
ST7Ai2aSAnXxitv264PpyuQ8eCB0OklW+7cwnpf5FXOUz36jE5fI3dWssRC+a2hx+p1CPlPIbW/8
5OxRCy5XqOTpqhE7dqmiu1QQeIVUK7u4XOc2gVOi05uwotEFkY/0q6i0lr3tKF6SUZYHxrpfZmZm
d8Axt85KW5VdJgKcXZLzqMH6dkYJJe5dqW0KizjlnExdjh7Q5/Y5MptTAj3SyPe5U/oTiWng2Ehb
IHoH7hCqXbZKRRY488UiG0pw8HkvY8P567FXy5mgRr4YX0CMB2yGNw1Focp2KdvkCb8ZStb9EqcY
HJ9mFm3FxSYGZ6a1l927AvgN1Ib9rmtdMmBKXgbKrL/K+UX3Hptop9BfrvUfg8md1r7q66PpvcTt
bs3/JlIi2FxVjXEzpO/1USFG293iR0wJYn75SJuXlAjGUd9H8XywJ32TwYdqKry0HjB9pvXUDKwO
DgvKG4H6zSNeoC2fOuO1s6gytT0l7qEyb5kX5Hukv4KwgpytSsXvxITBr8fSL+x/s83jU+eVpzWk
hzpmmLNEG1nmTJK0e4RFAZzHWcLv8H5I0eMSvnfsH7R/mxh17M2kbTBpX83dACRLcegubOIPNxGk
IK0uuXiLQWHCsch3gG4p0PJym3ba64j6DP6u70YPmbwnlmWfWZ8mcvelhB+MrCGuP6sxRp71DFHw
diHOt95fWEGuoQSofY/QGJVTmBYGGpVn0mN1WkSSJsrlIgh9tDBNzNGb9JBlJNExgorsRH6f/jga
mSfWVlOnhqwvV2K+G+8NwHxjyyacTRGVK6d/E5DbfmqJvVrILExkEFuvZUVCOZ/ITN+DIKCywSaF
bDt5YM923DHvuIMuLDD1xu5nb95UqPNdtvRBoUX/urEOGCqTKnWxl4NWvA3Tt9T3S7EzqJ0yiJbe
VyXvsQhvUmDAmQV21D62NIil3JWEOU1Ea2UGvuAHbtcUwKDc5JO2mZ3vlTN3ar7b7NmRZ7oMX9Yf
8fCBnGwrUQ2gYEBxebcqxO37Sbu48x7Pee/yPtwPBGkV71r1wbwqqAXNrfOldU/xLUUtDYtiZ6rX
bvx2ynq3oLBFbIC8DUQpDRDywlIbjlC/ObIhexRfIr53OiCi1YHFDD7/p65+W9xTQQ7D/z5mknjo
AvnBiBjHf7W8v8Ubetpe2o/5/MfWo+p+kNfugY3TOBe+bv4UC1mO3m5pzqrhCuUU72FZO6gULbVb
i+fBRRa7Xm15z+0WUlZvoB5Efw2zkj9IxKQC//awc+JXNT7oy3uBNsToTxqlVux4PflbIkOekXIi
2SCUFQqmLelU/TEnZWnH0++BilYEs1t2cmqs/H7CN8WDT0KqmI09PYwTwsGB6WBxZ3jMHhUutdd0
Iq1Tfjvzb4fsRAEElzMM55VADh4JX4bNon41Fg4uIUw90uopEQEC0kVqO8aKRIm8ISvb2tF6RzzQ
bp3ta0RsNgvtrZHhXkfulNvDx2JYYRcfCvedTQEddR4W8i2Jfu27HrCLXuy7L/fQ9Fe75j+caJn9
sdj1rOLWMT5MycEm/6CGxJys55uYZ1xeLE7VrODMuB0Q4qfgniIiHHTXvVPgGiMbrnp0ydioMx7y
B4eYRzwgXLwyywObgGXOFtfAl7N+xPKpG87K+yUfIR+P8XwmZ9C3+8vtTWMVzUt08Ki7zbu0foxM
NvHS2ZKSxk/7rfLtQq3HkGTq/nmMwlifcPW0m/aGsE6/VHapER0ARFjt7eC+afLONK+LcWg7Olp9
L2YnHLk2LPdoaGwiulCoO5vtyLQ+oE1Fln63tI/L9OUYfGM+8vRTS0iBd9HTE+pTa5ehCVj7bwFo
bvTxY3JOa3UPWLJiI1gn5yklFfOLoY9WznuQo0XzrFsoL79052SLx2h6IWWoig+rDNvkVIANW3e4
2DeiuPMYyVbTNVf3AqFt2n/mac+X4CTdl1HuZm6xNMbC8iLN51jdD+NZj4mQRybVvyv7CCxiWF3q
lW2KdZVvKPTUR88kiRRWUGiPkvfxfTWu3rClnwtk/819xJIbbKHNLfc721lolWeX+GKZk5Cg59sW
Tirtvugfkgy2pwn2Vwnf0EO7wTyDLirictZv4WGXgrysuDoMzqPSp/NofsZDtMtNjyE1CWPtHX3N
xnZaup/SH9ldzPoOuyGxivWWYp2ymak1fYBm6wQl05wkdwSR+A4XsFs+4oVGgPpCPjannTrOUO7z
7jtFNF2UENjLQ2H8JqPjN+ab4gAwdYUzVG2YRheU8TNrxHj6HZYk0NIFc+9yVV0BH4TxrcE1x59v
dK8g7rp6OgzePX4KSoI4XMlUW6g4ZmfrAICt7SfTzsN06h6HGNr/Kjhl4qCNPmaJZn96iepLHsmN
1hDUxcRqlX9jVwRrglXmK0pglyDrVJwHFbPLVgtS/dp58n71snNfx+EkuLHiwo80dNJ86BMpwZ6J
QNHmxBvMlybn21zlgOjjb2Gxq1K/zViyhUCxj46GG5Fw+OE4Yndjp82ZC6OfSXPJjywRtUQE9DrM
kFT7NI7vRLLZ/RWiPaoLTuwobMsfi8066FR2nX+Vu7UHsTOiCIiyoh9vDgQ0h6Px0zStH3kECN4I
PkPRHmpmnzreHB9pZedp75qaD1U5HNCY3Cb88V8bkS29N1C3aW7qLzMXWfK8mGB0q3bL/O/cY0ze
OatETf9Xu+Rutq+9bb2aWfO16rafk0YtrJ+m+Eukc5JEXMRAOYr8fWpT+nT0buz/WDKvI3F/97XG
xZu8pt5LYhrboUXXu/6bEYREz+Xy5zUkhWG2MT4GCLEDv3GyF+vhFrO90Cvm9mdMAmsbqFXfj854
HuznqQntlFoFMI3SfINdMB2P3v6QPTk0X9J6aKqbZ4wtzampwty4Dg484IN0DDIpAkwYW2QTm54a
0S7T3UCA5oSqz9Qf+vY0iFPLPtxOfgpLbmZmx712MNmR1sxzlfHiOJdRM3aoPn2dXgr2BKxknjxm
FSQBm/TWkTG/GV5ni7SLgTjV/GF2f4gF+7cSjCEKAUH2rrKeUaz6aTUz/vnljBfRXaudDOdQqN2Q
EfDJ78a+XK6PnvwbSGNm/J+3YZG8TU4EdJTTCBfSUeNbxKqAvJIzm2dL/pZxjUz0mT1Jis4NfRkI
F5X/6fNFb54lQtXybPxH0pksR4prYfiJiAAEArZJzul5dm0Il8tmniRAwNPfL/vuOjoqqtJOkM75
x4KHEwdhat/JDr3XUV1bT8JLp9l9/Jup/hVSblPaSRSwVf4iR3gmiiG6/iGRr6Xx42m5G/oEnp+x
7N1B8rWQGBKAsLP08QDo5DYgXLltnuvpzeqfQ/VklsOkHumQjAGBAc/PfsUf6B6U/nTZYLzoonP7
1IJplAsTEA7EunqjTfd+zu8664JXkP70pyq41PKjINZ9XYY4kHS10raVkUtM5d3qwMjjyxNgrDXi
yYy5zi5+J8Sn3XhMu9uCksu8Zc3l9m6afxH9GLSbH3LnQAWicOlyJ5A6XbZ9QRFj2h3H/G1q6c+y
FbT1d26+ooGfELmBJT4a92+vpkMmlq2wT1Q9IObiOV7D8XG0qAkmsFW2KDVI1x5Us8vQFax0AMke
+4VHu1Vp/noo+ha7JHtpvMHUdQZ0SDZ4/N7oColXTmpE1eU5iYD4rfAOJ2G8ls1N1S4w5dgfQX1o
ccmXnTvpsybUi99HoFh6ymtblnoQxMCMjvWbeP2uTvD8915cpvZvqNAiufOOaOzPKMU7BCTb0P0+
1c0BRcU5GJbjQLGMfRU0UQSGPn4gmL10bRTS67eTuPeKlCPiwFnBooPQA03p1wqQads33rFfeNmD
xZzCNv0Y5/bD86xjtE67UNo3bUtVarfGgGIbuVQPwJo7Mc1noP5PnwFRRtPZiOKRksOtMcs+72gW
d4OWyCdJqp59GkLrpi7TSyasfQPvv4HU+FGW3I/1/JQuNhQ+TJVx49XXJ81bk0chl7j4RPLCLEFF
Dbex2uSlFZPj85wJsXWUfduI/s9chnLntmQJRFV0drhwEXvH9ig2vSV2K4nmMTnQuPt+l/px0M/S
mxiRESe70XWbqz7ghR5MXu6dGbtAsJzXNT0ig3uoIggiER0a5UBR0nnj6NumhtdroOdHdZyT5MHN
J9JYyGIbV303rvWFloVtCZ2X2JQogTHTcXwJOaA36Zo8ICW8nYn4aVL/3e2GzcSlOZQuRj8EOW56
wZ1EvUnx6hCYNbvrq171LuLP2MgixyWNo7mgGbfe9FQursuKMoeCnTRCWbEeLN+50W19FJr3FC2l
yWSswmAHZ/nZW+GxbM2tcua49c2rpsIOOpO+5eUapmk7R6nmJ0DJdzONZ69MthSh0QBJqy/JKaw9
173WtMx2GnSePp9waZHwevf2+G9MfFJVrGPOfZLZ/s6Ha6a0DqzI3iNnf7R8rmDJ2zss6yWrmN5L
LHCDdB6EPe3kfwVMhPl5eousLM4ydez1QOHUcBjtmcIhhLZQe/TRngK33Urcf6K8vj98di5m9Mw/
EY11xgnO2lm3ZDjdyZaJbXLN8wSINATdPrXA5GyQn9mftxVYPNDUj71ETzlZRrE/0XXODPejWr7v
EDGRzxWFtrZ3UZsJRkhqlyng9ijvJT4WWQ2qDzMUp9JU20hVJ9tuMHcWh35uPqGTK0rLs5Sfxtor
BSNzFRu6DUn7lO1sAzOTEZjs4Yu93YgfPytSku5b6s4SbgPJXurK/FKGhiah9JBMMzXlkYWcqN9V
c3dpU87ycH31kLxOAwNxT2o/pXSwYNO1kjgCDbRtdUFZdCoXAnRx8iVRxkJCF327ntAMjax1dOZK
8UztHfKp+Z6Op2pT4EGoVfre8/BSkUAmzvjYiIAAP6/u9pZTPIvhrZzY8jRmeUdiDOTXyZHRd8/+
UH4Wi0QESKW83xznOqUqgslq7Bjr8IOifGxQm9XbGW4pcaobBSnWDRzJTD88HgX3Rz929wtySZ3x
UjhNHKJ/QLmKmxsJ+Mopn+S0lPEmdD0DBguOr7JzkwybIum2TQupjb2BSjm0kKTWt1xEhJ6htwai
73aZCo8uACtBjrtimnflEGzcUhxoiNi6fnPHmHnG5MumxVA8WHFKolboYmpXEr8QRssAD2TegId5
FIFCE6AyKNrYrzBlDf05KqZNe93ZMmqLa0cfPaZeNda/1EdQLyfWD8fAuk3L7cRmuALLdgFy55D8
XiTG4UB+d8OJKfEPNWMJsudi8iNN/taNQgS2PehKe9EshLqtYscye06Gk0BPt2i1dRHlRaZ668bi
PM6FHSOUvV+zhDI2r35qffSJyCfYDHGvFV7zoXGksa9BtwjEsIVj3/YTkHnIB6WThT8ywNIykl17
sLMD1qydKSCAV75FgFE8StskmWNCyfYiCTajDJERUKJYSWxk9PMaNOEBwHzZCTAT7Kh8nwviptwU
ZoPEiy/n2ru+JruO4K5qNXUsLR9co6i31H8cOmVz7eIeysItWq04na/7eh+LprmxQ0zGDidLqxtk
Si4d3PKfwFoSL6UXZx7Mvx0imeYqtan0qyQufq1/Wgbxjs9rrYYvtLvMUu2S1d4J4L3OEbcOBECP
Z2OTTuSJpsq9NN76IgpxRNZ9oHPlmaTPR8jh245fzjTLw2jt5qgFEy3MMaNLOh3kAcfUFi/ZDn7u
0R4YVaEjQ9yBxHM8BrX12RnEoSEEoGOvLBzYMGQGgRxtacuNPWa4bLSeIsH6ZprTwMROeSXFkf5M
pCt181rhdHaDQzT/vVprpo4fDfeDRpxL0/dUbweJ2YH/65C7kA+Mwl66Inr3vhfiu1Daf/HsccBi
HfaQHQ/B8FGhcRRVcW8A6IY5gxtuMHmll1z1B7z8ED1DLOfy3vPakzNiiWungyuLJ6zf4KGQtPD3
J1u6J8eLfnuZ081bYr7JmueW1NEr0y7sCEyGl2KOhtMIa14n3kPrDFvc83xKXdMuis5QcCD5wcdi
AcQPOrhj9vg0iAjjxOofq3GeIYf4CxsXeil6L7vkZh2xqJkBPWWWvkTNfDtUI+5BVP9+R/TtuFzd
R1N7AGKG1sixCtIxmxdQDFwOHuZEFNdXQsUiRgCX42xaKl+XT7egxjqcUPOQvcC0bWNSyKuREXqw
zzR9QAUkHWkMPkJuBc+6y4aZMjAkawlLqhutx6tocwn0LZ3SB2KNLsG4jEeItn/hLPZ+XtzMoIw4
T3ZdKt/tdNqPifLujGmBD0PSLdqInSbcBlDLiaTyZyIrM+jDbXpdHeuFXR5fqs06IZW+66uEDdy5
EV3+24rwJwrXW0X2Z0ednedp5sLmbFS5oxI0nt3s7KfV8SqDYebdLiFStCsIBKYkAWIcV4GZzOtG
+CkNowDwrcWNHQLkAlCm18vQcl188ajM1ILqiFbsvswY5ejTKyQRGnWf7tA27GeXiu6OxkjY+/1U
Qb9qvOTNrNqTl3mxS5hCP/sM3R7wCmkJqwATH6ZDUDWoK0e05kXj1buRbJgna8GaX2Clu2s7Sc4o
Yc2sSfZjxAvaVbWisDa80kST++iEbRfuKSkdDnWeYemklve70OFfW9nRne33cBAO4WRvq4DGcv0b
rYtAvbbIP95J0akOBuvW1vgjmmiJTEiQd3pMAmpoNn1b0m0vqvtWov9CQEQO7SHJ0ubGGwkJxMJg
se34H+Pk9RdKY77XUo8H/IU5fvFG0pGkSkoJs+Se8Gs8numa8UyLzEWJB5DnElRhh29dp9wPZ0nD
B9db6jIeZ+UePDDt2AqpS3UaEIdySorz5PrnLiIMw1N4qVfXOP9VWx4xuNS3PVkgB71CUbr4L4/w
scOuLwOkSxq13iyxFQ/4IdEQNdjg/VLf1u4PafzoawvqYUQYuF/0hSLXmhDDp90A11ekyVnnLPV1
Oc74USMX6gkj9ROStOxE4y+yJTfJe9DYvnhpa2A6iSc82+YR0DHdBcS6uFh0HgsCOELSS1LzYLo8
+Ja1T0jJMoJ4hlTMlhNFx47vJZQQaQsBtlme4f73aUpPZrAEhDtoWooGSkoApCZTf4fOuu7JJq+3
dkVwB46kr3G2TIo6SoPrTMQMYJ/cFpWP6J1pSnNyLtljsA7tb7kOrLd527CAeq6MUF8HRIxgF3aX
lxK1xM6M9nM9m3+drYpz4zu3tV8lBy+c4MjJHHkn4oardgjxGPtkqzxEeRccfGeI9qsyzgf8c/SC
LHl+I/mFSHtqLHgflumitJr2KZ1GFzuS4+ugXVjgqF5PrJB4eRBmPfKYeA8N+QO71nb7fzYiyUO/
ztOxgTUlK1HmvCZFArOjUsF0boT1L5BNdXJKjLhjzkqBleC/J74hiYITrSx6PMu9zb/Xme/SJgUl
mokuFot4zsPePfgGCQljS1daZ+QqNri0Bqv205rzyQEPBgqs3vDOXgWfa+Pvo7zObxDGuFuae8Zz
hxmVUawZ5tPk1ug+5Di+TvOEGyMKgf/sqH2ljZDJdLI4nkvsLPamKjx18Ao876gXtYcmxB8O7ZXh
6UwU/I1yVe2upi9SAKYeM2JJIKrUTGRV589gGCnDdJ6FsUNZKlgtJ09DlNUz/wQnkwv53dr1eOeO
dsrZOV9paJnirANTOOgp/yGROkfTbECEmjLCoNBDfWV9zX+tHQWQVcuncYQOCYWl7bSqF25bTcbD
kqG0DUFCi2Jc7i3qzXKw8/OYm/vcoVzOywnhLgKGiiDqjl1bfotkfanLGe/K7ZTLhzAjGQ43JkEc
0byg9UNbc0xVyynuds8FIxRlRRmnKC3q5t5P/OaxnEXIXURlAsuol5yoOr2mSTj+qzWPAJoUkO79
hN90mUT4QbRcHoagprernUKEuqAL29mlaThiex0ZfT/KxWnxWLrTybwSHpBNez66OuV67XnzgV4Z
Bsd2W1P+Ra1slf4TUfqH0WS9deam/ajAhLzlNa06sO5kkxGnkRBngLs8jXGbcrbVSfKr7L56sscw
+RkW6aTw4Ul+CpLwPuH6ezbGUxfPQlhYW3SIkfoWcZRcz4tqdXazn8c6OSyCadYLMZ9WSk8n33Mg
9VOqxbcMPIUf25mJHEKYRznutKqIMcDn2h0FJqKYgFzQ1SVdIEeK3laYb0FZi9lF7QhmReNemu35
WtOTRck4VVHcyaJweABXy/EvhjQHdE8sCTeV+qjVxx7TyNYkDV5fD/2wy2i2hgnc7EQasyVp9yoH
i3lZ9uuHtcJ0e8YSPBP+n2XmaRncfDeRoIQaln2FBGc0JJmFkl2BbnVC/zHXQJJatjrulZcctKU8
cJ+i34+LJjakDxOmDePUTN0Ir4bcwbJSV0x1GCeYz/H0ETluk2OVJRIbLpIf3ny73KOL5R0aaxxE
0Nwb5ebcQzTiooam8JnkeQSa16yl1Aq+VuwO28oe6QAvqeFggIsAqBJ8IONQNXGXL6QTXYWBSUS8
Cmq7PtaZStEtyMcUu0gaZx1yiVENyQZcq2gppkoStZ3W7rYzw49NXu/0JBnIUCAkxYMyojpp5cER
4VDyANFpTsv1TIy8FSWvqeWa35qrnBgw4f6lzfAfMFa060zNesW0X8ZRAvMXpdN5Cv6i4kVfUPdu
R+aBayGyJaCYG71+b3rffcTdMH4QAoTz9iqZN6H7ZxjaQuzyyjgMfgNpZClJZydIg+EUrihuPKJb
H/qr/rFwAakCdptdMJT1vkq5hXFlYVL2dPTQVy5aRu1cqnLW93gEOlSWeQ9oIy0cNl31Ea7Vd2qF
3Reb64g6KS073n8mk0lRIhtDDuDhD4usvCWoQMHKdiFeel3ed6v8Tcb8Otv68zcy33/dggxq7oP7
SFrzbZIluHnpI+3jwO6nYUfKnZeSzSA1DwgeK2AqgP15llfGPLLso2gL5yuZE9oQZUqs9BLVDxgo
/Zt6JLxhYyKTwYFibH6rkcPu8PuDHdBgbN26GRLI0FCbPfgBFDFeibiwySu4aaUsosc8jeCrPcoP
l1QC8lvwJJJclnSOPvsB5SZBFXLv+/l9CrLdj06cuh/JwCoB0JK0GfQAVaQ/lGI+Kd889d4IQNhN
D8JYN40q+7ck8QtkDz2gwDiJF4H4GhZET/9qV9vwxt6rGSiuboL6je6B7NbL0vHVZwdhj58BawUG
dUqmH5eufcJY9VKFuKc8DJPc4xynm7Xv34dilnd1wfTnSYsko5xQndJrzWcvEKh+Y8Z5WfEH1vd2
V7316dUktgRQWo2xHKpEGIyuKUl13I8r5EDIlRGCTmzqafitmvrH9ooGQAqJkPShoXsyqHhhinSc
4k5Y5DDYPKbJwcmpv6UE1kPNT8fTxgx4pydm0rjvreYg8/GPO9Ukm+syvF2G9Fq0ECFg8AqC21QG
eLiwIcUEdZGapoV7HEWLdj+fotbZzkUtHHhWzyFQv9C/1IPXu6pkuqlWtNfVGnznoHH7ps0/u67B
TrKw/HSVtW4KMlricQl6AIQVviMk8mLXLFn93dV2/UVE2lXPXYJM7jwFaxakARp86XUc3O4CAynG
oHty3MJhs7ezfiVfrXgB0mDr5BpDkqBps83bbOqPlon8ZT+q0qP5M5ydE+WIhrc/cdAbqiUhUCdF
K/7G/iFPqusIlxgc1IPSlOHeJ2EccMK2SXikDPfBSc34XfFqlzsrtN7NIv/WJWwvuXHNnqxt0qKC
yf+ZRDW2ceOaezPp6Y2/BQG01Gik8uyaJED+KiuifoHCfbExSG6rxAqwI7nDvq+g8hm7MxwO9pvI
KCo5Ih7x6P4Mf6aQW4JlJ9hNNdvzvieP6ST8FftvFS71vV7A3/og0vwhn+1JwI1T7lLcZqV+XBXm
PoY5l8ms7L3HmvxAKNfFhitleNqUzYj7HzcGFBTfCS2N9TbXQwCG0r8u0oSPFuUk+ymb6ksiR3fH
ZNODdRIsH/pE6G8CL4solI3UT3nNZUN6wsQ4BdbDSKTUP7Kx5pvB86aLcLU6pXOYbIF+gCmjIThK
b/W2Vm0P7CL2eMMr1saVx7NGLJY5SoRJt1Mk+1Me5uGpUpSuhl6BddUMLbCZ40F0zM29Mhwt9QTA
BlQprqAxhiNFJAlwnoXM83pwJFM6fZBoI+MyGP27tnH7z9LW+tyrqHzUc5HcumIq3u2A7lrXWGNs
ynzZT0sJ70Sk1TmAz2A6HL0M/4lazp5vf1PWjHBHhBu7JVu9LiLrNGE2P3qpO+580LG4CER3BCJB
sODaHOchHy3JhHs2TS6/Rrt34sXPzdYl6GBrW8Vr+X9pFxJBTAxY9+jDGHdzboGxRU6ydybnZx2H
D7lgubcLe/kTAt1cxIx3Gya+PZN/Xz6vNpo6u5rnGwTdcohxpsA76/pl9XMCYCQYpWchI7Nk8bfz
FGMSk9dGR4P3Gww+7ySzdEyj+fKEhcuNZ4iqDT4zZwOZD8Zan/NouWYIWV08l/lVsT5VHP6ryXYa
/T9ZP8xnQ4JzSKedsw/niH5QG2p11EtHOgIYlo+upfaHHW8/aR9JF1xU4Li/xsXerOeR5WjIrXWf
M4T/KwlkelgiG8Va1rMDkN1zM87OA8XMP4SV6Y3KBhgqBt2IyaGURK1NTbKfg9SDhuit5y4o/W0p
Z9wyiWioI0PO8FJGKvmQY5e9MXFEH7r1VmDbaeWdw9O89xcnyPjFTMGbqr3i0GKwwfiHsxhgqG/f
s37QMHdlGWuiS/fj5MhfaT/4yBxXvKVPfUWA5L5OYQu7KCVzkzSqc9sB5VqBMngwmcBJWKs+PNMT
G9HipQBvXPJ3Cn0WlhK8kbQ9j3TUr8A614DVi7QawJUMuRMzOLs3AMq5sZpPAvfKLfW5L5W23p2I
+hU01tMN4VXqFUm0voOZFrgRU6Asp0wuEeY+PIR9+g2WQ0W9jWUl7BJFj0uX3ta1Hb70lUbmVhmw
llX5NzxpHfkW4qfqlY+ZYKyPWe2t7sV303b4NweWzHdtEeqbMUgdEHc3vyhEXGciQcyhnqRB11QQ
bzNgKQ0qGmpVsYA52Ys7MfziaEriiJ1bHBtSdnF71yWKDpCWqdqrmvN253tzeJfqwgBOO+LSexgg
lzpZjiva+GcP1hQJvq72zKRUumBAuHHKFWKzkO3WjSyHNoSI9NMqz3bV2lnbNQhMAMZkI39XSyc2
QSiJaSptH8ntEr4POWh86Yq03DZifROrgEQiREoAmSYp2s8FSVKXdOVxcJyvMuOiWroF9kH3ywr5
WXTqYy3zEWG92yIfqOeM4tBuJMMpcMRD6KgJ4N317jKqhB8TmzCmeUImM4/wcaR7rbs60+pQmPT6
L0SvwVANf10HzE1rDAIuurMtpEEdD6MX7eq1rP5Rtatuyq5IyJFLKiNjLeACVSCd+9XrQqzdyt93
QxHuKva4c91lA+wfpJSWDZNC5vh39OlEj73tj8z2A5n4FpidQbC35OSgzmu1vhLJ2x7X1jgPjrBk
HIXF8IBTu9l37kqGkXaokGQrjTvpJX+riekDrJLZYRX2AScsAg7NaZ8XOfFbDZq5hDDDQxW2Dkno
oOs4yNFsUbVHpY/PAKfNlyl0d180tf9NigAhbj5wfk3O48pHhu1b5946ZJp3VTI+bHHxT1s5O/Xt
2i2IF0TJ40SkIU3WE/kyJaH2+2ZxcqzsabIdApm+igJGjvvDEm+2smps7IN1Q1srYz63xAHYrj3M
2q73+dw4D7wFVwYKZLPOQEVJQaOtYKoj0oPGP2OfhBsLE9oBSLfaOXaevc/BYp9re1Qv9cgTguqi
RmIpadi2LHjSyrMtFJxZRwYqWcghGScEzUKKlY3642R5/88shAWBx480u1Nx16d1d9dM87ctZXrH
VFHzXKFqjhQV9UauzTGSnXlYu0Ze8AUTnAcNuZWDT86MSBuMhHjlppATvlNwHu3UU/+cws9FOeBX
PlAEXbUan05PEDCyvtWgSSZImZBiipAbfD7kOuxTzcvmANtfOXVGzDK9PsCcYcsCqDFgt1k/ynT0
XnXG4GYyLBrNNEgCH8NoX/lefbRBsDZFvryT6QYmzoZMMIe0ATBoUNkGntu9znPJJcXYAiFEDAx2
+vngEZ74myEl21StSY52jY3Ur9HhTYR8QASw3zg5ofqeLA0AeJTvYcfEYeRsu2YjtffXc2sTYL/c
NNy8u4YyBVzILXFVo/qz2Khzcz+5SySm9mRpiq0ibAr1SvabM7pupDN/LBMCY6USccxM9crUNMSh
bT1XggFuUxuvfx9lhezHMc7NWKofjx4OEhMw298GLm7ZcLHqO1fgBx3oFb0PyLH/6LsKpNoTCOU6
B7ory3/qNYQkpkjurcMTuXUpyTgRJ2Wd0sTT2JYzmCDbI0UvCOoz4X0ISbI1da9XHHeVP4f2X1ZZ
YCVhoVaZB+HuLJ6POJMMcL3nyEPYshAb4UxvadEkd6Ee1U2bN9OOBQlln6nzZ8gNfOQKhXBObnG2
WfFHbVaV/43qvL1MraouSDP46OQoGWJrkEq34+DcVGUH3hIOxEiJlCxDpgOveiaFTBzHtXEeYYPQ
eOsGRdqEWQHVzvV7SJ2CQWQdfA3u2os/vrGbO545ghey7IckDcRruWjvg0Qgj8hbyuzyfBBbLcBQ
QT5I2xtqbsvOcjeh1zCpkymdhLXYzbixD1NPw1TaK7jWoAVgd5s+5tulTGzUgnxG172sNiobkaE/
RsOJHGxosV0gUdrMJGkd3HV4qsBUgEjq53n0Hqox7XZ2m5oDYZ/2V3AVlbdXiyFvDyOk5ytEur59
Kyfrr1MZtc+1N/ebyevUriic6RyVgSEnv/jCbZ3E3L2oed0QQ2/a2/so6pdLtnrADBPBReTNTft+
dG22L9JxgzH7IuKm3qdILAg8K+ebtmlZNIYIUZPFKrDNvI653kZNEUm3PuSrDnbpUqlhjzQNgnqN
5lhIiyXSRcMVqhk6cx4uEWbZ5SZcGlK9Ei/Krkd/+ZCB+/9N/fUV5AojmDauvHRt61KjVw1knEOh
IvCHedNHdxjUj6OH7DGXYfiQZKiJFXVL93SmXfOpEsU5WZUFcHmxtC3SdXS7OJBw1mRXcfmA3uMf
zLF/lzRzdu+EeAMbgGUiTcjjcrvqx85gWUGxMffBbUOTp/gt69V766l+O2bklxzwyGLxl6lN+gh1
t6YjElWm1/mOIf1guTiCtAOGi35Wbj2Rfhl29qM3deYxIytpWyi8EdbY57HhVI7LOZKXqaEzKpib
95Ti2X0a4fgtl9bgFsrC3eAs4kW1VJ4PhrnKsYZq7y7mKsfka6299rNIQ4TBocXzPPFKCUf/Y7uF
WF1dfDXFitOUvJJndxoi3m37akxAi8/7QWiR0RM+DsYe3wNFrhJCT+tBDAR7+Do6+YDrKEfrgGCn
FILkRWCQn3Z6zZcPvB06jjSO57yJpk0ir8HlzsI6o0J0FaJjyDFVydg4mOIciXmJvWZ8bnoAqLGy
rU1gLNhgQqOObjCFN8bDF7Dx2h4+rm81D02RujMkt7Llcqlzl+jYaS5ekq7+xwFMoHkjr9RQWzyN
SzI/+/XYcioVGDnDAJW4zNyPhfS1G29eSmZ89D4Rg/sEXp6/Nn1BWP+KniMJ5myf2aD6nkxsdB6r
aA/oERjyw+gnDeqvgW2TX4qTH1bqEy7d3FNpaALmvE4tPB9E4HH15QgEAB7t15RUCuRryHxtsrNx
26zpVsyQUJsCsmGb9msOuGyJAVS1r53YFvzKhjVwn7F4Ok+iLhB/CP6eIv8DdhCxVdfTtjIJE8GM
AwikKDmu2ArQ/aKimzsQPCuB+CgmaF074cCucutYjyr7U1kS+gC07OhaszpHVdBu0VygpW4IdjxX
tTNwrVrDzFfDSEtlQXlDqScqlUn7e35J2X7xox/qcBGD92l0qYRi5+adIUS8W1nBcwskN6qoCFAJ
8eBpgmUVSHtaLtXUE6mft+nBYQfbL8sEfDmn10AQ8iaglIueeO5U7zyh20MRFv6zEbJ6XvKUZIWg
K66BFWLjayyXqYHyGZlQAjfQ+0y5nxO9efcL2bIkaTt4jxOPe0t4e+OdEveHpNBpa0+jJHpPps5z
Omf6zQlLVJmYegDR9QCEpPmptIUMwh5GdVaeVbx4ITOyOwgJYjKOO9UgMWvzaviciZV8aoeU+E7u
768wx7paTmyJBIYTSGpQCJSedsnWXYi3DpH6NZMUB0gBBmNFkiQRPzMkYDE/kh7tnC3pD19J7/vX
fLFZPUwOwSBWWOrYqbp/oAziZxodjnNouJ10C9bnkAyH1SqRcOAfwA3jyU3Ssyc7Y1Z/yaoUu9HM
w0czslSQRsKMbcJvR3BjjFki9owQqFxCX4HV63l8zPogv7QjqKmDXG0W09XWIkzGqeOUnyGkPrs7
eoVh6a2HPgvr+yqU/aMLoAWiCiIsHA+Xj1xRYs6LRCBf5pQwEJ6PFcQEzT4U+USE3TDSamGCbWa7
613kM0rgGATvgVdB1rSbCZ3Z9UWXb0eKJqpi/kFh3hxDawj22IqXAymE6jj11AnYKLS+KteYFfG1
p48tJ8bWWzXnqTeXNwvuZOSwDsW8BdH0SU8HV1WBZQoUHrfuwjieG1w45FNx+rXOD6MPQ5pfXa9h
pc7aYqBYqZrbkRlJm6amrPEpCdHfkrOWPTgYzonlJ7PtNIoiPIyBqTGyy/6Q9OtAEkewfCmKIfbY
5TkvCAXk+MfOClswvFEqQZCWV0vYgKu/hPHg6MA3vcwD8nHb2Ovt3A+UhdKOeiD4lUxgm+vXOK51
54betGf1co9GDdnfpnOsk0iKMl7b+e/kU8I3tHX+2xC6h+Zx1nunMN3eUEa79wG7SLNKxd5ZEezC
FLMz0gWw9+jkQJmKLi1rHe0dqgW4scjdw0wy92YR+LSn1If9KZJhtwodoDGlNKMdJvmhOgNUdz1s
F3x9p0lYCVZkMPBNPqs/peWFf7xFQSm2smtPBACrrXR9vg9CBNL0sx5RH6Kca3bQEMkxKPDdJHSn
7BralQmKCKxjmaXFLk9Hi8M1bXZiQZrcu+HvAHASl9cgMIAesnuykkAThzCdYe3BDAne4D+BFqA8
tfWU2q13uXYBP82kVxG5QCgJ5hO0CqPvnJISIs9IN3wUw0TfTig/mSzcG6oArIskV5AhhYSpWJCs
vMUs/ANNd5VQySCIczsgeUm3FHeU5UgAZBkVp8pHwV2RoCYjkphBAIharz6CxiKHsU06qr9w32TR
6lyssuve/ZHMGYnpbDfyON0LRqBzQRpArCSqlKoo0tsAWurG8OhzSQ0G7QOOgKZct/XUkhuY+X/h
h8QD9vNvBH9Ac5QdHyYjh22fCnmIWP/OFFA4l9Bd9J77tztUK4dfoZoIz2dtCIvy8n1e6ugTSm7e
sEfam75G+htJOiuapdBxroBMeABjssvAS2r0lB3RIRsomOIv4CuBSBgBbhkReR6FjfOM7ut4blt0
l9YEsB823nWSC16ICMAdQWgQwXPEH2Jsya7G9CU7ZNLQ7Fg0bVxI65tLPvcIF+NgMsXq7YskSG/+
R9qZ7MiNZOn6VS56fQlwptmiN+FjzGJIESFpQ0ghJed55tP3RzXQ5UER7pCyslBIpCppbvOxc/4B
pCtYwIk0qYKb7LbScnOvq+kruS5/V5JT3IydrhBwKuEtSbxgNyoOAVNaqP9MgXyuoL0824nClvIy
S7pOO6j38IurvUxCYirobhDqDTx6ES5G0QJMH1ZkYltNAGuCdLCOvg68xEdSoULkw6EQ+0AVUrxq
PtrRvEq6W11ldUz5VGyDaELTK4AxmKn+E5IkxwkPPVhbJfU6HEOJwcaE5BccRl3JkkOcwq4mNCCH
Vyvqrk5QBA4ctd/kaqZek+tFniIJi1vV4RzayNlvx+hH51FRQQU1ZISQAYPEE+fOIS2K6bGebO9J
S2r1Du3taRNqpAekHeZHSSXjCNQWhQONcGaf6ogFDGH2UmfUyzlwg2sDDUUHkP9I0Fygank1iMbZ
9rjT7IysDF/NbMQDhDwhmE1S+TdCsYxXIE7Wvp6jiq7rikOjk38mE2beTlDJjxFiXPt0AEcbhh3C
Gz3gYWQL8pc4dLInxYJzy5N5BLNF/jtOik9yHPQ9pwRCcBRgjk2sOm4SKPkeOIfzAqgTRY9EUJAC
oUDFM9egrlKnGZIWZfm8bfdqjKTH1UC5dCvm4pA9SWNCyDUGvpxpJVCPWpJ2Fg13A2DS2dRQVZ7N
OEW1IgmqZyUdkMeiVPiAVjRD3BSpi4w76hwmEpL1VNRbz+oLtMBVMvBxldx5STF9ygnA7jCl/tCj
WrGNsvYnhwpPZOm3xIPIw3t4mqAsQpRrAfe5sgkU8cog0YwAGzkJPDOapLsukAm881KyNlVJTpLB
BHQ8GBpI4kY9oK79ORBcC1dZGyB2DAbMS7pC3TpW/A+inznLFYkCiKIlCCUAvOhzaO7g998glnyt
0bm47qdgfGlIl28py3b70Ue9LswaSUQQ2PcU1vJD7XU8TWBKI6qAU46P/9EvUBYMaUTZJDmLDeoy
8iqOqS2mhZ1vjNou0RnmCqrwdn/DWzu9K0VICbEjnlXVKbjnTVfyOgH39lSIOD2ITppbbyQ9NGNy
IPt22GwlafII3K/f9JxtRMxAf7pcDOhzksussxBIeO45d4NeQJiN76bSrVXET5DyV79YRWt9D/VZ
SMuBG2SjvrKJ0Dy917ze2dhtPO6zybP3QpXVa9TX5BMcnsdYNqtkZ4LhDsS59sYJAOk0ShzsZ2Js
OHgb3CPhyGWq+zVUHUrRSSbTO/CjKZFVTvRRFspbNSOH8xIZnQyQ3wH3bueWYl+80wejfvOCNvih
5GhRRrEX7rUy7DBonCUv4w5ENOA3ZK0N0lld0b6EYLxeVYI2cLiQTZ2OjNWV9PAiioo2eKYu7BGW
J/FTj7OIK5GkB2k/NkhX9ViMWSUlAxPoDf8TvfSOYR4tEBLXZUu+chOTrAEJnyTAYUP08u/KOCtJ
mZTpNafV9KwbhXKjU8I/JGXLEUOworVEToBjeB1GDrw7T/2GYM1rrfpui5Q7kv7klxL5XPTPuUNe
TyOJ81gOjrj1wZuD0wBQRwE2YLnk+VukDcku9uMcz2RnJpDjAPgkp1y91tMWHwVytQdDj8NP+swI
Ux0tuCNfFv9MDerRKkCyBzUHa1pp7bCTzZDc8tbIP0xDau4VXND2qLTgTWDHL6FilPmmPkY5ti7o
xUnStILsOsYoW8tHQfmYip0B3tG8DtJ76KvokrQeBZGi0aF4ROQhBLI/s0JK8xJ2s8qGQOO06lPQ
JUA9qQIA5xuMcNroTpXvOE3CXYNTBE1gdNHzbt2O2G+yHowKqH3uTW9enpisgBnbkYXljV/7EUhX
BYV2lX+GQrLpWtNkUJ8d8q00G3kQBtNlVwgSqB4CX4j9vJBeVr/haWQd7Sh/Usu63JPu/V8MHVxt
fMevtEFicRQPX0QvintoTsEbt9twDyoE4A6qoJBHLRhVLUYBCD216QdywuNrl3MeUIjNj33iPJfl
UF1VDh/pNO/NmDS9xO+G5x260+AIzPF15Bl+ZaRTeECzT8zibXDoDH2u8TQsGTbbbdQyFmjD47wC
GaXlUWKiaDhbrZCKKm59MPVXoU2cJZtg1yJPnMGf7fXZHaZB8VfKoN80zocuDsrn3ESYZ3Yz8m/l
EJs3oPqKrT2OVEBVY7wvo1RwgTfiQcvIlWHulxz8VrJqOkcCDaIOT1kQ441RVnclmecPFDVCxGGz
72B7/B3C0f4HOyi149AhJRdRSARfpKc3wvfh4KZ6fugMhOa8tvIfh9J+Q54+u9HyDoKv0QtU9r3p
auTp9oDDFOczmHLODF7s2pB7T7YNVtJ3CjIrGcqOMRVNciEV1SPePR8GB45BqJF/MHrkiJqoEA9V
V3OPSnOO0+B+RIMakzlk6kYVElMcY6fAild2+EeGx1AAseL5ps96z9mxZU8idsuB1TcSB9MQNgr6
GfWTNQrMp7g17xUf+yVAjQp0HCQzebiGXKmi+O7PEXRWlt1PoXftW2q3/j7B8QudORRZAsXrDiQw
s49qN/pYw5gNBS6UZ6MIqI5jqCMpa1QIPcAmt40D7xp7UbwldAQGzJFO6lVzWzvwBSxpji+1U+ok
GD3zBlgO/HBb+yLQlIgiUk5oHzYWSm64jiOpKQ8W0IkHxLxCiFlgOrC367f4eLWgMArSaQl4YgVG
teZBMhNJgblC5g0oQKHk08hExTNRM28KUPl72+jkdZlOxUHRANO0k1Id2X1E1TXJ9iZywq2vp+I2
ARm7JbzjSGrazwXwwmMNgOapFFPN2sJIESWFaE8+ur9G8JM969TE7aMqnj1NfXISq99G+WjeTY71
We8s5OQTrtcmo0gB8lI8tZDq7uKGSy9vWB+lBUI7UdrgSHUlQrgBt4xRYpZdlcCxKK6ySciaEnwp
BgK21J3uf4Gb+9iAgYPgNm8bWNn1WI8c+nV+q0nYAkYLZ5Qd2lKhzrIj6loq6O82oixqld8IXAl3
QKWiCRMnLeegqTbXqG2xcNEIUoAu8YZNv5tmpaIcGJRHK1LCe9aVcY1H24SY1ORAJgxq7Pny7Aex
ECxZpym+YIoEe7hTWudK44UKdFGHblIBBSGvxyvdMTQOTCBHQ1zBSYohzyhg0J8MNhfnoGZu7Qnm
SmdWUK1Cr36tqqp21RpvR78U8cEfB6zMA9PagtT9BgiAsiCim3c5l8/ObnxU1wsKziYs7Q34HueY
RIgJGK3kxB/1r+3glHc1VXyIRpSAag0IcwK0+6rDuWjba/23oYvVA4x7sRep2f7Etci+0WRE9Uiq
b8j1pfsK3dUn2ctvgSMAt1VkECig/QDoq+2o3vBQDRMMsxXU3kTRAwsxW6y0Opvcn5ofLJNQTYML
jliN5e2dEVagiYPX1vQVuPMSV6580HN2fGGkx1Yx/A+61aRPJu9G0OPNQOKeFPUNi+qtbKhTFGnO
A0IE3EZep+56XQVaWmvqleMo2XaAyItTSYZUIXHcZpggZoIMzHetz/XXeFScMOgLoMiFw2FQAh0i
EAkZsjljg2UWeojScpqbCM+LLVPBUzxQx51Isn90HBS36Dwl35uRRLfltMq3EqMvkg1GAwvRfCqJ
MB8osKFDpXrDV8K+L6DNbJKu0GKwQR22VUviqO+AKURR/oPOsaXzAarHbDiSR1SjRBHUN0Nimld1
VVZuwLFzDAr0MsH9UaGgrqpn0NhB4+CsQiFDhxIXW9GDhU30Vksh0ZohLyhnkC1UfW/0rnXcTQiy
nBF4MRebOiE/02L7AWgKZFPtVNONlB1qx4GIXxuPzLXQKTrUMVeDpfaMIZmwTZMrCrm3qkIpv6qB
6PRfsJsktRwnDgIjKjr+MEmGIT9SplE2cQwFstOMcQemmltThUyh9ngOTRnsSYnl07bpGuOgxzUM
9WrEHYFa4y38k8cojsUziKBoU2alcwDmgrwTyh4b0v0B/IGW+x/APaQZFeCxo9R3VmOXFB3A2lAm
MHlotGPh70Tn/OPLtvOpkA7D/NxXkLKCMQWLxtrm/WiS/PWALKOJ21FPtcf2xgaw7hMFRn4MhL+M
K3xmccQgrGtq7RXk0Wt5h3NkS9EfI58acXBgC9LqKLVaqDEqc8YvlHX8pW/BaOm2gto5UoZg13zr
pi58MioANn7Y/dD+49voF5oI/SpJ8VOQmD0Aw8EYexTj/OvSf2otNbedQTE/0NndCEWgKThLmKoc
wJtQIOGdBuj+qJ9KNDSv8ooKpUjMflvaanyogOVem0RWGCQSul3VXLfw3pz4WGH3hLopImehgLfS
Sh114Niu7ihiTS82xggf+f/iXNAEyi5tQ2VntsEIlQ8sEohE9YfSgsQkIVf+iG0j5KUQ67xRS4bG
mPUPzA4mv20I7vnMsG4dGwhfDYflmldpB88gqq/BcKBjBXHlRqdkh2aI4SAQElk3uhaHOIIOe6OE
ilxQHUWwvusU/YUSNtRIUycpaTv2jekRUXJDwGvSDH9XpGN1j3y4taumtEQgAn8ApwqhtXHMpYOB
MpDFR7yKQLLIZ/0PEtQg0MJwY1Yt0jW2BZTTt5SD0LrwAHqGIgJUd4o9RvelNs32k45MF9qqZJbc
0gBfhs+xtZkKD8llg+VXhWi54DL5IiiE7x3vUUJoIKybLUnUCZRrqYCgsXh/3pEcRIEYdhjAz7lS
mrXmV5/w4HOZURCbukS964PM+hCkJGMVcPdPalFAUhukhGEPqhU8ZEU+3qKmS90b6hXAb8fStFu7
hzGJSvmXqZ0RkzqqtGoIm5z3Y7trmvCLyU14lXQkKkirmwfWO8k4szcRogGuFqIDfkDPDoCEiiTb
rM6qKIQdkSoptWrQjgjf5L2FBQlwmKF64QWsHTqo4ZChhefdlJrGVok6AmEtGo46dxZgWGV4cMhs
q8ehBIaM01jsFG4+wOL1QFBxBJEf0/VKXIkkYb8VgmlLMe4JpYUCvpWlr0DKX5zG5pTpUhyNQ4yE
bQk+AMlewE48emu0ZO14O6UjimLYEF/JEmLsGHCAKwMyZQ0/dBOVivU0gYkCkhdWr1jD6AdRJP3H
OLBsLhKWXa1TQ6V4NlFGRklGhLp5q+sA2rmuNYAqRks1lSyWaTolam9ZfpgaQ2CJ2WCwKSgN+B5g
qfOG46sG7YYQJnxT0+E///X/irdvTyGR7X//l/b/QbphmhyiWow4GjKF9uufft4ydEPqlkHhx9LV
hZ95a/omD+0xd2FBf/KnYpNr49fzTfzmAM9PV4U0TaGTOgY29b4HhZrolIZyBaGtb/G4xdqbalA8
3v67VvT3rZilNcUzxcrtpfjIjsk/2gH5ViBtyh1RtbE/39zatDAhyAnrQhqmabxvLlZ5exuhU7rc
Adymo3fBAP7S9+c/P5l2iPypVqqydMuvFE0w2vl3P382nz/5fEHqEJo0P98cd05yyL3t+e9rc/9z
tC/z7PrHf/+X0FWL6T4Zn3lRnDQA2deBBeaVSOB+EC9Sc/0OgTHgfDBKN2iMoVpRg6Z9nZSn8y1f
GrjFfmkAPHLCm6WrWEi0bov2Qs8ufV+871hRpH1gqxYTA+wR3nfwLydevv/+iNaIok7MTDZBzX4i
6fGvxsdS33/fkcQmecP3fQq/mgmV9nC+gXnp/D7zDuZZ6FpoZBrfN1BTBS5aGy65EB9LEICocdVv
55uY5/BME9qiD2S/MYbKfbSSzGEHHOKqbYluxKsC9jDjMXG+tQsd0hbnlwAlBDSerQhvBZB6X19X
5oVFdakJ/f2Y5UYijXHe7WAbMljb4N+mC02sr9v/m5ZfG/ZkQ6Jn5Wtg9koXAGPeXVEoOD9Kl74/
//nJ9z2kxTNQRqXbE2NCKP94/vOXRmj+85PPawqvl3hiytEbClsKhCDW/mUPFkcWFoKJHSaidCui
PU6nCxMw/+u/LVphWo4k8BKWufh8wSVM5bGu3CFFqZ8gOYo2Hc8Ib3TPD9XqTJw0tDgBRa2kwOmq
ypVU0PCeR2LpfAOrcyFwDQc9bxL3L+6+1KFuqtURMt+z/DCxvF0+ps79v2tksZ6wjhxsG19v1w5R
y50sWMYOdbns5nwzq0eJNIUAPa4btrXY3G06dXgiGpxWB9CDgL8/GCMKlx/Ot7I691LQgoZEh6ot
psTqakVgLMR1i7ied2tgSLm1P59vY23aDV03HFPy+LXkog0MzZrGM7rKVRDfE/sCFuK/a2Bx89mU
P6vJpgFZb9rya1hWFxpYGyVT1UxVN3SNLix7gKYvIzgVbvqtxtpvOJC0LfK7871YW7ymJiyhazBf
xHKYvKTxkIltCtdu75Tk81A9NNqFUHQeiOVON3XLhBptCM02FmeVkInwuzQGEDHg7CDLO0UVDxZa
07Hv38CkmDDBGrILg7c2/aeNLo4XksRdSU6tIDX1dqXL7+dHbXVqTrq0mJqROlefdknhkt+2/Wsv
JFG2bdrHv2jFJGygmEPVzlkcLJkvIiJTv3RJHIWPIngz48+TfuEmWR0omxqNxBjcsMVix+sqie4C
rLhrxzdw6e0Lk7+6vk4+r7+/qCZRdyNcRCafoniku1xWaCidH6fVBWbb9ryKebObixBrSos80s2h
cH3KfcOER5GGEOJcQ47JqR0t46+G7P/aW8aMoEDtZIxpLyEsSaePI/CH8z36FbL9tmcks+7Y5nxG
LvaM06RoUrde7lYOiI9DADJX7BFYo4oMzzL9jozR+RZX5+mkwcV+CYM8tdOKBtGrxHcjUDdpfjzf
xOqmkdQqpcX9YiwfvpZVYZyd0QSWldqASmv5o7ScK+f6fDOrq+GkmcWKY9tbk5PSDDoJ+LMdUOJH
YGQ0om1H0cqn4fPtzXt9OVWWqqmmZTFPjr5YfSV6CZAtg8Ktsw+x9yP1drFzVyJg310Yv7WdetKQ
sQjzqaBBjxE0JP4J8zvDfDjfj7UVYKmkJTSLRKgq53E9CSlVoF4aVoB83sC4DTgxPiMXerBowlQN
KjySo8y2TK41azFUdYoeQzqUmTuCpEiaY5Uc/SC9sHfWGtE1ByYCekGqaS/6kaSAk1uIkC4psbT4
6vUPXvF6fqjmT5xM+a9+nDax6IeINXAkNk0U4TeSvtcJZXsPrDkMOh18MqT3v2hPJyNlGlwDurpY
0hASRAbQLXM7KBgNetUmstfww7ZV91gEb0p0YQstVtqv/hn4ypoS9x+bDft+KeA1rxg2XDJ3BDQN
+MlBYOx8j1ZbkLZtGKpuYxa1uHUU6Bs29PTcpQrmKz9750Ice+n7ixGLCvAw1LxzZGENtHd+AqL8
8w6YNgR+29Klacl5FZ7slraJ9LyFae06xgY13IvR5doqNoUlbSadvIGz2OxhrGpKVk+Ri66z111T
bwL7d74Ll5pYzEHlw6yWaLu5fV9iJtS7Wls+hlSZ/rwZS7UtUrakBo1lxhYrMtCzeRu7Ddazyb4H
P2Re2B9rPTltYrHlA6o2A7iR2E1QeYGO9kt7OOIgrg31wrxfamqxNUowvsh5jTGnJBYpffBgD9dT
93R+yBY35a/9Z2mqytNonvvl27jshJyqDp1nYKkoQaKuip609/18I2tb5LSRRQxbDFwFvtRjd7Tl
j0mpR8oU/YW5X2uDC59nMRl1oBzG+12CpJ+GdFmUuLqFYNUm7S58f2U2uFG4rgxdVS1NXy5hUoNS
emHhKvVnZUBiBU0VSkJ/PFDvGlmcJWjqCXQko8KVqNkhqKtcWL0rg/Tu+4tBChQE24RFJ2xiFLzF
48q+0IPVYSIHTYaC610sX5JhmnbguAVFE/BKX9BRiS+spfUGnPnCJbiDavJ+nikw4jnUTbnbdvad
NRY3osnvSi/7eH4mVu5dx9D/08w8kieHLtRrgILxkLuqoQI9Pkw2qhJDi9Xxg6l9CYMv55tbnRgg
7OQPbMlfi4nHDMbOVY1e9SF1eQeDhfpvOnTSwmLcvNwCzVeruatl4ignibjxI1oXmP18MLHMDtPP
53u0Ok8G72Le+obF5ft+AGsfC3KUjnJ30qOjA+117MtyM3nKhQBiPjsWARIo9f+0s9iX4VDmhVW2
uYtw9ohqdWfvtBpJbOSqjKvOaRTMUvr0z56a86lJo44tCZJ5XixTGVYXg42xWR097ILy0Ho3fnsh
rFgfv/80sbhowjJHOqGhCQnez77xP0XFX+1VSWmQnJWAcjD/hJM1bg12ZyBwkLuR9ZR1P2WJc87u
/CpYnZ2TJhZvvSKdUmCqhHeAaDax5YYNXrH2D6zlcM/986ZMULaI/pimzd+8703m2ZqZQBR0gY1s
EAK491Iwc5pWX+HM/qqllvkXRx1xkzkHGzoV3MXKMzJFTczRyVw9x+gmCHcRdD8Eqjbn+7W2EE6b
WRwNJBl6LQDN7Cr6jwicglG+WfqFQvHaNJ22sTgc0ikfgY8J2iDxV4NLtBI37GA0qv7Onp7Od2gl
5HBOG1scrYo/pbmf0CHJ3JjVizV2207Pd0i0nW9o7VAlvyw4L204sGIRQKl6aglN9amwZ9YtALc7
IwguNLE2ObDgSF/zlxDGYuAc3x4jH64JsTOQ0hER/RfgwX/ejdM2FuNVaRALDTwN3ZSiKjgp7S/W
8en3FxvHGm0zQ0qFyQ9R3JzqrewQ3DYvnNNrs25ZlCYtg6ceijfvt2dnAPG27SF1ycccFPOxaoqt
kb7l+u4vRov8LxGgLVX0Md63U3soPetOnLqe8hRa18Cmz39/tR82J4zU5a9z8/33jbSv0Wy0U1ed
UI0H3BrkV1Vy+HG+lbXwAxigY+kOGAe5fMmYweAPDlIFLhKyqEyiQPHVKG+QNNs6+EeZ9aXA81cd
ZHmNsoxt3XRMDdL0Ynpyw0GszE6w6I6s6dZRrGkTKZWxVQdNgUBdmke76549tUQnWbfGHSzAaNeh
HHxV5Tki/yX6L9BtqisdFYpNqMv8xhOGtj0/LGvbzSbxZeJRb2qU894PvoMsE3hRyZGbvcSUnCf7
s97+xd1+2sbivAX3ryqaqmRY6bpK+ViBFVeKC1t6dXpP+rEY7UmOeGxJTiY09W4cvX/CeP45140b
yMpbHIWB0kbxn5VffsUsp/1aHCOpBvEBWYjMRd/VeajSbVf+TQsoHfFGMoWjLw9DwEiToyE64k45
gpDdddB9z8buwv5bXQInjSy6AQFscqB45G6HyYapgBa1KkCWn/5ioRHdGWxC2yAiXyw0RetsRMCY
oPw26KfDBHNR40lzvpW1a5fgCxDTnOJDqO99K1FRGi1sS2K8Lt9O4ScvP6QSw9LyU5D8ON/UPCzL
/X3a1HysncR6FC00zW6J9Ybhpe8ejAufX5sVjnZpq0AUsXFfbBonsxIn9gxy+n5y5wt9r/UoDQfi
QjV3tRfCEQwVAiqcv+974QCeLOxuYm+aaDjkqvJBEeL7+ZFam5S5wj4/YHm3LI/eAp1gDUXj3OX0
Sps9dnFqcMCQvtd25xtaGTNybsy7RjZhPnXfd6bKwZ6iRRq7cfOWRLtS28fOhWmZl+li1qXQCYBs
SlX8d+7ryazLPFIsx1Ji1y7+QXoK+vhGYjiG8wbeVZDpHsvxwhmwcj2+a3HxbEEK1bBiFgHrDDsL
4770UQWYbBxgxgubZ234AE7apiOl/ftpE4RdqkK7JdmHV9QQoamMgbS4EN+tdseUhpxjfJUN9H4A
gUoHE6xmskr+ZystDrF9RHIBH8L+LxYDbxcqsMJAXsOcV/7JTLVVmXUIZsSuqbzOznGa+NyUF6L8
1RFzVCq8Duj139Ajvm4XWDIwNxmsXwXy0qPa/zy/ptfGa37w2yBmDXLVi4vNzstQiMpMSJtYG5i3
VypIQGS6oQZc2Kb2ylkgJTA3C1l/k0LS4ohWoqabKuijmGSE9YfSbr+WGMnhVmREMLa9VPngZd5j
mIR7xYWesFcSa49wMxy7oFCOzaSlnx0NDq1sJiw+igidVdx+PqPQGB77SY//Saga7OWky3tA+sZN
1/mI5MHm2lmFRaFC0ZujalmDi1A+VNO+Hw7oU0RbFlLnVkkEfr5Xwm2l9vqPPGlm4QeICldTbcg3
FZzksNEz0SLk1erbaSr7fxoT/VcDveufFZpez2giRW9+nssjSvLajZWnyla0SXcQpniOugwvJh+A
UahgoajmWBWD00bRSAngjMIbxEXbjI9JHGY/EW0Jdyinlle+jWGrjtLz4S+mnX1ItVXy2FpOex2Z
MeiKhr1YHlBfehiUqyK60MbqfAuKFOR4LQv87/sdkk+JY5QJbaRFvXtQMVH50z4I0uCkj23LQkBg
CYGwbZSmZ56Gi8fNz8mCPlYlr32g3aW6c+Ho+r0rQiWXPJfZuDCBmL/vipUPXdgVMU1BZaTgcuGp
pen8+++Pfb6PBL4NRGEGJC12YZ5rU5lo1EFgkcBACajmlyWmlVU++zw2N34+4N+ifh09gezddNCN
/LMaxRd+xu9nwfwrYGWSI7OFXBbhVeQgUdog608F2B3C6Kh2PPitvD4Kq92cn7zfA+r3bc0jcnJ8
WrBgDSs0Yhfdrf3svGRP1xif7IvqSVTiPrp0XK/OIJkfR9dg2f6WAOzbysH2jbJJ2nn7Am+iTrf/
eL3TJbJLrEqTusaybon2g2wEmUY3RjNU93/WaXFh0FY7Aa2O9x6wL335muoCJUM/zYjcCRHaGxQy
zs/J2vyb4O44FmATUb18Pye+Uum5haoaAt7tY5LInYY+wVXoRJ9wbLwQGK62ZXCrzVcn5Z9FW72q
y1iWXoR0dgRdtjIH6JP1gNXNkKHeXRbu+b7N31vuMG45yUtHm4Fmix0Wd+jqyz5ibeuHWOwUPB6n
/fkm1mYHOsucKuEBAjzn/fAhsgEF38lpYvAdNNv1YocTSn/htTt/5X1H5vBJdwhDdQ7XJaAp0dOs
lvFcmhs/RR2mwxjERBeOu9/bEEBWHMsiEawBXF0EunmimegKZ9RMM32npi9W+V1Me43akw8v+Pyo
rbblCA3alcrpt0SV1k2FbmwTxOS00+6TTV5zY/HappZmeN4hilTn++QF1oWjbnU5nLS6OH4kgYfm
pSyHJhiOcwSxsQ38HlSBMfD5/q22BHzOJBbVeAktFroPGgxCvB+7Vv4lG+or5KV1+88AwGQK5iUt
eZcyXwRzi8XdD8JAY0uGbsg7buq2MkNu7FJlYGV5v2tk/vOTE9ufURlRRCPpNxOZnojExx+PFGcO
NTxQRvRmGbqrY64mBbxfd5YUaxr1tRiTe91vLzx41vrhUO3Uyf8CPF1ismD/oeqV6PTjRa+flfDj
+V6sfh7ALCgzYDL6EmKESkJDUM3nvdnd5ajH8sKCWgsWeH3OFXMThthvcc8wpvWkq0PogtgcEcNS
PkrNgn1O/In7BuG7M+TfUaCxkIRFnzPLG2w00D25Q30H15O/6C4IatAbJo/vZRoyU8ZS9IiduDg4
bTHVug967/l8EyuhgjY/gIw5jfh7nWjsKw0XaBZeYrzYCBWhyY8a910Zya0W6JjsXZjBlR1Le4QI
3LEmdfHFbgoKO+nQOeBq8qqn1MJ+sAyPTe9/Pt+tlRsQM3eVWIpKx0o1yhvGtimM0K08DLY69WuQ
e9dyGoDBml/ON7XaIzm/uTjAKLcteiTqMLNyDC5c/BUd1KHyh77enG9iddmfNDH/+cnpUM6xvlow
SV0/+zeDEdvYEfJp/66VxWGKRpuv+khVumF81I0Hqz/+u+/Pc3bSixTxv7wWfB+UKOpOwwcr9y8E
PmsDxayDDwOVoqtSvm+itozO493L8YOHOsZNF+KclesUzxeSLGjGA6NcltB8o+Z8NQV5tgZa/a0u
PsrwVR1unT9kdf66c0jo8RoiSvg94UqSNGqGJg7cblL2CKPvDCO5gHFfGypiHSrddOX3XI5VQpKa
n6lu8CmXV+H3P5/r068v5jqRI1JD2OYA3dnk2V19KVv4Kx34PlITXAP/+fnzVJ0spqqoR3ST55+v
IZGJ3jAOXBslGnd5MjzagTJeYdr5c+yae98cniGuX+jg2kUB9MnRgJvZmvUbvZAzP2lG+O2uH+uP
VvehaL5nSvuCyjuiBLMFqAEHvNF2hhbtZ2HcGE76H4/x6S9Ysg8HFIix0eAX1Lb5Qc295y6Ufx7J
AYWjvsQagZu9xMP5tln2faX7ripRK75PK3eUF/bUyvFJE5CF4KhgL6ktzrZA2KWTGLbvol5VpzeT
caN4u/MDtT5XOi8U0gCqYy95A3ZoxS1cD99VUpl9QQO73A6j1h0VgVOEbUr/YFrkiHLHU9BlIS0V
lCbCOqOvXMcGYiPnf85qjwkqqf7OL4DlQ7Mvcr3C4CdwGyxw0s9W+dPPLzw2lzSG+QCBj0GKW/Ka
JS5ebI88VTsi4yx0OW9/ULR8QxEf8fWfTdnuNTu9bbPq2YjRKQpmMZvz/Vs5WUgOE7MISeeILN5v
zUYgF2PEInBFF26G1ykMLlyHqwN40sAc05zsfaUaJ/TzncBFF1uL78KCsuQFTP5qHyCOA80AVfdb
uNyqPapSdUGgOSG22OCcVH76i1ESVE/gYFIjWCbYRNxmTa10oetHWF7EBjY6eZJeQuWs9+M/rcx/
fjJUDXpLWdHTSoS4jAmGpS0v0TBWIshZVsEG8G9QMl++Z2UhculUaUiSu0QfMsTQ+2M0ddXtNAXx
cSy08VGqvr5FFe9S5nAlyuOShyzJ04+8wLI4VZpTJHuTYF0pUc0Zmhs8/T7pfffsj39I0vjfDXXS
1GLNeQN416ymKUB03lXXBsWDjrUKxiHocv7FyqCeZ5nczb+DkCcrNxTMsAko20P2MW4uhGFrgwaz
aRbBIIQBlvp+SXhh7BfIMoXuaBySfHgQxp2G2zlCb/vz/bjUkP6+IUOdTHRjaahKnvFdu1VqfBcH
OBuX4BprixwLbZ1ktTOTwxbgSm+IGiSNlcD1kkOlHy8peqx+nuQJOQZJ0LF8sox+EqNfx+dr+dA/
IyVxfpjWTjOKq2A4SH1TMVisLMpGhRaNReCile1j6eHjm+Nb/R1SlJfg+qsXIVba0iAVDURrmcso
EE6C2agH7lgrzQaeFtyZOMbH2EMsAUcH7BLC4DDY4ZYUVbe1ogKXIWS+fhp9Ky+kCuZYfBHB6RaQ
pLloSYLKWPR7COwCfaoUhGICNJEyR4Pm5lTskdlDZcjp0k3mo9raZphnoVp24ZJaHfU59rXBGszw
mfeLEz4Ueu6e8F17ELcaeuFJh7Fhcjg/t6tbwGFO53uQBNziPYLzQxagBBi4at68iQijlEn+jEsK
bk19YThXOwQRE7AXnDiYMe87lHMjWz0msq4WS0zMy7F4bK0yu+nLvr0wdvPMLGduzmMTXXDsM3nv
m0JqtSvHkFUU2O3wWCeAdKzyg1XbI4ZNmn5f+aW5NapyvPBkWV2+OiysOVSUc23qfcNSCe1SjYYA
WFb2oQjkNoEB1GC8hP/MtqEMmTjImTqYKWw8vdn2VD+Qv/tzoDDSc0ggzRwRkBFLNEwU5KKYiiTl
wY8rmYFw2Jfy0ot/beGctLFkIWHm56DzShtDe8h7FDxtVJbHa6OP/uKyAaCizgBBgUbqYoXq0I+0
GPdQV42Pjrlx0o9/vgN0KQHUoAgASWFxNpNiHqvRjlJ0xbtDXX6mLIok+oveXAjY1pb/TGlzqEFx
wlmL08TXY2XsvDF1DWjtSNNuAG8roIf+vDc8UjhBNR7m2jLXY+G/5su4S91q3CMUHIprTL1Rr/t3
rSyCtmjIq8yA5+72qBlXGFAnw7coQORe+fEXDZErARRsM3LLt1enmhkKuWriRsbWQV1RYsT8bWz+
5qwlYzK/I8mQ/ZY28UBAVDZKUm6rte2VrNKH3Gi+tlZ84dWztgZow+FC0QlEl/ieKBwMOTgtiI4J
e4rc8MsrA9OvKa2fz4/b6kF02tJitQGX6CqJvLaLhPM+Q9kyUrFVUtDdTqzrMLTRJlD30yQ+TjY6
2En4bObahY21FpXM6U22FiVRsazx+XVUa0oyJa4jmq+qZX/IsfG90E1j5aCn4KH/D2lXtmQnrmy/
iAhmwSvsqeYBV9nuF6LdthkFiFHw9XdRvreLrc1FUdUdfSLOiYpD7pRSqVQOa7115KEvT7gkNSB4
g9WjoE8us76YbNplU7IbGNTLgGjmYGgqNxuwS4GnFm1AINi6pmV6xRt9t/1DVjcWbwuUfTGicJlr
SSedAj+ZPpUAF9k1CttNoCvfNWg2/oQghCJvjXuIkARvldEsSboO3mrgWfoFZAnRAeOgEQVvsPNB
ZLW3FwXqgOioVOfQQLxFs6mOWrvF4mrN0b1vc0kpc9U+Fp8XTJSGJLQ6jhukB23NEDle93V7reZb
XowCUIpHIl9FPR7n+/wyrtMO2Lh6RJ+iavpJKmCE+wotro3J2g9Nu98WtmoBDgZakNcAWIrYPaG5
QPPSXLQ6EucBgy1gy3vIiSXZfW1dyozIAhpRKCZchq1bEnjDpnhqTJ0C6nZ6sELg8STpYaZvMJNs
X3mjByh0EyRgAHItY+0B1PWg+4h7yb28trooowHXD9lFTI0Jq0vDEHw8Gib2HYzru6P2nZXgYANF
WLXnjPzuYnAEfXyJUZABXhq6SdFQNDuDRaogVYc+C1HMeBqV27mpyE2+mfrf2zLWwpqZfB1tj4Am
ucgVVMB9b3uQmj4ZDgBC9lp80N2j0V9tS1nbxjkjCyxQZM9xFZxrQiJXiXNm0icUEI+spcdB1e5B
1SbxSmthsIUUF9JDc0BK9HMxSagh1HZd+kS17y5g48Pol9r0Xky+daCo7rRRYp5rJ3opT9ggE/Tm
se44cBiAbLV+67rsnl4TMGfUAXsCXhM0WZwrVPY4f8zK5nv6KoluZOBTq59HjwhB+AwLEx9DlIKG
xDadDHHz4NlK7VVskpwaiQgxJY5c+wSkDnT4FnFLr0bO8ns9Bl3gtn2tZlcRLWG0DgUAOCPhAdQN
7VirNdpErISS76BETMAPoFDfMvvhBH6Z7AiAWO2KtXmINp8EEM/dmMv6ldasHGlzlG6RSoavEn5E
1LMub+0e0Y4yAWm7+JZN/FTkXKLs2pIiotKBsIIzhbzBuVGQKU60ic4TcGHoA9HaB0zv9nLKJMx/
XzieMWoKgJ9DAuJPkH2Ae/gz3wfmBVLh6LdRhe8Dnd+JSankT5Nzl+86Lnl5zJeCeA+ioD3PKaNG
b4meGhQMfdpUiG578xZs2h445XwwzXi4GwD56gIp29IkGq250aVIwcFFCLWTEqTXmC+gnlNyn9ZX
Oqp4hgz55q3DYEs5wcgms0U7H23xPEzIqaizU2HaAB5PDyAbuR6AxAIc/+jaAYaBq7Rfi8LegTzx
Sxemkqf/qo2ghxqBLK5E3M3nNkIi0oMSDKG9yZsXNx+u0Yl++riZYJQC5SEEfvhHEGExxS4rijZR
jH7FX5yQhjcOCIFet6WsXRpAApjDJszsYwLpXJG+RM/M6EzZE7f5Lo5ezBTZ17vSum2t3iMyENr5
a+L2IWBCNkifYczE9yogv6OGU3TNGaCI96rePdHcvYqz/C4Czr2b97IH8lpdFumEd4nCYXOVBvXz
FN1toLS760Fy7RdqfT2CXszjtLvhLDooPRg0alBQOQQsCeDb220v8ZqtLH+CEDrpdJymZKIA8QBd
prGLqeSZuf59RKIznLR1gSNt9eCjczWGeyx61vN/JoB/byuw5tkxp/KvACGwsNqsBSUadi2hwHO2
AHXcqfk/hilDdRDcCFLaaAhDThsd6ugRvbiQQTpHupT1AEGYbkfnNWvBDNKDnyvab+sjWOGbHGQJ
/ySB5iboc5tP4nqyRlRen6r0AfxdZhXtgELod8l3VskMUPDGF7KEZ0/NQyNRVYxTj/x7Ef12DVBW
gAFaAwVlTu+a5kaTlQrXVhHRHwq5mL9AlkuweLMDnQNLePGkmeCD37flPTKOIBzfXkPBb8x6IdhA
2xtiWlw14knutKoerQRzmKZxbeEsJfvm2+iecv3Ehp/bokSnfyFL0Chq8ayfaUyeSuAT5RRFw+nJ
xEM/Jb8mBtICBcyL4PscfrpuwDMwDjYSZYUT9ucHYBYMfYroxEax6txgohANHV1JAZtyTcCtUkg8
/cqOmeri84I9ukbV1MaImTa1usWYlJoelei6siW9SMIpvlBCsEQUBdCaNkAKo9dRvJvMq8782HNq
FgGgBRgfUjMGhtaF92rOwTQHEu/i6Ude/tVH4JJCxjPaScxhdjeLS+SPFIxeo7kbldaLpugUnIRm
Y+BIZX8T7xd4fRLy6OTXwPTrlGuzuwfdeOy+bgtdcRkYi/9XppiIAcW5QfsCEAwk6vaj8zWr3H0E
urO8DEJXkilZ2agzWUKWKw1dfTJiuCcH5aYhIyDuYb42fvuERjM2C56EmD4UE9TFRICMZuFQ6e5r
Q3dg71N61+8scKhPP7ZFvYFUXuwYTg+wvwy4XTE32KQFGdR5MBz0L+Qmf8oOxsH+bbW73P/CzC+W
Ee777gV930jvgUoYnJjmPskf3PIOzBdJCDKuh3x8SPkVSw7bP+3iZANE761XG5MQ1vzv+cnmOWsV
JXb1Z0ARf6v1F6Owf/83CYLzav+VgPHbwn38j1+fbWnxVulrVDjiFL+/1lqQcO4U9OZt/35bPG3C
Cs1/X0ioAdwCylxIICDNLL0IlUnrJpOd6VUp8xTn3BoCNEDBOfUaA/FPkxvPoAdzPGoVJz3E1EZv
nIpu+EfR3QO4v550nv+lgfGWWywAzNtjlOZH2wE7FYZNwe8bfnCoDaZhY554TkDhogOihOCYszLk
aOys4qBzv9r2S/qxwO3i84LS5pS12QA606C29zY9yMqil7aNxZyvK9ShEFaJfV0sSyow1FsgIJxO
HT+mXGIZ69/HSCEqG6h0iU+HpADnWaho4TOoIAvPdj566RI88lEGwoWC5wJYM84NTy+YVhG1Ic91
c1fflLHEy679elNDay6wEACsLT6TMQkNLLeRh89ddD0eav7xvUWGAj4PFX3zsmNWq0qrSpU8Cmw8
vXUcnA8ffCDpzUE5cpfAJRPna43YbHiu4IGWYGI8Kr8wRTJmsrY+CwGmUHrgna2NRe2ATB0UadGx
KCVpiotbDtuLDMhcQEGx76LcwCO8q422jAK3AyavN4LqzvqEgSK7Yau4tzWs1aziwnVVaoV5swp8
8E30073TMT31UdcIeFwUEDEoCrobDFKef99S2lYZQfkawAON0SFDeW86ufrHDfVMinAONGWs29ow
kiAp9u0I+jeJFisbffZ94QoEd01eNj2+39ZXbXIF5sLtVZJ9X9gF/HKEtomZBOMriQ8OO25//vLm
mK8L18FcO175KB2fb0JiOWE7cSMPymKn215+gxeWkvjbQi7CP5goshVziQAJfAg6F9KwOgd8DoSo
XeuFoPgsbhPlpgYBg2wab+VY4ETMXUDo57hs9KRJVxGSdk1AnXu8E0HjbbqS3NXFkxSpuqUI4UZn
ZZziJmZNkNlldOAFyGqdaGR34ERTH92sC5rGSr7YZp+BKpGCc3F7LdfE432AUQIdWDQXheIWzHc1
OjxqkMVGxK+nuvRtJbLuK520D2lldUd1wjiym6rWVYOoW9KXtGKOQKB7Fy9oX8TqpJqKVgcHxr9l
iiSqnq3tLNLF2mLG1cTz20USXMxOW4xbo94adcC113oKWOuPWuc1/ZXrdHslutpeyjVjQQ1k7lPH
eOgFZIQTo2Sr904ddHnk6eARZtYvo5K1f6wYP4hAUIhDhhAgVKLx521ROk5p1UFY34Z9suP0F4CC
PbfbgzZxW6G1zcF8P9rGcNTciwZaMGOzecKsDoa4eq7t6HqwDMm9trZmMywJgiLg6WriDFtdJHxy
0roOSjfqn0M31h8zrVUAUqSokituzRjQUw91UJbBqKZwP0Sg91RTo2yD3kAPPzG+KaF+GuwGjKs0
Qm+Y9sDDQnLnvfXIiBYIhinMi/9xiIKrQkdQ15oKhFJwYYNX0j7EoK7Nf096fIggv+/6r0PaPQ7T
Iekx9V0lJ+qaB9aS5+29XFvoxQ8Ra18tG4DMMuGHtEnn2f3TCHalkn3dFrLmTJZChCVmXdVkVVq3
QdfuJuUhG68tAmZnAy1XQRpfN7LzvWageDTjvKGHDPOYs9KLkCLJMiurRiilghW+bjE1GEquGpkE
wT+RIuw1kxZtUDPQpk6WlXk8lBwzsWA4vzwQtqNBHqiIAKgXC4ZoN1AH0xqboFEeQdVezr1j2qPL
vmtGcTLDU5NUnoaepU9s1kLqfF4WixeShhbFODVBzgvw/V4V5ms4XKvAghhAHdvlHgNr+bZIMf//
R1PMfPxp7EVxUpAJmG4XY1ltUOTNTtWu6PA9Dh+r8MiiPY2v+oR7qfKrKWW6rm7jQu7894WuUTKO
WhUlkBubD+Dz/RoWstTy6gEDpR6KN5h0wMjDuYi4bJtBqcImMPB+se9ofGz1g2T55uW58Cbz4s0M
Cmg2F5fPKRRg1HQ4xLQH167rp+6T3Tzq3S16Vnyt+V2SH1r0oPQvGECgH2ZjhJmixwqFDQA6XpYy
I6q4EzNwFkbAFHV+yyQGubZJy+8LZ81JxyGJTHzfMHxQq5sylOC1C2D5/flmXRgBSNCzPNNSeCfA
K+/DFDTxzEQXICNa61M+M1DnYxwoE+hntzdOpplw1Mx4YGnuQLNymuBEeo+WkthjXhvRMrAxePcg
K44GNcH6tNHBcaYVLMM+ufar0yDEeUq0nx/Vg2ByFl1d87w5nnGCHikw0YwxNZtAOyhGv8t1WXHu
8hDNAlzgUfy5pAWHPpHIjDjrIYCD5vuoq7WHuHdbiVUZ8ysFYDQI10T0MHPIeYa2jyYYiiPL9rl+
HGQ8QZe7ATXwSEHQiXf1Rbc92BvC3lQgogQPVbtTI9yG+yyTxE6XVnUuRTgvVOdG3ZlKHVDzW2o8
uHS/vVCXtzm+787g8X9WStiMjhsInysLFwT7hiodopcj10uP57e0OY3s3tFk4dLa1syRGea1sHgX
IMQoh4BfSXeaYByqnWIcCBDDG1nvnESI2HOu9QbHdDBpgrh6mKyj2+8a7Xl75S49DZ6Lc7oSKS3g
1Iu5uDBNGYi4cd4T5PHbvVX7KGoD7myId4kMuHldnXdZwplUuROjJYEiQmmPBOho5iF1dtvqXD45
ztURnAu69PlkA04sKMbWT1sA1BEUkizd09GTU9eyJ+lKlHAmzxaTXUmvR5OO5Yuj5xDeMlGu1Sry
Gm3XOicCS1TyG8avuSY5UGvHdrFtYhtpGjIAMXKEkwYwqrIHHeDB7rGVUfPKpOjn11BvdfVELEhB
tMfT71F6G9fPuIu290xiFrYQKlStnnQAzcUaKteuuzMc35HBB635n+VyzX9f3KfcZpbDRpiFYx70
AVDoEhVk359VXHy/7ng7hQ2DCvwrD31VlZRgV78/Nx5gvgW5AXG7y9IE6s2AkzOg0zAu76fm5/Ye
rArAnA4SYShMqGLBQkljQx2YgexR+jU+pNXrJz5vwFPiwgRonJjdqLmadoD8aAKTA+je1yVObPXX
Lz4//32x/CbKns7E8XlVV/bIRHb0sP37Vw/CG9wZOgcR0AqvxSTUjbHXwjogaXldTK81ck/INuy7
WhabrzqwOUPvIgEwI8ucq9I5KlNqNDsF2pDuVTvCkHuZe7XOqdd2BV6Psm6xlSfdnDCEWsDWAva5
+BrI2hTpbtusgx4jH6M5+CmA+yN0M5PrjNwNFCvaK+joOn1iSdEAgtzr/BR5K/0u9ox0SRh1IbJ5
Q1Z7KNdjqPu+oN+dD2J44R2HoAClQSRhZ6Qy0bKjIU1G9IwhaZnhpW+G+yTTrzIuw8FfM0EdqG5z
IhmVcbFmpgD7UCmI0QY2AQmLNQ3HPJlkQBlrxrEUIvjjylT6VsnNNmBICnb6YbQzr2HfAf9Y1f72
9lz2zszrtlBI8Mo1YWFXpwSyisc4/DI0uWclh1EtPEUNVHKL9E+L/52DRmcKdwmVXHDr6wmoIFSq
UMwT4xK9R221R206sNTYn5ruzgz779sqrokAN9bc+wY4RhTzz4+a0ZRaZjS0C5DW8x5DK/a2v7/m
NJbfn/++sPB4SEKzMfF9YsR+bk+ewu5Jty+M47actfsTvWh4JCAABlSFsFM5I06n07ILMEx2mlKQ
ZAETNO+GT/hAAwPGwAtCGgsPuHN11LFxrFQpoI6tA+Hv4I6+rnsNcnTb6qxEpPBDqMugqxQDLGLi
pR+4EUWxyoPSrHy7HfaTdjWwK5Lc6/WOyWLSFSMAYiveh0hUY+ZABFpSUj6kFW3HwI5+tn5d/L2t
zIoNAM8BNEYY+cJz9OLiS+2xt2LC4bh3/XCY6FU7HeFOt6W8pd3O39Soec7ERTPQB8boBMdA1Y7k
Sj9hzTCNYEQvacV3hfWM+QGT3INQ0ipjH113QO8lfjmWO0C4+ma0s5t7ex5wllXgV7U2AaAKnEs4
YLEEXJpqabM2GYOOHstpnw1osbhO/9pWenXnFkJEe8zMXhvUdISDot5LOX3i8Q3svHclhDVNeqRd
rKgYg7S5GoAeQD3jg1P18910JkI4uRhCQLO0QaFC+o+b+s6tYvkJ+on/20LNC7nwQylXxonZ2I24
OXHka5un7e/LdlvwoyYG2jAAmGOhuuu43IX93eTeumT/36TMv2KhhT1mBkmTbAwS6wawWL7VU4+6
16as9rJuVjitCBkwpCTeCqWO4Ws1LsegcXYa8fWPN47Ne/7+fUEP9DRoiTPArLTpwI1TmkueCiu3
wdn35xhisU5h7lA0HdRjEE37UDuw3qtkNCerIjCagUHWuRog8lsYTkTzuAt5YI+eUe2HxLNlsGir
u7AQIawSM2pOGxqNAa3v7cGf2PO2Ncm+L6xSXBuZBQxKjiYSn/Q7nLvt768t0Rv5EnpNwTIgdoqr
HLXCvtWnwLKfU/Wfseq9NJX0d6xEg5hyhN/HrQXMRhFEYhwx1MyTSg3Q1OopehCBrToFKR+5Tnp+
2NZnbb0sbDVatuZysZjO15oqpuXQqniW3DSq4je9bChw7R2CByJB2xOKkJczq7U68TLCGyWITMCL
4JQXmaZ6Vmv4KUkeSDodFb35MY/rTKmsoW4t5oBeGCGY0UUuhlRby2ojhu6GwG3mLm0nvdaj69w8
uOFe/+C49JvTB3EHIkMMkMzzCucHlCYDUL+USA86U9116FWsZZR58+EQo4GlBOHwNFPbhxWBhGHY
Rffpgf+OPkiR/b9KGEC7geUBPkS4uYaxAPtHaWqBSnck9IvslEaSB+KayTl4kKIEhyIVnsTn60TC
0OSTFU9BqSseeL+9lkgO6aoE2DLacgC0ccG7rqRKFYO0bgpaJwF+XOr93D40a04A1ScLiQOEQdDi
XINRy43WVBFbWm261+hdmCqAFP/EMi2FzEou/D2Gd5GuaKsxmEIvBFP1B4nX3nZ6+X1hGwBKM6XM
hRJGdGxVn1u77UVaM9bl9wVjzUc9tNIC95WL55FWcc/Sn1qL7itD4i7XdhslAuTq8ajA9KQQLxp6
GLIBCO9Blk77VG9wsj+uCpJz6BsE5xLap8VMCmIsTgZjGJCGyg5aqd4Z7eDl3NqjNUXyPF57nmNC
B6D4mKNB14t4OkBgY+SWwYaAh02xU12ueWU5mJ5ZOOq+0GniG73e+ESp2wMzK/epazj7otuFcgIo
l+6PvcplHF4rW3n2m4StHC0VvTBo30BEnvgt/dkrz0y/d1TJm2rtpjiTI1zeCVcoU7V6CAxaeDx7
UtMXQLR6vHpkDgjuAXP4YmJwfdtORaiU+SAA+QddD+gHnRlihYNgaci91lnUB5lhegSQTXrtTSCM
ZvuKH0mUe8Dw89Xiizk91oZskm7lrtdRBkRFCRBH+BGCK1EwKeoqDukCzf17hudG113hALT7JrQk
/cermzgPhIM2APDkYjahwdQ3ph2KPpj037nTeHNPTDUSL60+3E8HpG5AdaOHFJcVnvznjivNmwlA
cV0fDPUBVE/xtN/esBXviwZbXE8z38ZlWoQYTMFEMR+Cru58hMzHSav92pCVs9fEgAATTwXMr6P9
RTAL1RhpyUzGg4TuaHJqzGftg1Djb5a3FCGcq7pOMkwPQQQHvrHqK9o1kWUQZFoIR8pI9bHhE0QY
ymFMbjAIp8lMeMX/Ig0CrzgnfMEeI+x3PLPRupASmMdU3Tkf5ED/s0jvn39zGot7MNZJUakGPj+8
OuZ9m338WbX89W+FwMXnTbulPIQPxV2+T5WbgvjFILnJ107eYoHeHNBChFpGPQY+sQfRa916U+kB
Y6qQDcxIdkE83tPUFm4T1zzoyG5IUzitX9vHTiZg/vtCi0SLm57M58Hkfyk/8uL3Jz4/N80jZYf+
HvH3x21lOk2JU61gYr/DKGf4iXQJyuDvEgQFdJNFalNAQlL5+pWR7T+jwPzOANTFnHQ8Xx866mYx
xc0QVBPz1YT6slrV2lWBTtj/E0CEc8acvHfMELejQ+7z3OfofgE1807hXulIGsLfVlt4acxIdcjy
vcHtiDnhkqeTOwE9PMjrQLP2UX9lpC9udez125YY+1Y/RgnDjPR+wPBtSl63l3Ll1TYHQHC+QJ0C
EI+gaRUZRVnrCQt0ICe6wAQeZvhXuElAzFUAS5lke7eytMhowoM56PsB74PgJUEK3eIPbhVoFPxb
4cmM75SaezWLvcyWDUrPv15Y2zNhs/aLg8QcI4yo4VQBaJy9srjuu4PSPEX5zyx+IZnh2dyQvIfW
1nOpnrCeOUKcLk7CKgiL/FvTwgHF+qFtxmsgx3sMSPT6NATbW7jiLZA/mrv5wVWCh6QQlCeNy1yu
alUA7sLxZyn5+opHPfu6cNaMXtGLjuDr/UPOX0dypWVHt3jZVmGtB+RMihCbNYNbmLUBKeN4GsCy
ZCZfmyjZde7vGj3Urusp/Bg21w3QvrYlyxZP8FRWzR1qcwiuMMuOVN8nrtQzxeagYWGBStMwOmGY
LkDTQUu9SFbpmf//ooU7mItBEyAiJ4CVnH8/jGnfoqpeBpbzPWG3unNdZz8+vkSYAkTkDGBQ0MMI
/Tl525PEiPMqyG+VaWd9EFNoDjrM5ecF81VJiiGlkVYBaFD7/lvfyYoQa1uMOwJlcgRMmDmcLXyx
Bd0AUgNFMcoAOOBu8xjWMgzYNZfmYNoQwQ2SIHgbnwsoxgYc9HjKBElZ3oDN79CmjZdZlRc1zl6v
ZLxkaydy7jUA75GJhg3RgyI3XbQg00KzgfOslKFPSwAZqQGRvC1WLMtCK6CJehheFhejQnmiVFHV
FCxIfgNMoPkHo13bdrXiKjH1jYvABvePfkF7jwzbpLRTzoI8zTKvVszrcsj2adcdBlfb1VWLAawP
g0mgQ2MpUzju2YzvHzqUBYz+ChUFoDufSE2eSRAOJNVIWOgDtKoA1+LQQ+bIZgZXzO1MgmDPdHBK
ILVAh6xuANF96HpPrY8YGCD21+0dWjMBZFfniSBc1wDyOTfsxlEIH8KIBRYPnPaOhV5nHbdFrCUi
ADzzrwwR3IErPRtSExdm3QA/N/Yt5SV3AQxrP5rhA+0fU/Zo6bJbesUlAIIbr2YA3ztI/giKqWVv
ZxPRERc4O4A6Gu1uWyvJ98Wm06TV4dBqfD937kxj1/Bf299fcQHL3+8KHifuk1qzI7MK4nYuUOnO
LstusVj/TYpw9UdxXw5RYkAK9Zv4CjiXIXDibUmyRLZWwtWf6QrLOwe69H37jRnlbVilp21FZCLm
vy9uAFRv2Z/lquJ9g/Jw629/X7YdwpkHz3BjlgYWampQN9or7DpSvEl2GmVaCOc+DMNWZSqkkOhI
c1+XsQLKvj/7ncUqdWWnq0U0h0J4emLCEHyAHDfZ6/ZarXqv96MnMhzUTTXZPYUWGfN79VbHEL16
SNPHVNbSIwK4zoHF2SERDnmJfhLDoDiELqpDSZQehynPPQcMuLqRmPvMCav9lOnHUM2uHKXzdLf5
mifqiSnl7dBHut/H5Pu28tuGgi7R8yVOSw04GQWWuKT7uPCB+599x/jjtpC1LOtCcTAAnEuZGE3U
PMOJCjtN2yH4yb2wirpd1iSDF1f55CEee86w2fsknmrPSRzuda4FEmzMIksc/LpVoexpAvYdsxGC
VWmx7bKB4b0X1oesPCiy/uq19zO0fRcgvPHcqtImxPBVkBr1MwFuWWIqgOklHgPRmKmnJ8V0Dz0H
QiG01IGLjRzmsWbq0/aqr2/t+88QrG1SswnVZNxjZXdL+tijleGhoxkPaCLZ3/UT9K8ksV++iI3B
tmpImszXKb4p1cciPpXRjXRCa/X6f19Z8WHpkrDuuh4r2+s74CuAKhuHYnvV1q//hQzhjgE86lCE
BV7orBzRAvFil/eM3ifqnVnd1upxiH6M8bjfFirTS7gOIt1pKyR4cPu7wCq/pw4e55+6Ot/3SLgR
SMtsvZ5FKIa21+ruybKjq7FsDvVADtva/D/H/V3WbJkLvz1FI1olmIVrOr5v9Z/UfCHkdQhrTwW9
glv90+sv7vhXbh0BJSMxRYnR28LhJk3U570BC2m0Y9MeVPelCPdZJ9Fwdb8s9EuiCRlZObFJQ8mN
airaCftFGh/sVV3n77bXcD6cwisaVfh3CYIeTmjpKY1wVVj1ldudzNK3qi+ZcmDxPtJuxkZSeVz1
iQtxgssywBfQ2WTAHQjwy8pD1m1bHdn3BV9U5WB1SmwsGMuOX1uZR5cslpgPQPNFpo4aFivWdkhq
1Y9J9CtMPFLeRv5nOj2WO2MId1lOkh5kJVDF0mPMokVeLPHbEuMyBAfEwMDd2N2Ik5ofugit0g9c
BkEu2Q6xhyHLex6nHRasBIXHc5/KoLrXVTBn7skZDV9sLKp0mvLRxX1v1Kew773OOUaTrLdoXYl3
IfPfF17G4qVr5O0c49anMX0crM/E6Nb79wWP2Wu06YoS3x+tg5Vc0U8MacKQ3r8veMkG04a4o7FI
WvOUKdck/q5HR0InydGT7YXgSYiLWoGTzcsU7VOQfoLIXdYZvHr/WwSOEE1D6K0VLDZEHQ0QIEjZ
O3yvDL+z4milmAcif5UI27cdyap/X4gS3mY9KrPJYCEBEKWn0fza9t86DOs3RPIEXF+0d40E2yqI
Fg+EIqJpom926Sv2TZZJ7hDZognmpXdFmhU2wtChvWXOHq39nhlfh43j2x8kMf3z7lgsmmBpIysA
ufWWNXG9HISR1JfCOq3uC0gWwe+Ffy4GcuhQKRzPGzh4lu0i49Yp7kp2Z3cSDJW1M4+BBwtFBfT6
XAzkcELLqks5nG+8B4idKtv31ehvKUAwZeJObp6GuAi7+jajP7rymJPOS/rnljxZzT8g8NqVvUSp
tbVbyhRsmpmGzhOnrwLbOhSFF2YHnYAf+uv2yVmzt6UUwaRR5YkzrYNmuvKVjceUoqf7kGi7SYYS
IVNHMGza2mnd5A1e7W4Y0Ha4Zqw+5FpselkxSqLaOS4Rw6SlUoJlE9JZtGyhlAVE+8wPs+uJ73W+
G9RHR3/ZXkCZXvMCL+4bjQOsfOqhl6bvxgQNzKeJ32X8E0nupUZCJFZ0amOMOSwco1mk2hkjkqiS
J866IgBpnoe2L3nCNaZyN3NwI3S2fWtV1bPmDMcEkSWwpT7RPWaZGPz5X1li3rHsQnDuzdFSfRWd
VHQ0gyXm4y2AZyKEgEwBhoxOO6QwHHrU2nvH/EQcsFRBcAldlOTTmM4pEoD8qOzvpo4kG7Lu1d4X
SXAAE295l8aQQAJj8rTv23Yr+7pw8Dt0SaHzAfEkLY92sy8+cyUv10c47x2NssiOZnNST6AYt7PH
uvqRxJKuhPkrlyf9fY2Ek27FdpfqtloFUflIs1c1eVb6/X9bKOGAJyMhaFnF0ePjITJ8WVV8Nf23
XCjhaIMQPevdENvcZdmOpckuyl5jtDgW1Y1CH01OD2g7Bu3AD5Nf9/pd7P4yjAO1ZE9kmT0Ib7Gy
AfwFiXAkO3RUtKAQq4Ptddz2L2gKO3eUUVV1RjQ/YHTtiZunhB54/KClr9tSttVAv/q5lBDh2VRS
SDHw0jNOxigJAWXfF469ZidDXld4I+kMgxFXuaxTctWgDXQWo4+ROKB/Of/9mFSynbyq8cyjPZpd
Dc/h9Y+w0iUB86oaCzGCGmWi6aNt4NZq6sc6+RoCnf8T+7AQIDivZNRTBgQQxLEV7qr2l11++28C
Zg0X9+7ktEPbc2hA+U6bgOou8b6r5groMxBnonStik3XvZaiGQqAL+j/8dPay+2jpuzzQfKql0mZ
/77QQlcc5Lqb+SLEWALX9oP1vUTInxNZJVEmSPBibl8kfRxiuaKIe030xSy+9EDtHIfXT2wLwgcT
NB34V5yxHYc2I1MKtz8p6CM2Yb9on9oWsXpE/hWBZonzNSszNU/CCT5fdZHa8abway1L1q8ej4UI
4RRS0odAXsQpt/4BB0z7a1sB2deFwxcSxeF8xBO/jZ7RKpdJHK3s88LRq5XaZHqBLVDIsTCAkS5Z
/1VTWiyOcPLC1tDrhMBmC/voHMrvT4asMiTb4fnvi1MRVT1l9lyWtnJ/TO9RzS1lt9H6IgFxE009
6O4Tk4Pq2KKFyIISqExng59JCwarOuAAgDQObenw5ec6MASgNM8Y8kQ09UC14tnDTWLfD7F20BKw
XiX9TiufSftjsq6z8LbCXF/q3qL3UbJbst8h3OvG0LK86Sv8jvBxbA82GFhkBrG2lg6ARGcEfJBM
i3dukYZtYfUDRaOPdnLzYmc2v7ZPzJoSSwnCiSnDiXK362kwGb+j8t5kVwbAKT4ow0HSDSAYOrgE
Z+If4dhYeagP/diUL1mlJKe4jOwbZHvIVTXaruRu0ebNPwtb32RZLvJi6N69aIXkGSDO8nIqX2ij
+2mKoR7uA7dk19FT19x2ueGVSuY3Y+WXbfYMWoskr05aUtyaWeWFRPebJEN3uipZgotkAH6WjagD
3UXGDDAhLEGdd9OoVD17iRriGXa7V9IvJRp7tfRX60hetBdeRJAleBGweDmMUM5eHOdr7GYeKOn8
ONW9ZEokWl0YjyBp/vvCm4yqnTGG2u6LHYX7MU49mOp+kA4NrS6egwlAvIfRgSjOPMClU6srGXtJ
zZ9KxXyqPSRR5I2TsitKGb/NxZGDThjHhpna+G8AyT7XiZEwTYBTVL0AnvvVapObPoslRioTIZw5
QBbbpoLiz0vYlj8yxTl1YSjJ06yIAOgLqOvwH8zIvj2NFjtjjj2zQL9bvbSZ6ldfneKDjPSAewGK
90LAbIQLASg46JqSltWLnoZeNlzDaxz44O4t2Z17WdwUJAnxVYSiAyZ3MmwI+He1GMinrQe8ES+v
m91UXoFG4pC27c7I42Pnpl5Wf7RUB1ATRwUVLnBN8K84YcWskvRlPJQvxlRcxVC2UyUvnxX7nhve
HYAHon8U2Njna0lopVljHVcvnIfHPgWRazhMXg9mHI82VuiVjYwafcU85mF3cJZiFg8dGcKaOooT
xWkIiYWi44b+wWXR95oAED8YQK2dh4/FeS7SoxCTWlb50rV/jTHb964MkWrFy4EqG9P0mExDb6q4
aG3WtyWGm8sXC89d9cnbacnr9rV1UeUEBBWcDbAkQLR2CVeWg74146VaviRgpzNnktrkn8JqblqQ
qmqD7WvOnstooda1epcpuIaMt0aOwS9clRzDn+Zzq35JtMK3+HFbt1U5M/IELA5EkM7898XxpX3V
AVmhg1Gj9WngU72PUrTGDRXpfQowy49fFC6ma+duZcx9Ys7lXFzcdHkO5MDsZRoYyi35fkBHElM/
DFCIHUPMibMKLE4VhdD/Ie1KliNVluwXYcYMsQUylZpLZKpUVRushltMwTzz9X1Cbd0vCbAM476N
NmkKJyYPH44fX4qRujSXSEAS1stq8gpRkeLWob4entscNYzmDiT9yXtJ6/y1NvTywTKF4b31o/oJ
ukZrGQbmXzFE1VOmSkD7R+/tEB2lKD+gA8qhVkSsqGtDCeWiJupw0YEZbWD4G1prY4HmP2P7jvov
L9FOU/rDih4M41Emx5z+un3c1isHZWAAbMuoL0BLwembxsy62QxhAU5T6HbAXO/uEGKjVRRI/hEX
sYEm54sgeqvougGtN4Fz0Y/G8LWgT4kOrqH5hzXsDe9yorirMw5x2dalVb5npkMypxLVc2yslQJc
IlrrAXMN6i7uNQg1Cj41oGHfkywYHFsyqdPUucAEWd9/nBpQqkA12zAQeHowHKtkauW2e0fvHLk8
mjXq2V1bRH+3MRWUKTCrF5W9sGo4D6kBtFCJhzl6R/t69aUe8+xg2HEpiFSvpVgIJQHMDWMHhAE8
Gs6AEzbXQRVcwro1PPRUqBvd23t+lyI4xWLLkTQoIOu5GJGfjefm9N8NzymWQEqnqgWP46X8PLU0
3V3jBP8R5SKEZXBZxpjTv3puZP3YVvYl6KvD9BI2+mH3DBYCuEthamAmrcPavsxo2d3YaCG4N2fL
zYDTIDX6XerwNuzLWDQe0DrOb5LBTpp30+jC1lOZr4EOMgoaP3MhsDgd5Ckv7ew9nx6nPEodbUK8
W91/ZpdiuAM1jUMxge8oe1fvqmj00Oh694kFSg5lOwiwwuFEpGT5FGqTKs/1QNJ3FP869qmXh91P
OhPAIpG44TD0+B03giDVOil9N+grirYS5UfcnW8fqrWSwnsBSm0wV7IiDf45zxulyFK7T7EXLcpf
3UJ32+hQklSgDNcKZCmHu36JEtAJ3WjS98AgTvkzTkSMoyIB3GbYqdWUzQQB5Qg/edRdJd6bkwWV
pI6YB+tchVbifIVbGlbapPTmcAGTGFxlz55FXGIrswQSDJnVirMHY9WGKLNJMdp0GC9657WhF1qH
oRYYpatlWorg7x48rSQ3E4hQkJh7JSLygdVx4obn7lzSBlZoDxg+UB66v0GCSoDyodhdQ8GkQMPC
EgXH8aqxHjXSzERji/ESP0gyGsiiun7nrYAA5oYiswlNtarKG+W5aWJt7i/TW2/e98F7MH10ovaM
63JcvBRQUagrZSWfq/qoHOID0x5UEBDgxRiMx6yvXLSs/TJ36AsOfmNJCo76pP8tUKolS6IHd527
/ZRvIF4G3hHGK7XUX3k1h4ldZSrYOqhTGoqnaSc6TS5SeO6gP5TRcz89xW2Izrx3ATg5x/hktn4n
0tPrM8OWAattfHZG4B0XWkVwAJNePVtF6LagdG4i6lmot8vHvTYAm7AChxN9w7HcPES0Qk2CHFWT
ejY+5P4kG3ujGNzw7O5dOXzzoKAPRonhtWE8AFYftaJOgNtHBucF7FAywr08R7RRSY1tVwZmMMDB
GwqnQBl3EB90gtqEA6DCpXnMB8sphfUQa92EtbuSzHydq8kF85BqdNbVcyM/1PPzED7a8dvtW7fW
TRABPxnTUxl1H3ceUWxZdUWkque4cXrLTWfv9vgbB02VcaXx2oGEEH7scgogLQnCEiY7khqHtjrR
x6ZC5wPBQ7exTixwB7Zm2DYoueQmoQeSFsVarp+leriPpf4p1sbnqpqPt+eyCpwwhn3UWdvwLdAb
iTf70zqSW0WudYDEvnf6vaH9bVEOE5DXRj3SCoAkWVRIvLE7wDwpqFPGNUWVETexqp3znOSacS7i
yK3Vt7ESxFM3tgexLBWqAH4mMhjcCZtrqx6rIDLPTfQ29LNT/KgB6SyNy+2V25gH9C1jOtbBoqjo
3DwMbbasgkrGuSdHVXI1wSxEw3OzSFVSIWiL4Rv5zUD0JZ0FqYctAWgxjgQ12ETAzso9sXVF4loO
AuNs1oXzx0pF2IeNA8wifjI6prNkCr/PKQn6Ou+oeU7H9zoOwNegeMTabUuhcYCCI4y+x6jo55sH
kGxGnqoYzbMMJD0pXBr+2b3LFqwDHCgZvY/B1bm865Oax8o4VNZZV45d5OkiQuSNXUAMBKsvE9Ya
gM+X5Ko8aBFCeecMtThIKx6Sw94JgOkbtUJQIhCC3VhOwOxIRUcwgJ61wGtyt6K7H6vF+CtDMMBD
RRFOOMvKY/sPLQT6aX2Z0TML4BN2j9FPVuPWPydDY7WmEpyHLHYqMr+QsXmx+h+WqLHN+rguBbHf
r94lvbajHuzswTkJD8WDNB5E7Wq3ZsLI3dGpW9XWjKujakV9WFGATkjuKsl3U38Pe0dpZMHDsT5R
CEVBBlwMkFusKHtaFE8riV6Gl1l38+Ax0s+7DxTGR8ZNRVcW8EpyC0XLUa2arg0vCAym/SkRkYJt
fT+sKgRxEAfBxeYOrD1gkQotDi/SkPtGOz6kIJYU2OUCGfyhzcGREzZoaHeZUE87yEdiic7tWgKQ
6fDnbcvArYZZvDxOJEuIlBPFPrcesNet6LQy7b9InSNKcD08O2xXp1VT4zxCUMQ+T+lhUEdXy2RX
615azXIDTXHD/e4e5MEaQQ912Lsr8s02jMuqV2MCymX7aLbkKNDj69u3HJ+bj0lm2uRlgPnMaJfj
Bd2zvP+9W4rg3+uJZpqSQoRqHqXWKdX72/eC/T+/JYyWmhGRaebqPQ3msQlnK5XO6jyi5QDszuJk
h6cheCFBuNvCRZzoShYXBRnjlNbjBFl24yMqTHIRWmDj+ALBoiKND+cRaUfOOAis3iKlZARn+2sC
en452s2NCJvz01sDlHOD3lMOdfQ7sdrg3DwUOjnM2nC4vR0bN2QhgM3w6obUAFU0ddAEZyVJ78LO
ekDPGCPzatUz1fYUaPbxtryNE7yQx114UxopNVNMiBrynyjtTnGUnSZK/7ktZmtjdGAOFNaY2wJP
0nJa3VjldZxhWgl9A/uGKQjdbg6PPiTwa3CSVwTRSabHwAqUATonfM9RfJ/vTvth3wEuAvMSmpXC
quIO1hArTWXaeXCuewCljpW626pFR3E02kQeA7Q7q9BXrHdTZzbEOGu11ysupd7t9d/aZnhKLOCM
Bt+rOGdfAHcQlqZ+pmH+kur0SdW6u7AiApjB1j5ci+EveFQXQwf3EDw7nvxbFhUlslPC6SoA/v4z
Cy7IaYBkHAyHRD/noGSs4tSdrcQNDTxUIgLBzfUCYwC0lY0EKZ/sa8EWlRRJYqAmcf4lp+S5QWFQ
myR3t7dlc71MxFVZowmgMjjl3pdtZ4Hr2jwrfes2xXGg1r/ZeIIIF0vMMHjY8uKBtyIuQa+EgzXP
aMpTgUv0MImUyOY0roRw09DljOpDDyHgY0Zq5i2L9+bfmKt/JYDzKsskt9MwhIBuylBNkTj/wlBY
COCsN7kpULzBlglMYh55tsh+f4bxj4GXmmWnEbXl9Kxc0ESPAks7a8V8P8TSYS4FnvfGkV1I4HZa
1fsuYA2UzoH0MTWHmp72HyUoVw1aCjR9CmBE3FEqaKnKbWyew2C8l9BMoBgrR+2Pu68Eui3oKKIA
jhHcOtxZUpuYcXoH5rmMnvRX9JrbPzwioGjpAEYuZBu45FtmNsHYq7l5HpKv9qukffyL4QEhRByH
gYf5dyIqlCIfOpwjhIu1H/H06/bwGwrQUgDtJAwuRFYYz1AjGZ1LSTqbP0yjdxVquqUxuQURpdXX
RbMAiakKnmtGwQ/8FrdOhWLReTY66SzH80EeDnn+KFcv8XgXK6lraZ6MgLhdCJ6PjSP8yZqOIDVB
AxGLEzqrtSxV6UzOQ/hRmcZBL8sTDXc7ggCMwXb7PyHcUx5qMlqvMSG58Voc6W5oLLiCsXBARDJO
9tX5nTRZimaw7Z6tFL3wuvo5jeRD02fPIHQVuMzsKnDPIbAPgPIAYmOhTJu7KulQp3PcBeQ8o17e
Ir9M0w/ovfY1UUSA+I2NYccZzEqKgewcnyqRzbit8bjAcO+nuxp+lFKjjK1R724f7/U7AnZik5GA
guESFWuckgQpeFTrwdReIrNx/EEW9ezcGl9X0D0byBcgE/mo1SgZxlz0WXvJtT/ZnVH+3v/5rPco
1DvadIP1eqkgO3TFGcfcbi5k/GJHrlL8l+NzCjgo50KrG4wf2q71vrv1KzEtKF6sO74fvhP3fgxk
HucxIOH7JN/XxrHZ/YSDcx9LD/efAVH5tSdZAESTFdeX/mSZ2YHUIsKl9eZ+muew0nUFUVU+lS+p
U4Bwd1ZdgLAn0UEOdkcMl+Nztm0rh2agG7QCZU/6nDlxXgkErC8ZVh6ECgjXIbqt8uk5O1XC2c7b
8lKQ8mfbTS7pWa2A/uP2KV2/IVDoTEEhx4sUCo9qjVBFIOc9bS7N8D3VNXcCBjgAYCCrRAmn9Y58
Ph2mBXY4AgQY+/3KlyV1HQ1G2eI693cVcSoRI6JofE5dxE0vxVqL8bXQGy0n/nN7oUTDcxdiNGw0
axya9iIhB2z8QBcvZ7cAABZ1eHsGQvWrXl3m0JRVYMvtJQNxeH2voDP9fgF4vFHY83kj+FxJkfd6
PE8NvSTZt/aQ7+7LCgsEtw2pWNQwsLa9y/2dTXsys7JMLp3tNei2IHgNNu7DYnhu/eNQgvwCw3vU
+FHd59333auzGJ97PmnWaIE0YHwVRDA/Szs63h5/6/sNAkPDZE2xEHxeLs80Keo8S2lyodFBn+6U
4DCqgvjjOloEzJoC7CND18KP5F6EjmR2OMtJAsjaxY4Lt60jt03Ac2xbAAHlziAqrN24E8CNAmYN
LYWOMLxfrPcFrWc7Si7yIDt5dF/3l9uLthZAQDaDzDFcFSQnedTo0ASoTpUMFLimb4Gjt7udpOXw
TPyVSpriNEGgB8PPyXg0xskplBatWkzB1otmwd0M3PimQGAhv1ROkXhoPnR7kdjJXxp+y1lwN2MG
nyEcGQxP9ckx9K/SYeq+Aeu7W30giooMO3wlWOPIhS4XC9g/UFjEdLzURelYNHZqwVO0sUwsx4cS
TkQE1zijgqLLYKeO3cV09e6NqrstfdbBBilQdLaFR8H73I2EbvN9Jg8XJX4qMuJGYb5/n5kzAcSG
zBoi8nYxshn1NDVkusTxQ3gXkd1RQeZM/Gd4zqCMkjGMwh7Dq+ZHl13Mw+1jtFZQsMNAsIEaDTTV
g0W83N+6nCrJMAv5AvJ66aGQlcxBqMsGCqmthTyf/F4jiYuex/AoTQPKcNVVSKfwu7JKmy+Vcv+F
KqfbU+FvxOfoMO/QIBxRO1g3y6mYyjTMSVnNFzub7FcQ15e+ItHmzqxkNHGmaVC5twWup4Op2OBZ
Yfl1wHa4tetsa0adRjz40bfCPoSVwBNez2c5PPd2REDOJ0mN4bUJraTab6qOguNjJEr+iGbBLVsq
R7USGhDT625pOzMRnDDR+Oz3K3ULhyMkTYzxc4I0+PTYUIFXwR9hWJaA7uLuAYWM6jk+66oE8K77
ceh9pbooxLNlXPK33Tt9LYKPhIRaJKU1wpu+ojp15UYCK2djiVjXCJTbEHYN+VqMhGhdlWpZ73fy
nZ0/EVHKdWt84BiQtGBAAaA6l1vQSbVStHHU+4hwgikucfYvDxAanzV+Gm6DwpkgKqiUbA1NAnxW
VBijFjj7fXv9mRl2/dhhi5HWgbOOh18HAIs7o23cN7EB+IRvlPdSgCpQJ7Dv8dal0uW2oI2VQhUh
46GDNcv6FS1XCsBgihsdtH5sOkHoKQLTQzQ8+/3qLqSWja5qJYYf6Ic0/ND3kiJ8rtPV57Orcj3+
FPf5MGB8Wf6u1H7i316dDY0EeANisoiAs+plzlqWTKOxpzTvfBC3/KjK5mgNkiN11hE9CAR2x8al
Xojinr1MyzQkE7LOj6uj0v+h9FB0oUCGaDrcsS2MvjDNEdNRIi9IPIkeSOVIseBy8/b55578Z9F4
3YEuHXGNQvnOH+vBiQvJAWuPMxuNm8R/leq+jUXT2rosMPTYRqGqYVXZN5klmjWGdeKXoRX8UOwR
DSGjMtXvIxpMj2NSTQ9UGaiIfmGFpcZEGV0GQHn/ywrHLadUJsBflFbi13Wqv6KruRngNcktEGcM
6Otikb9DG3XHgJrVU4mlj5xcaqfGGW1zOEp1hz56QTLnaGTSZMfasELBO7HebpxZgJ8tVvKIkhX2
+/Xl6LU4biusC6lOzXho+2fTSLy6EHXpWW845CDqi5IVpkV496VuZ9tImyTxzfYpGaP7XCq9AdSZ
MXgYMh/YX8Ex/oQjctoRdriMID1MXWD1OTuE0CqjSZSlftWW1Z2FGlg0eW8V86HMB+0wqeCebW0d
ZI3V2J0qG2XGVFHCIxrIfAdGVP6npzNabUml9JwjFOEklKRAn2bVP7e1x8aVXnymulx/BeVOQYVS
G7+ZopdOz/+R0OhD7a3722I2dCx6R+E1AvcW+r7ZnJgkaUcyqdB+6pulHHb32cIpt9CnhpX+ApRD
eIN5jlvDHGu19tujFFxI6e//elR+AiOFeoh10jlSlazSm6r2ae8a1DMGd//4yATDUoIxAH+OU+HZ
0Fty1aeNr8ePyanL/sXiXw/Pqe0gaYxCazD8ZFyM7KMSxDo29paxyLB8BwAYq0rPKYulNpbkxq81
z04OoSUIvwrG55NPVSPlcRRg/CH19MAZBHbSxg24/nyLu6h5G5fFAIoaX2+ae9qhByNp3Wm2Trf3
eK3oFFjBsgV/GrF28zOvd6Xokqqe2kI2aj83TnNsOHPtx0btkuTXbTmf0StO8aAIw9RBYmKiMpLP
0+ZaYFah0uY+vkZz7dbWXCU3U5cUVD1GUkzcEjRTBwrN9RiRvPZMOvbQTeDi/QP0fn22ovG7FkzZ
33mKk1f00BguRRXFd0of2q9VYo3HJsFLKYdjpjpjrVmiR2tjR5ClYZX8zH9HZnypkwYp0+XQzqnf
d8O9jv7mp4rGs1cH2rfba7UlCLWeyDgDOKStHgU9KzKLxA31mzLvv6COQH60wG7/NiulqC5iY/ux
68BvglcCWFQ+/6zZI42zUsr9dDx16X1YPvXx21QKvNONq8LAJAgDsiIPtBVdrhyyFOjamVm5X8ZP
in1MRcXKWwt2PT6nSSq0gzTtAuMn1ZtKnqvkxU4F11E0Bc5g0apuRNUtRMjK3fRq1t7tLV/bYaiC
gTsEigiYYgYPuyFZp0atqY1+rDuq/h0ZU1k9hNGv+c9tOetpsGobmbWo1TQWNV3uRDvHmWWAqsYv
klN8SGuBNtkYHlgx1jMb4FAkp7iNaNQqthu9mf2x+xud6r1VCui1wUwWPKTAfuMscedo7I0+lUPS
+w16Lmgf+W486P8KAD8RoK2IO63sgR40iaZBB39o/qjWH7r7QQWyH9FFOL6wlRCqW65+Pc3IN0oT
gkBh4KZ34NEXCFhfBAhgpjyAaMhVaNwpHaw0BKS1Gn0jNZyw9m35HGR7S4exSDro8oBOAnQd7yqH
uqCoC0usKjb8Fn09of9aQZR3rZPQ1A8kNwj7gZ4Fia7lKs0djVBvlJm+8dTIX+2SHlJSHAzl4/ZV
WEFW2DzgmOI2YMmYhcPJCfSgjarY8uvIV36DOVrSj/XffvoD9qFTWAg8io2rAWmM2giRgjWWYMgj
BGcnSOsicKT6Rf4vtgWTQT4eCUI8snxgZQ6JXchj3vpUMZ1nUu3lDMZyYXxkc5inwsBEy+Xq0euk
jqK29YGldtUDGjEJDi9TDksLgSUHcahsFZX1QOUuBYDXyIpRDt36ZjQArfnaxq9N8Wi/S1/LdD7c
3vyN3VjI4s5YnkkR6QLIkgoE6WJXqvZiT9lygdcCsA7CXF2etE0fJd2cmrn1Dfmla7STnfbOaCkg
ThF1ItqaC4LyYOYBMpuVUXLrVtMMLkyNiN3P1rwLrbv9SwX3CIqLoHYLCYDl8CEccSlMUhb5cDrr
YDa77XSAka7G57aiUCLgxoKk8/P5UUpcagkQfFvHCuYtKoXgCawDpmWpod1Vn/Z+ov9TTN+b6E9Z
/6Lyj2z8ayiiJkcrske27UD0A48EgwTsP0xDX9nTRi8NM/gWO5+MxMn1g5ycmrcJ/JWt/GFSl9D7
nD6Uv6rKLSd3CLwkO6M8GP4bqkRv79uq+Jn/FO5cFAUhnSppnT9ZJbp8v/TSjyn+kUgvKWU9JozW
n6NXNb7cFrvxBOECgx0DyFWYlTwVKkjgtTpLI6ihb80PoCyAhbgtYGs/QYOIvA0ODUukLVd4LGVN
0kGv51tWe6jiU03q+36uXVU/ZSQ+Fvb32/I2J2QwEDm4JljZy1KebFcxbRTS+IFhvNZS4I3l9N7v
ZvxguwX3AtEIMDUwLbgUM4xJXqkl3C+QF0jlnSQCFLP/57UrSkdhmcHCRLCDMw30GYwIUhjUvlw/
NZHpDdOXzn4yy9e2ao/7VwzgP2KyHCFDNS6nkpd60IWqCsc+qrTDrBeqE01Dhb6WlohclW02NysQ
IbI6aIRaYHByoozAKMx4HDp/AEfVtzwdm4MSfRTBoHlqFYpoyDfWkIHdVCTwgGeA0bCcmAnwh5WB
OMyXKsA0Y/CQP9jqKZpBUrfbY8La4Th8FqfgOeQM6SixIr2fWSA4PNC2dXvbcG5v0sarYX+m0ZFe
hefB00g0ShBn0WS1flAEeJi8qBYVV7ETxe8NcHU4BzjQ6w7kJKHJWEj54LdhdgTTnmMl44vcJ6d+
Iq+pVTybWlU5cigLjt/WzIBLRFD1kyORnxlF6U3Yq3bnp9Z4+i6ZIlqMDYUAVxlNyOHkAKEvczdV
lcMJ7Trm3h8DzbG6b2hH7IaTsn9/mI+D0CSw56xOaXnW6rENeq1E7DD+qvyaf+7dfEScUZ4LNY3a
txXsnFVz2iVyrH7fp48wuh4RKBM8u+tVWorgzIauaOyggUIGX+TgzoV9Qt/uZ7RWEkAeVKZ+l6cM
cuCN4FbCn13BOLtq1CeNNrFPg6ZAP7CxB0l8oLvW3L1YpLjXlW9h1XiNGh7s2gyfqiCdfoZxkv+y
0XnhSFJzcEZQkdzVph4yWpfeKYpc97rcDo+E6iKU1/r5As8otpMhsZEb4w2EUKWDPs1h7MdJdhfq
tWsrd/k83ff2eG/CrAa68vZeb+RaIBFamDHSsUAfd5K6vqIEJJ6Jn1JZcXUldQr1yfHakniJXA4H
i4aDo0pE8xLbBMIp1H7XlT7CRkj7w9DGneAB3zBM8EGMPMsCEBDl1dxTNDcVcqooxfKT5H2iSDjJ
hyp9LIIHe3iOWs2hinxo61/EFCUK1/obFcpQRp/skuaq5jqa1WGurDT1DVDYzuX4AXLO1okGu3bS
VnvLtcYTrP3GbiO0huAa+pVtmIOqWpYZeisnPtrvOVPzOJepG5FTHxmePn509lGXntFTytPUBwqS
6lz5RgjoSA0PKbh4ctXs2+0PWutGhsZH22P4b6jw4qOwaQYqiznoU/QkPjbhKRQ5oRu3fjE+925V
4HAkctqlflu9pU3uNF3lpELuVtEsuANUpgZJUdie+mFsHMrqpyIkRxfMQ+eMvjGbzNCYmtSfbLcu
7kf1zhKB8jYnAZY3ZlLCqOBDr6EGbzCrp9Tv/yT2kSgCt2pzBlfDc/q3gTFLKFiIfPicPZCdoJET
UdyseLDB1ckSx8iS4khBq3H7MBgmDU1JT/14ehhI6bTGMeuf8NfST3mWemnuWt2bPn8bAxFB3sZV
BqEIq7aE0of/yCm13FBHo7bL1FfJk5Ee4zlzLZhi8isqEgT2xKYo9gQzdwOxck6UrvZINugVNqr0
wsDrUicITmnglP3ujJIG7rT/CGLG7pXv2KlGleslBOnKm10+N/f7776Jhx3BXwTvLD5hNQ51X6kt
/bz7XXocBAduc5lMDduBchw4GOz3q6+vhxY1pUad+pLmoq+z9KL9RKe3XNS5butcw7dEEFVBCBXx
8qUYM9arkup4PKbRswhywg4q3m8v1OZM/iNilRMrlEztTTPxw/yA3S7UNzt2++BAhSYy21HOeAFP
+P9P5vOlvFqzJJiCAb3oATNQnDY50v44oanl3o6Z7JpeS+FUQV02lZ33duK3sTMMTiFKjG3OAm4Y
HBYA04jFbUkq24Mkm1HqB7OrIcI1Onl2bxT+7V3Z3HhAiRDGAbQYZRDLjQc3cYH8pYFdQa9iM/xq
jfegDLstY0sng++MkYIDIgFRSxmwjTptMsrcR0smJT72Inzj1kpdj8/NIa9RyDYrTe7P5N0Ag2iM
oGAIVHlKRF11Pp1s7miBjBGBKMS9AGThl6vMsiC27LDwExo1jjXo32lko/+G6solcOZdcTKBL0q1
6C4vW6etdKfRkkNj7S2DwuFD+Ry6AkPlIGbDh2tiqqe2mSBxpgaH2jraicCa3DgWBBYNDBpYtnDL
uCVN07GrKiPLfJWWL2UQ/E5Je5+NscCd2TgZrOrGgqfMMrK8669mDbCvSQMx0e+fhig7Lhqd/X6l
B+K5rlFLV2d+pH5JLV8E3BYNzx1rbQQUokZYzifzBzmY9P32rdnagmuwFPf1A/pDhVPbJL7RwdS4
SMZlb60hO0TXErgJzCi2UZuKSdAPmX4YPm5PYMNKRyLIAEULIGmoN+SerqYHb/6oxYlfZZEDBtEH
K/1Qxy+SeQjKe3UQeWRb24Ebge5D6BSBaB8XRkqmNDPGOQL4LTkGDhK9t2eztR3I/rFOMUi4rxRl
qMh9NvYUL2RWern92ORvs3q+LWNDkSHDiKwZSEjwCPMwsqYp9ToCR4FfWq1bohtq0F8A+XTTVPJu
S1rPhpHrIUPHqkwZkmp5NXq9JjD3ofbVtL5T8/dOVUDW//e2kPWOLIVwB2Ay6xbtUfHiA+PpUu2i
F6JwjmganGMUjIHU6CMk0H5AI75XQlyzKHfrwuU0uIfYbJrczEPYRlp9isr7uXiURVzCm/NAahxl
15+EilzSVJnCGdwX2A5LOs6z4gyo6yfqbi8V87gSwhksY0hKRHshZEg+4uhPHQiCRtuTgP/ArqC2
Ys+ZE92o5BHrJKmpW2cVmAmQBmxFdtFGoIPN4//l8HBe2PMdOM9h3rXfks7RUy+v7sb2aB8Hy20+
0PZVFeF5N5LaS5Hc/hhqP8eoqk78OG+cZIoA4b/vsycpIS4yg4VypGDBTdvd6mApldswbRzmdhgh
tWekZl45nSzq6PsTnQDIoGwRTHPo2rZqETTVrRW2hYTlHMDmH7wo0e/9agAtAgmcMAYc5BMXkl4X
XRRLFC5M5CjBlyASKLMtPYNwLh4Z5GmBh+J2Zw4GtFxKqsyXyoeASJ6dd3e3p8A01dLs06EjYaoo
4P2AduYkjNakzmiUTP2u9ahOXTt5KtuHOYldEu+fDIsd2yy0CEOTx4FkGXDhZjmEfqgUBy16tGZT
MJmN5VpI4CZDwnmirQQJxUutHUrreHutNoZHFoc1NtHxwqxSIFJSJVPZy5GfN/eFW6a7nQkkIUCC
iWIanCngcpYvV67PsSJHtPSr4ScFF9+v21+/ocQWw3MPIzpzllFTYvg0dgNc78QcPHNvTzXgF0Di
CSolOF2MII97GBHA7gO76YuzrHtFXnroP+EZyalVd5vXSznc86iPaZlJHeRY9Xko8UD+ub1Y661G
oAjpQYJkATBFfHaVmBkFxC6Nz+1v03wEKuP28Gytl7cOUU+Gu8FlYFwY3EHtEmuQe1QdAVZnfzfl
6Zh8kaL6Dgmu77cFrTcdguCXgpUUJxat0JdnKqxSe4qzLvAb6UveHcP5aIocqo2lQo8n+FSAv0Hf
8nNRC42MJSAf53A8lL8KUaWiaHjuqdBzvSpUguGl6sP+VbYCmNVa/yF5BYAVctyswQ8Puc/rJldr
taFntNzStHOUfSP0bMZesF95gBMGHieDO+Ju6Nw8DKDXrcFos3MpZY5hSo5lHW7v9cZKgXEKNSh4
MJAvMbgL3utabHa6nZ9fwb/tjGhT9d+Nz93tkvS6RMsgP+vzQR9O+SDYCtH3c3ca6P4BqRF8vzqe
0vFoC5Zn4yoAyYBnR0OxNrqrcsZupVQyXtKCnhP7ZyXVjpEATB6Luj5sTOJaCh80bfIxrzOlpGeJ
OMVv82P3FixG5/RGqjd2kZk5PYMRYx4Pjb77CQKtGKieGJcfgmM88LqvBuwviekZfVarxJtEjC2b
e3A1PrfFmhK0KTUierbQD66HQ+BmokC/SAS3zeMsIQUJLMFZ1Y8k8mL7ThF1atvQ3terxCN8kp6O
hQXQ6Tm1rf7PhEbmvl6hsYfRlMEBJtZ8ur3rbFW41wL0mSBwQb0demvwZuYIwgppRuHU2RhH9IZO
vHC8K4x/GiN1cu1bPe8loQXkB00IgA+EMJjN/KORqkGWoBs8PdfSz7gZxCwZ60uyFMB+vwpfdV1E
NbWscMzqN7O6r4bj7QUTjc/OyNX4hjGGxTTiqgfzCR1PhRDH9Rlbfj+naYswqeaOYIHCzCs1rycv
dG+TeewBdDizEQwNtrnKKds8MAZtQnWJjwA5wHdFtluZY3zE34EqQOkI7M3lEllRWGRhFpq+Wr+U
J1NUN79+VhfD87b+XJa1nqeS4Rd1+WLr0j/ESh5ASeUhpHFn94l3e8PXNxI+GHg+wCIPPx/6fTkb
WtFuVLpg8qkX/SqjY5+7ExHI2DhUqERi9TzIwcLd4x7wDOTSpDF62U/LL+N40ETQNNH4nKlW1bGl
UgnjR5pftl9UTbDjbA2WWoTAEWb0Faj9g53G5F9fioS5ZNTs/bx40+Swvh/j+gWUwP+gWvBvNdYP
nd5GDyQ679waVCWBSxIYOBw1sLxwWxMpvTTNkdr5cps4he4YdeTI1tew//Mv5AAHiegM69fIT6/W
ulGyZRRcxyi0bnovq7xSL52321JWNx+zAA20yoxdkK3yPlowdlaVJQWwYvkd0ruR5WnlXuUFEaz+
nbETMdgL90aiSrOLFLB0+2irPbtx500RmQRnYXXWmAykWcBfg4YIiGMvz0LS2xSdsXSAboO7rD19
vb1IG6OjuhR9TBlYbM2WbTfg7JKmbPJRDN4fw+rwXw2vcR8v9X3f0BnDD/aTctcle81QVOFefT1f
5pHkgWbWPYZvpWN4MPT924vhkV4FkzirfeK+ntISdQSmOvn9k1Kc+vD+9uJsHNDF8JyFSFUz6AML
w6MDgm0/68lzvJejCyh1uPagDQJUEzVhfKcLU4pRUFlUsh83gZM9TESERN+YAwQAg4bbjIvA5zva
YlTLYYpk1JgGTihpzphVbj+IYhUbxxRtMvFYAJqpM0rV5SUwCAIIuM+yn5leOXq2qABmaxrX4zP5
Vwp37GVSRiPGb+TXLP6SF8c5FliGn+wqC6WOvUCunu0D0oyrOkBQiNsoKtZmPw27+V6Sy/KoNir1
gqYPI+ja5i1q7Dvd7r7hbRn+VOqcwJgY5Cp10lRV/FiKc1fXU0U/gF00QpW/nTqkaZL7JAqpCzxp
/hI1UfwHXisZnVSXB+mogsvT66zBfLBnqz/2kZrfIbaHdhtTQX+ggJ2+xvlQjkBxz+2LNZLGUSQr
dFN7MPz0f0i7siY5caX7i4gQIEC8ArX04jbV7f2FsD02Qqxih1//HXrud12lIopo35mImYeOIEtS
KpXLyZOm0bT3uVUFriOD1pyk5dtkYHngFFOzjxoy7cQUayfEyua+y3R+wBD2LKjIwLlnAia0x+zl
+Icx8uEUjdY3relHzwIo0ROk7+Zd1TgAWBuxT/QxO85uPQvPNIT+iJ5SzWvrua38WqPOZ17ybEd5
wh/qVLR+zbPmVJXT/E9Mzf6h5OjTTvO581mic59pDdnX4Bj1gU+VLzkTsV9nZeOxXO/3GBDQeC3a
an6SwQFlSWnT59Gs5sED/VHkT1Npv8cwD/1nytgo/Cqb5Am2n8SApFi95WlR5IaDGMVeOvGPlkZs
C1x9rYx49HFzkZWDwiOYuFTGes5oW/UJfTYpuDEw9zDZRfbP27bn+kJdylAVfuhkXQNw86wngfvE
5ZstJz6/JJmQ5AB9rNpPzczKLMvRMZ/tUbtv/BIY0L/4/cCnLQ3nmMWmGjaNlnXRxji6GI4DM547
sbECG5t8eVuxgjMBy9/PLEKPJq9YHy36PFu/wGrk1SL2ZIpen61U0Kog5C7Rqo1w8Qrt1lNg2rNI
0ueUvQzjwYwwtfwLM7ZmN60pFSYMA16zmNErkIPdZ8YwIP5Fd2Lj8fpeAIwr6o+3T+UqlFhoZpZ5
K2iEhNulIvdkiqkhdT2az/NoBrOTe+X4JOmd3n0U6a/botYUGPBKAG+BdUXFXXmbm5IMLekG/dmU
H0Yt7A+3P/9aTFHPH1OC4Nkhv4+ARQnqMmNMdD3q9ecuGz13+p3K4YAaks/Te5f9YzT3Qj4OJPa1
xtlV1cPYfkSbiiftejcXz3rxNLRPhfxpzhi4vOH0rJ3kn18G/vpLzZybjpmxi5UnIpSzNwEd2W+4
zmubuzSzokEXzy2YsC5FZPYocjHUBjrij2R6mMPbm/sa46mbC3cBF8y20ROqgjII6YiBJw06bxLf
KZlXGJk/grZNHLOs8Y0pC6T2zmFguYuDfthnFdvrya8ITBJx+a0sjkZ91LbcsetFo/cZbN3gaF1m
u6upFMeemd0gGDsRUfteujme/vqiX35fMbmV3ieiEfj+JH8PprOjRrubsjvW9m+OGC4FqacnI5NW
AwSZeJrAG50ms3f7AFeXgn0CVA/wjStQDV/q+zF6JU+UliGIpF7aqrobZPutHrdwD2uillZDWEeQ
KV0Rj3YIvqKkK20wEQ1PdhsfmhoF3MbNfMOIP95e1vXNMhaK5P/KUtIGZZRajsggi7dfTNxmTHat
tmLsNS1DxhaQRgyvWVgqL69W6g4DjZLIOkkH4x7b1tsaDLe2CFB5o4qOC4TKm+I9FFxgLgTemxOn
o0dg5ato2OHy3N6q1WUAFbrMQIJTq0LzNG2c5hTsuScXNMPE0zDs5baA1WUszwgmFGE2h5qVsgVt
IqudsYwuw8wEEqSi+dBp48ZducZxYOIO8l//laMEYY7RM0A3iXVKWOTnC9Q813emfOnQfZrt+r7z
J1J6Tf7FZJ9ur3BlC5feZagbcgfoBFMOytUFR0eSTU4yRuTkufr+9vdXdvDi+4q94XE72nLE97XO
N92Apn7y+baElbt5IWH5BWc+kpOkbhK3kDDUe519TQB4/Sm2mh3WtskEIyZeC0x5RZLlUkgfgZWW
dQM5Oc77jL/f6ihc2yUT1AQouKKvGd7q5ee12Ja8M3tyck3Mkep3ImKe2KpnXVUFkBQ+F6Ik1qKh
0loSYQ3JXCCA+JFNpe/YoS73Ijk2cuNYrpf0yv629PND6JV1RmNSLEkazcCE75LhLjY9mW+0M6yK
QKEDTwA4lZlac+dWwaku5xlQpAPCtz49Jt2GAbhWLpQ00Pm3TOhBTlL1JWOQIlRmas3Ahdq+Xu9T
7ckyTsX41nFuS4rkXM7yO86UuIZ+zWlqz886eKn+mZuNZVyr7zLMywTjHUjogA9X1DcpBegGtRqs
INKfswCNYLfv4Nb3jcufL0fWInXROM9pvrMssGNldMtErpwE/DTUqxc+1AUaeClibLnBU1tEz6M+
x9+bNIpOOXO+ZyAg+Jz3mA2amqUB4hOgOL280+b90t7sucJ4iHhx1xvE76X2q7YwV3JiH24v/1oR
L26W+kzUtdPrpBxhghL53ins72yQ96zmu9tiFp/60mG9FKOc4lQDJztMuMBz/2BGh6R5Jsk7w+VA
F26lulZFAQmHRnQgsMCHfrnbs6Hpsdmm5GSnv6f882zkwTD2hyR+LqpsIyd1fbJYlg2sJPC+6ONW
X3G0KjYgYSzICZwMQUG+R4sLDu9K/357+9blwLMGpgIdmq5iZJ0cLGHEbskpiw+6k/il2HH6Yop/
botZVYbFgf+PGMXMTnQyOqNtyKmLuZ9rSeMVluYNeryxnDU5CxTPXmi/gQBb7uSZycArJexYJvrJ
YcfYCKrZc/9Crc8lLL/gXAK6nHXk8vRT6wCDWxybCMDLjVUsv1LV6XMZiuHDCPu5yGfISKnnTEG+
Rf6yukuwrgv8fpkSp0To8YSMqh5l+mmm3zFlEh6722/o7+oSQGK5mFbkmdT6Sx4PpdvzQj9VWe/1
R4bM3m2N2hKgaJRRkNTK20Y/Ddbnbt82G3RY1x3uS+fMnwW8/v3snGlm19LoJM65KR4k6sdth+fU
dIYvjuyPNkO/8FwcorH9nHdOIDQMyqXOjoBQprLTXUrR9ZUWmGYgxoBj6HDbJEGWVhuQ6tVNQDpg
IUrBHqv1Z9DpJ7VVufqp5zsWB+ij+ItN/vN91YbHmOA5RamtnxL9IJI7uWVRV38/MDJo/0Dq/Woi
LKoSWdxHBn6//ZG1Hz7e/vVrto0yvI/4Bw6X+jras5tNdREbiwN5N4+uP9mHbuC7YeiD25LWvEi0
m78yNaG/Xr1QRtdYZtwQWOtJ3DluvtML626izB90rfOmEc3SbIsyfnV1ZzKV18jKWZNMKWSiQOZp
7t1cPBim9Jz61+21rRqLMzmKGyMiO58yOZPTVHwCX4VlfYvjv8hagBjsz/4pAVevNy0UDTKQfXrX
DdO7TkdRrELNJdrCT78WpK6M65msRSfPLnaedk409RM5kTEJlumC6aMjd4mNuQRTtZsxRCUG0WRR
fynHTxVBDPByez/Xzg0TLeE/IA2D7KXy4rakmE0w9GA/Lfhk78HFjwm8/dZYpjWNxEAYOCso4uN/
ihRaNhaqUljlwN+l4n3dvtP6Dw3/AHKYHWk2wpprfmsYy3NpijEW0ozGcYA0dHjeWxhQkYBsZqTS
hw+z00l1J63+WCZVwOraJ2z+No5Z0Mr4SEw96PL5a1wzv5Vywzxe92Vc/i7ViE9V3HJzOWsnLT3X
/WVGd6mDLF/nkezIU9cjuthFWz3Zqyf8Z+9VP5EzI0kiiZtp0CmoOP1kD1pQJc0uFlvDJbdEKZez
BSDWzlJcnHbaF0NYDUEpj+ZWW+vqY3h2viqB6VBMs8SUHnKKMFVP6OM+sjOvystHvY68KUb3cYwu
tGR6tops32ZF2Iz2/STBdiHyvYjrY41WCMHTwIwzT4ix9mUeH2/fq7V8EWaWI+oFOzcIElQ21yGp
3Ea4i8pn92WJ+YXaXqd3Xf041eiIz6NHLuF7FtIbUQK9LXvtHTsXvUQOZzaFpV1iQ/3JqW526b3Q
drc/v3qZQVT2mpUHakYx9TbqtRrCAZis7LcLJz3POy8RqOi338zxO+db2JAVecs4KVDWIigANmHR
urPlpGnvNporkBSJdmm5J7+r8TCZe0v/EG+BDBfLoFhjBFMLX6MJUjlwl12K4llKXJvn2Dl7+l2z
2RPgnylY8swigk6tPg8A1dyP2rS/vaUrrxrkYnmwEKjjqnMo0UHD6yjn5NTHB1sEFvfNrenkK0px
IUK5m0ic9lZHsTRtKHxdfgay7u1qdyFBeTYT0tdOmuOcHDAIgQEGHEr9/yhCeS2zQhsGY4KIKH1p
mvvkzShZzLdc5gJBq3GBHBUnZMRxnOUiQ0wtjKCfd8DEBG8/abC6AQC6NJJf1aPb3uJd6przqZD0
WzpkAdCBv4pNhN6aQjEd4TqqFBh/o+aMRc1Fm6fOfNLce9c+SC3xZjT93V7LirkHE/MfIcppaAWs
MIqi84k5laeVGMeBCdb6Y5psGJytxSx/PzMAWTEUwk0pFkN3vPHdHD2MGyJWkinLCBTUvIGQXure
lyJGFGDKlrrzKdbvpvEeLlf/abDenAwFczXgmqhTLICNq2Ro3drc6cl8mvRDXR/q4gBoz+0jWfMn
QY2Nnm8HUEYwwip7JYjZ4DmappMwjGNEYi9Ju/cd0Dq9cHZ9Cby5bhzypvvdms2DI6jf17nfmltH
tmJt8DOAU0BeCkzUKjSFuL3GqDSnk+2LLPXpXPq3F7qiexcCFN3jOu0BOXamEwUGOdtV9EeTES+v
38rBCPUGdhCtJWjYBPRC2c6oiaselTjw7oN/0XPTDWuw5iWAqRsxJyg6wK6rdgejkNyCAFCb4Mr0
oL0VR2nmfuk8pKa2R6urN+lPdpR5tRUS5+fbdxA9rkDFAICBd1VR+S4yUiQtiHlq7H3LfjoVR/p/
b26U8FcuFqpmqC+CJAAlU5URqAdycZapbp5E9pi3dVBPCchhfhel66Nq+hcrWijNMBvNRpZH8fsN
cCCbU2fSExvez9F3u3uf6UCHiS2IzJruAeUJ3A9QJSt5gtqgPMtGyBHNjlr3TemZnYdmjg0dX7tE
Z3JUUGwzGZnTo4HqNLAnJ5Fe9+aBBtDucwGKJ4diE/BRJgSQ9B4dttkWhP+aHGwRAIKIBTVMgSVS
PNFk4CDbKwk9lUZGDo3V1V6ld4mHinf+aMbIE0VzIw/SLr8bzaB7CB0rvwGWwHN5v1UoWu6q4tzh
Guu4xsssMqRkL218bkVmybXBOpXto8TgjuJRbzdCvHUReHOXoj1auxWr1LVtDNRBZZ3spvqe0fiR
uSXIia3dbUVfVQxgaf9fjGKVhjTmc0sgJqHgumVDMP5FPhN79UfCcgXOntw8YW1i26V1yjAneDca
L7cXsOLSgw5x4W1DYfs6OEr0mSdFpdOT3QZW9EATOCl7kT5gFuMmnGb1TM5kKTo4NSOeCjxSp6Iz
vMzwWQWc61bKaPVEzoQoutV19SSaVyGt/4u8HZ2Na4RODwvMc3BOVcfBFihu9wmHwcFZm6X2aDjT
3e0TWbVpZyKUBTiDQQpNJripvGQP6K1tfFsDDXWDaWReRYtx/3Z5DlL+NiDOeP2I8voAr9XYHSkg
r6UBBrh5Ju18jAoMmrdj/7FhOma4LYV7DK1QjJwzVaPmVhU9afJYiePx9jrWDh5PG14CxD5gB1eu
YmraWZ7rMUxo5mnf8y36kDXlPf+8cg+LsrOnZDmWnu6sFLO6HxndgAmuxLxwFv+sQLkfLM4jDG/D
CuLiALx8WaBCcCy0HRqzS2/cGna3tSBFzzDTI4/BFQTMWcWQAX8adB3AvsPtQ1k+olp6zJ4xnaVc
uTA6XVovUITRtjAFPSXpS69hvChag2Prh2F+qliYwgzcFrd2d1C6B2IWEfwy4ONSHPr9axeEahTI
EwMQ/E92rwXJIDCocHdb0PKh63X9EaRsXgRu90waEDShF+++EeP7joM1LuXZpxzZjIBJc8vXWdVv
UACARVRf/lXuaek2Q5WOKT2NY8j4Luk2fLb171PEqEh+oMlLuZ1lOi4kVjM9WfxQZZ47bGzZmr6B
lhAWwFh0XL2fKJ5LllWVcTKHfVfsUZJIs42wbu34z0UodzTjw5ChBcg4cYxwmIPRuC85+iI2lGxt
o8D4oIPTAAN5UWS7VLJujkFdbRjGKW1l7SW6OftuK7dAgcpaEJximgK4aFGOBY0eAshLKWmejOXk
aE7Y0ta+42KqvZnPUUCd4ZM7Cnvj1XlNqJ1p9L/ylgGAWBNKhirAN0ZR0+lQ9g8Re/MPlsXj95nR
6c9Obuq/k9ltAzwf1udWIjM/l4ZRe6SMkndAAuWp1zd6fVd1CXvHEnMIBEjM7yQnnV9p6HBGt2rn
A+A0oj8kdXze1MMjt2b9NNI69npUa33HjdwvsrB6Lyd65jUk2corKOr3ur6ltG0iuQcjq8aPSI7E
ud2mLEz6oGskfv0udT7ctgrrMoBMXEbWo5JzdUWpHYHck4Wsc/zYHfe5fI/Buxv6p9ie/6wEPMUY
aQIif5VUoyZRN0gpWGjOtTdweoxi+oQc156niebpjrbxsKqh8b8C0ckI3CMSJmBuuVTFmcG5NeKO
haTUvvWJCQYPwOfT/DTNRuNlOX+HrjuP1BqydPQ5c4uNa61cuCv5irFNiygliTWwcGy7+z6NH1rL
2cgurN02jNxdxoOitn/VdTfE7Vzr0PIwAmPJveYa9ctYdgzxUMruTD7SjT1dXdLCloEsFGZjq7PT
EqNHFwmnbqijcprOvgDk77YubklQNi2rwCcigaMLzXFv2Dvyttfi3zNBwAAuSJChILFwqRN8HEe3
4KUb9nnvaVPn/b7989X02b8CMDlroUwFzaw6cWHStLoc2IjGreJgx/fdb6d4QB9dwrx62g0/omlX
lcjTBNrX24IVJ+xVLjCrmDm3WAl0OlwuzGCz0ZaSsTAjT3n0ybA+0L70JCjppvLLMP/otlRvOQjV
8CJARSoaLgv63xWjwTUXg8Jy4YYFamKxiB4NLb8vcwYyinrqvTaNrJ0Wtf7tZa6px7lU5fzcuuB5
o8VuOOb6h3zqvnRVvZWVXt1KIBgXLs8lZ6d4FEVERZIj8x5S9PmlEWZo58LT5q95e+roc9eAAmX8
eXtZaxYYJWdU+lA7uE4IDU7SO5JbsMDFA00Pdn2H+eP/kwg1FyTbZsgrpNjCWIgfbqe/1MSdPR45
b8vX/auIqO0hQ8LQnKGGmlae0CpFP1WIAuZP06ruij7lPhI8v3Th9l5UUXK4vbJVTWTAFy5TC5Ec
V1S/AlYG6t+zMHKicef27RS46JUEm5zIfdK2ZBePEqxjNNoqLK49aSbyurh4mH4DKOXlpYsyGU3G
SPkpmu9qwx950FqHOr1zsr8wW8hIYsbZkvwHtOhS0NwD1N1XNT8ZwOCYD9TaSDutXSt0cqAHDd3b
IElVLnPBrKbOpoSfaPmgZYG7FbStvFPw/UHpjsG7QC6pdGCCDMjVydgJ+348xD1BlcfaFeOpHd/+
ICKQthCqwxAiV6foQt9qtS77wQ6jKvZKXdyRcb7r6GOWBbeVbmXHUCCBu4TDQDOlumOJJSkpSWuF
nbA9cF+701ZGaMUmgH93octbejd0U3kJ6xjUV7MwrJBaQyjN9MOg1R/arHy7l7JwSKL7F0RtK5hr
mnbtDGhPKIaH2rwz3sgps9iDxTFBiQDxk47/XqpuIvW8aMbECnszSKdDucUaunL7L76vqK6I08qw
MHQ6JMOu/JY36a6pBVgOgBBH9oltYU3Xzn0ZxAhKteWVVet8KLakMxMuDekhio9FumHLXhVUeVaB
HwB6gCH7cO2La3OZV+hJp6E+5+RpjGb3K6ZFo4+cyv4+LmFi0GKPJE6BkMDMC+KjedQ9lOWcHFjH
8OLXZnGQrj0+ukNBNpR+TSXRw4TCINpCkZdfNucsqYuxpJLMTkvDeGCg3iNHKy7LwNGirRG0K4YV
2Bc0ZCHjCSSdGqvmGRFVZBc0NMFtDyEe0hZ+jRBITw6OsVVlWLNOoPvDVUZdHSPqFTMOFq2pyqec
hoYWgtsACdLYY/TjJt/1mqoCIocyFmAamN6kWHHGiobGXFqh4b5w9Cwb5N1MPqb0sdQeui2HcO2s
LNil175+6woRUvG0tKWbWaEVD72vEVDfWElnB7Z0yNudMudclHLFAW2xjTJPYULGF1o9u/aWR7aq
DujiXbgxsXOqTwHelJ4NNS7dkDG5o2CvDLKKTHfCAd6t7y3nkfOabVzFVaEgwULACnaBa7htnnVs
RPI5BOtTEGUxQNC7hLLHtnjmYsP/W9MMYBsxuZsi0r+as2AZVVOkDbPCwih+U175hYN+llr/RFn7
fRqKD5EEWvv2C7amIIiLGYwMA72fGstpRjsNbg5tBKkF8Guhbhwx7n7DYqyZSxt8ZVB3BKjo7Lm0
GEWUF/EgLRo2xROYJjx7a8bh6iooYDD2gia7wl10yNebY+zQsDICUu6l4SXu/vZGrcQDDgik/itC
sXpCT2pnRok67FDJmHLN0xIn6JvfvfPUF9/7OT6445fbIlWE4uuruVxepNIMOAEqQVaVdE2Xu3gG
AI9p389jz+8TtEYd0AtHA6sqMbzEjkdvFjPx5x7jdGvWNU91ORngDRC/KqcawzQOGpvvyxoU8SKO
nEM1NClK9AbLvJ6x9o2D0f7zm9F+CEJf27ya3UOt3qwdNB2HbNxpiADNo4usmeP1b6TT/FcQMkNw
VtHsdlUyob0ohpTDXsdSeGBZyT3QWW3NpVq7/sAA4KV3sSCmOngGKQ3NkR0NZ/J5MmB1HNfr5Q+j
rjyhb5FArF6Tfzk2l1ui+sco03cOGWYakvk9c+7A6Hhbn9a+D5oMRCkoAC5dS5fXsMl4HmsGnCSt
Sj7W6fCUkS1k3dojei5iMXFnvgHnI2m1JqJhWhtoU+q1PbdhLOHC7mLAHm+vR0VCv6oAbjZQnUu3
xdXsSdPUsihGNjiMm9j2S9A4mFr7wEWxGzrzm5aZ75Jc7owi+dTNxUa9a3WlMJsIK+Ge4LwuV1rN
uaYPNYHscsGj1BgXq7VwoEuqD3sLLD4bj8OaiUO6FNNLwGIIY60cXmXRts2q2Qk1ontdbB6GyfCE
Ox5u7+majuBSua+ZexSJl7+fHWBSFqbe2I0T2jKMtHfZ6S8+v8zwQaLeRCyw7OrZ50dpOjzD0OuQ
TgcZFFucGq+YbdVxBi/ef7+v7JI+N05KBb6f5VZmebQWOUhLJvs9EzoVXpVE5gE0UlPuJVzIQxMR
gTg3j7zB4ZovSZ4dMiPneyd1Bj/VQSsDWqv+i13X4uSWk/Cbuhjvyql0j7FE8tB0K/a1zHh0d3uf
lt+prgMDZMDXsPDBXfVAxU5eomGjZmHn5n46gw8oO1U8Qy0wvqdii79yTZeXNkZEM5hYBW/g8lRA
gUXqJp5YWJVH6n6aHpLsZJjH20taUWBUhBbig6X2dOW+uVWt65WB+kKevQCL6Rkgt6JbVfotIcpK
SJx2GFeDqMjg+YHOh6lHHcPdWMnKHWHgkcSTjBlXUOTFVThTYrAsM6OpXCcEGPrj5DaBlfGt6Rsb
MtREXRTP+ljPzAnHInqJ2+mRpfPH2weycupYBgA04IpFVUntkrUTK+5ojb3K+Eej+NQ6L23xKXm5
LWR1HRju4yKJutDvLAd2tleaXXcCgC6so/fAW/pGsv/lBUA1E7EyngGUldUsbYzC3Mz62g4nTIqb
gtLeyCSteH0X31eCGqmXQ4XUhR32VbkvnPyhb4bnsciD3rTfgYTzOzPSrwBOb4hd1FS9/lAtBL+I
ppdu08tdA6rFcBMuWdgMu7wIyF3+RZMeaA6jaMP/X1ECuBr/laTqmdAE43rWsNCV2olH9ktkVcd4
Nt8LY/rntipsiVICbMeMNJ6i/y2EcfOyzApmVnkJiPCS6cdtSStKd7Eo5dT0whi1UsB6TlYAcD9o
Im9/f3UlQMMvk28xXF1V6qnopSkjmLJOWPfSKcFau+ta690Ya3+jCGeSll9ydn1GOzHJuBjNpv1e
FBi/6v5kdAykNXtm84/YKg+sbtyZOOX5ZBEvk4JmMAk2QG7OEjFs2M4VA43WlD9bpxhoi0T55E4w
OmV6nGzwRX7OtpyArUUolycWk6gR4+ChGZ6d9gelGy7SxhJUHn+8CL3DOTapcj+CZJIk6GfPtng2
VMzrq297tlEq3iyXNaubqUR+rxkRvVUfKYbfAiL02Jf6C2HtC2XyVxVpB9NKdrRx3pVGv7ut5usL
XYoa4B6wrxAB2RAXLTNGJ6xi90lI5xC78ddq2AKLbIlZzvNMx+OUm7TRJoBF3O4xdY2fgGSj6mts
XKVVMWgqf0UeoH1YUQsdo0gMpnVOmMSfy+RbFf/Oko0CzapdAJBkwRoAKKhS5QkORhDexyzk2jur
lJ5tCY+JD0b24fbBrIEakHb+I0i5RWnVtQOtgK+JpjqQzegzsEk1/fulQceYPsf5qe0crymLu2lr
7PfqNgJBivQUil6ot12els0x2LRKEhYW0bs5v0uoL7aawFcv8JkIRSGMVLeTsoWIBqM4+gOXb5sQ
9O/VQkCPYSvwS67G0pgZmG5j8MmFSeR8rUT/2TCj3d+cEHySRQp4bFTAm9XwSjdBuRzG5Gsc89HT
Ktn6TZFkno2m2Rb0xdyZ3ueldtfP7X6c00+3f8GqLsLhxvoWN0JtCcmMBOGFJZywk560AvtLBsTB
VvvMinuE4OSPEOVJjypSOBqFkMEgFQ9IX/1AL0DxuWyd4VlzSfe9mOMBpL1Ni97OaN6IwVfrJLBP
mEaBtPDSanepjBkQWYbIKyfU0ZrLy/Tg9HrQRp2vG/UHICwPE59+VrH4xxybO9tJ0D7S37O8P/VG
f5937PftPV+L2kBS5b4CY3A7lrtzZsmGIZ4xeCqyw1nrwDnM2/4xLpM8JKKZnhvu0kNsgPv4L4QC
jANiDwC3rsAs2pSkZCSpE7LsPjEfmAxQaaf0OG+x96wdNmwaWjAAagEoVrn5Ii2KDD/CDg24V15i
V/vMop0niv557meym4xyH+vdETQsz29fIsA6sKg44mX+7+W+xi5LSD3HeCGKby39WTXv7E7ubfc4
bTnea6bnXJLiOYo5kracNDtMc1Dj+rMT3F6JvnYt0aoFdUVbGwjmlFeIRNk8Z51uh05W5RUgxQkL
9KmWuzpBr8fM5Se8+alnSNLsBk6y+yrn2eNgNdWpG/r+rhV8OsrErPxJm+ydzOyNDM2afT/7gWpA
YHOh2UaHU55Mcd+WpW+BwLey/8IEn0tRTpSneqoB5owKPbow28DcytuurgKPPCy8jaKD+thnDSUR
N/HYg1/vW0Oje9CufYnarQzk2oWHhQftHRjWgWpQlpEBKmlrNjwk1yrBaFT5vJqeajv6qRfDF7Ou
3thP8/pynctT1NNpXavVRh1Jx5kEUV4+gZFhw7tdCz2xGGSHgdUG4aZiwxBlt+CvYzZASL6Igkbu
Bxv98p5RP5hbcdTqKZ3JWi7Lmb3sJzOZrAL2sgLOGc1bti59Y8tdX71xSGotY73hyKp1XcwMj/I4
QUZTq+7KiHuYwnWUQvPMPru7fblXlwNYIfYO2TQU8S6Xk2Nw6ZRbgxOW5vizmlBCnp0XgDo2TmhD
jPqyow9KjLKGGJ1OoaQJ+EbYDg0kH26vZtUUOiCFX7CEGC29/P3scJIiHevEBKBKj8ZfcVY+Ghnd
QJ2sXp8zEYquybZAC71cRCA5ZPks3WnaYz1itsBGFmpFB3D4KLkDTYH3S6V86vk0DqiN2aEtEm/C
2Td71Iwl/Xh7y1bWAzEUpBbL3IUrGHqip5FsKmEj8iR3yB5Qz0YOXZ+6vcnbozlXGyi7tddkUWoH
ndpLE5xaWJU8JZ3GysWMGs/U+Fzxn/Gjnc2BdGz+jL5tft9m3PRmtyO+yPUwx4yEyBYl+PAy8r1L
SX4HxuWt5OWKhqLIC51BMhkb7iqqY9SdrBamzdCwH7ToK6jtfRMlwL/YbFDiLfhdJDBd5bZxYQoD
KBTQmloYfxyb2WEm2ce5cD7hFO4tFB5vy1u+p+TkGF7t/8hz1OkslWTlLCoYxjiFCxmwrvWq1BeO
PzHhJb1fzxvmZOUCIr5iaG1DeQl8vUqQlyOJnrTOCF8Eo4TALbjhVG19Xtm/sU2dghB83uq+jPfE
+ZvPo3CxsJEuHXOKbWdF2ddEw+dz58Etn1CevX0cqz//7PvLXTwzTwPcpamJ8P3sztD3Mtnf/vza
aZvwdNHGgurvVVs7Ro9oAk6tFTZZ3nqNzYJkbr6C9mNXDP2uKLVfOkstX+u3PKM1U3UuWLk77uAi
4WNMAIFUwh/Szu+tyqfGz4FFwe0lru0gkCsLjwRGZ1w9V2kxUBvoFgsv/Sdwobgbz9TG59VnapB5
MRgSnxcEk9ET2yNvh6si1loSvTB8MO1KPGI3RttP3WCG1AHRVgNo6cGa0q1e7LXzgH1FTxlgYeQq
39HyGJFHpZmhkR+yeT/Io9EcUQi8fRarUoDbB/wbENkrddPBOK1nfWmEFRIDo+ncsRwD3UetCVDM
2jLPKy4eEtdo0cJLCMI2FUcsgIgG91BrhM1kxugMGO5z0/ksu/JrDdC2l9lu7NUInG8vce1GoTRL
AKIA6QGQIZcXNk9pPNJ0NAE9rx4kcJqsQsuAKb5PvTb4XVJ+MV1k6rvMfWPz4WuRCGi7pRsNUxOh
7peS0XmWTnYTmyHpug88dx/SOd94iddePCTkwEoHpq7rYcpFMsqMM26GRXPUpsmLtKDjX29v4Nqx
LVhT1M5Bt3DFK9knLnABbgmQU4ysgqcP+c/clZFnFHbx22jH9JgNPA6i0iS725JXV4enHPqCd++q
dFuAd8+sCO6A3oz9t4rV4ydW2Ri8ZAzzxkVYFfUKtEI9GgMYlFcpm+3JcDRJwygt3yUsP6Y6v49K
sZGpXTNOQNoAz/UqRs3ho4A/1hWvISY/yMJPtxig1pcBGD2accAkol4xXThNOdr4/ly/k9N9F31n
+se/OBTMikGchq4DoIUvtZppRdKUqK2GfVl/sjB12U2if2TH/jcxKgvojDpXNNS2iXccjK+lwd39
hBcfSQtub4QDq5v2Z0WvWe+zJ53bpJt5wcywan1ucaSYQPFhbyjYmo++jNj5z7a91l3OhDRIXydk
igGtTmzgBBGBasfcKeluarrUJzlwPIO5Cb1aWxpydAgLMRMJc1UV4zc3Ubbg02lI8p1Gjzx+J9KN
lMqqCGCRIAEPOkBRl/pQdVNCx5wAvzxnX4ZIPpkZKNrFVrfLlpjlJTvbP1uPc26VJg0nLZcf0oQm
AZrxta/DrHe7DQ038C3V5UZDLzI4MKnkiiJw1Elumjy2QgcdPx5GlPXgXkwaXzpWBrLAWJSP+TxN
+7KQJdgfItuvKozsaKI+xcWeAHhO2/TYOlq+G2Pd6ryBkOzQdGPpGyVp7tmkS3DztYP3f6RdaY/b
uLL9RQJISdTyVbLda5KW3Vv6i5BkOlqphdoo/fp3mHvfHVvWs57nYjCDARpQmVuxWHXqnMnuknur
rIO0gh4bFHmyXQuml9sI7UY7khno9io7j2foJxktCvcurF9hY5SFx6Y29IehtDwEJKrzfOj8AbwU
nxrXAUMtyQfTiPaOF6O+1eKxeWxGiWAYRURzF5roFEYCnXqKQenAQpBOpkmcbMyib+8EK5Md6cO1
pNWC7wN6H9OK4gTQRfOHvZbpURbZgAFWdDtuompl1RZCGXwevQtKRAP+b+aXxFDlQOBJ9lQ3jyQO
yvKhEbcJX2skXhwFohfFv46wYg5mzKARbaPxlD3lhm9JD6S2K5vvfO+BXk/hifEAAPx2ts/7ukmh
wdWwJ159tduXafLa5PoIWWXagFZT9RnwE5wepbpF7alpAM7n5kF/7NPrYxLQVgAU4yoCt7PO5zGq
uC5Dzp7a+Gc9QEoRLDl0WhnDwmrDm6KVAUhITNU8tirrRDZm65rAQrkbw+CQcxRoqdW8CES0V6/I
ianZisRRbNbuELOnyPVz64tAEkPfXTaxdDkg5Qn4oIHhnCG78tSd0tzGtV327aNKT1dlGIHvjn0r
esfcFcxZqWAt7GIHGxhFQqI7kLeabQHoKkdNp5nGE3BzP2x73AFJdn1C/8TEbNogmRP2fW4gNKV0
M1K2dyW9VSjGy1O3FJ26MORYoH1QTDmnm3kCBYdWdLbxJAf+2tLqfhLTjcVNoP3jatNGXeaBKn6l
pr84fXCdSLiCaducZ1wnLdKzPsGbwuJ7MMKxbmXuFr4PyWh4AYwMz5Z5QS8fGcs66MI8jRZaLiFv
JsBNeXneFg4QXiaqRgxhB3ALzUoIpQw7rZQIeizH/RXpLTl0Bq+2vAJLpTlQ6/pHM6poqOAxGw/A
M13GoW0gbNujecs2QBKts03dr7idxQEdWVBzehQgDBrkwIYcFro4hEyve9tpkFHtJt/uirUwe3F9
THShKdJxRdh3asvVym5S4fcTxM1qW9uG7EpVK/V2RGzxHwvzh0JmjcjDQHnmaUzDH5EFTLEcqjdH
wstd3gfqpM9iHSC7cXoUXRo4OGbnB+pKg8jD0Hga2upTCym0XkCp7nFdrFlSk3LJ0myBKjS0TlDG
MZ609zbdmq9Nirnzu3RTFdtpXDmhi8PC1oVvg4tDHvN0hRy7RHPOhHDbbNpXM4XyNIci8Ois3Nb2
QqgIG6B2Vl4bmLzZMTL1SYBqbtCfWgkKrZFwgJhNztAC2nRPScvYBiRYBPrFk7E3kqZ7ZkSOnoGg
v/UskUovtOxayUlH4i8OfB9QGmG/01kr33NHWr5MG+fRqERzZzla+Qwd+MynUVgdsG7ZA5/gW82k
Yf5o1PFt24fggQlHznd6aBYPUJuQtmdXhe3bsWndctGKb0wT+YMbhfFmzG6ntrsTaPCE3oWTb0A3
cBOBTF5SHxLdMgo3heU8pFFtfkE8iCQ3r8SGgFtnHxsuGh80Ih6o07OANU70G3Gws2Vu2uxEOky7
tB7GDWEde60GBL6dVSc+oir791gqsZcy1T296rSNaTZya4ROvgNoOtnLxDDu3VAXmxZcsyvLteQj
oBKAcgxSj9C4VJfJkY8w6ymt0bmEbglA2vd1tCnS7ebyeVo0gTYGUO6qDu0/pZMjE00oYtOA8OGT
FW5tXgNkmng8/dVXPy7bWTpNYBL5j53ZBrfBQhajLYM9xelLXIFYeDtV2ywd/ERWHq1aFArW8ndL
Z+rY5Gz2AL+A2jEYEJ7cYQfwoTXton53eVTLswc6KtXYrlpVTxeoZshoSbdH7Ejw5ElqpL1B5zYN
6XfNXCO+mgVdeLKq0iy6D5ReihIlPrVFksoAPCfRAwRI22Sy7twcoSSel34bi51h1/7lsc0ujX/Z
+xdNBBKCyAGd2hvCSLNKGukB43781q+R8c6m7t+fh8tDcglP1zkmCf7anUaa6YE9RuGrzaWxFaXg
iE5GU/NdNrCVw7Q4HnWZI0GNNPg8SBkmraSm0egQPnq0q6/AHF6er9l2+9eAcFShnYsa49l7UUCr
vmg50YOc8k0dP4UxSDyu5Ib4lxE4b/BbAFp41lEv7E7XisHCrFXMI5O1MUKyM7NvRrMSAC0tDxqv
oaegbna0bp2uftNb7ugkWP2up7mfsexFH0AEpVMIMRoZXaOqWdrcx+bU5B65IVw8Vso7ZY59j52X
nO/CfFf0L4b7fv0qqVBHEUwrTtTZBUjBGJshgQ7Voe7dHj7CaSeSlQzT8tT9bULdwUdjqXWI/U09
TNjiLnG31XRnNnfoxb88kJlD/bMTjgcycwe0aJwU3U96APXlSe6ih7hCd9ZNEnrG73CtBrZoDJsa
mQq0p5wBCJEu0lsDGZGA1+14RxDfHVLS2GCT5fSOgSUK4Ml6sDYgwU+JF4ZyDRC2OKcAM4N3QGUA
5ocXXE1ZGKPYE9Co+1KL7KdsQoh5gOLd61d5k5ZOMmqx/zGmfszRAiJ+sNmo5fB8Yiv+KtJb5K8u
L96SL0IABrg4KtcAI862O5ruptJVvrVn+yT5apV3l7+/PIK/vz8bQZ7pvOQk1QM8qLxG/0sUt+M/
EMPDO+xvG7MbnY/p1Lg9bDThJH3JpjfsfJXK69/+u8HM7vG+i7qUWjhPAF3dgNPfM7V+k2iby1bW
lmR23dWxTGVlwgr8Ox6wjX2LzpV/4lTR8K0AqCgRzZNxHEiuqndsio21ib5oxBdfZLcyjsWlP7Ix
my07FJWmgbkDsmofsdy19Lbrf1+eqkUTKPIiI6f+meNMQf4XZbTEVOn5fRF+L5G8IEO4ckTWjMy8
aNXqOW2NEONg34hwvVRuzWStyrG46EcjmTnRtKtBXsZgBGQmNqQNrqeSNpTaF+JDxYBO5r2DYUP6
VA7MCBpE8OLHQNaCjvMBGASYBLQ6I+tCAYE5dVUT0aEBpYHwXz5MleUV7VrFfckAmuCh0wGwHrLU
s2MR0lEKLWNmwFKydWTmx2vo9HPXDvEf9ZZHchrJdoecDqGWEm9SCdZ6oxqjx2igL0BhQKgvL/eu
SFaCwPM4A49faCm5yINQ9KTPFjwKh8zKOm4GdbuZsu9igiPxSfRhGJvLZ2Rp3nCSYQOAbKQq1PY+
ukMaMcZuIlozCL8Acx8WKw5++fNQ8ATG1ECDwmwcstWbnqUg8iXZQ48u7ebwD34+WgYIckZY/Xm+
WhR9yLTEMoNm9PP+ptWDy98/P90K3QCVAijVK8qYWRgW27kEMVTMAqRU0vwWsJfs+jsWJkDhoMhI
jPOkJyuhwFxD+zmgXNLnKnGHD02CSfXyQP48u47SRIjDQBIP6kqlZAN8DZsdELegYAdpRxpo0vVa
SC4gUfpDIo/Rh6/gcvEcyW9Ect/Ib+MEWaDqr7y7Ljn+5xeA1wFZcbw6zh+htNeqiJkaCVAoIzdl
oq9EmgsHFMiu/3x/jlCayinqiB5TCOmMu6hptrKIgXNGGjG8Dm7wZyQgdgcy1ES9Cu0Tp4eGVZPQ
ygJ3l9mM269dLbeXF2vh1ICiBF+HLAUA72x2p1CzSMtkyIxAc773Qbem7rj4eRx6bGkg7s6QJ2Al
4RRQIiNwIAQ7vJrXR1wg0fj7+/OegybKC9sSjgFdR2SlHiHn6F1LbKGWANRzJtJNeCWDYn22BAIZ
jZjRwQgynMkEPQFrL9jzkw+oI5o6kMyAX8HxP11j0kqjVRW9QMt3YJUGQieJNtcuM0yAuwUUCijg
OvPUQhSHeV+Z8QA5jZcwBhlFuxIAnZ8IGMAMoZsexU+Qk52Owe5YbEpb6wMjL3e4pHzU1Rttlzsr
52HNjvr70SVSQeSYol7UBxHCeKGhcFjtQnbLUby/PGOLi4LCChSkQAx/Vu5oqc5zic5YKI4XG9GS
Xz36Ig0r/vXfmVEH6Gg8OqjtRwZCoKBozZ0B7s+8Kn86Rv7jspmlaQOODfltNJsAkDjbYhTYGDZV
XRekaWAbCZTxuJeycdOI67V/8RREcIRwHu4KZ/50QKydWqu1jTZg1k0B1kb31opazwH9ZPRjTN8v
D2tpkRSAG5c+swxkAk+NNazNkBzU2qCebmM7yLNbo1m5ShZNKCQyMiTkHM4LGISed3XWBTG6VSuy
V4pOzhryYdmIImhFyQg4uZkXboBhzIhptgESS2jSB6yDOSseYMkEmDTArqXqHGegLxJrfayZ2M95
9Yx2aa8g31Y5VJZ2mQNaUzyA0Kd/lh9NRUdzMHYM8MbZvV2ZX92S7apebCrmrER751GrKnYx/KPy
BWe50iSzK6Rmchk4U+fZ/G5IULjQN8bwDPaGq99dp7Zm78dQuO0AUU4ZmMOL47wK0DvWyfPlnbw8
dWqTIfELjdHZThZxBsRFjamL5AdNdjK9rybfWWuYX7Oi/n7kbRiNCpqiwzYwNXlDo/6PFrutfyXN
SilXua3TEBBThn2GxlLUVs8wNkPUubEAHD2ARISH1kgvH1dCsKX9fGxhtihMVm6WukIGwvgly/sw
vavZWtPcQiQLWjZERihmqGNpzearCFvh5COIhoV8i8dXrt9PmbU1XdQJo9Tr+HvL36Oy8DX9XuiP
aF5ZGeQf4OJ8HgG0x2MJahioJs/8thM5cdrb+gCNvOq9t437tKAHIJi+TY6xNSbLH2vjgakMowUZ
4skS3y9vy//jBwAnjx5aQDTmyeGKQUlx0LFjHLEv9N+07zeC72rtjnRvTrrtqtuWPprG1VkhzDsw
Qf9rdeYPi7EdG27B6sgqr0ZgVG/G5GfEVpzI0nE4NjOL7Oo071g6WkNQO+9W8R1EPRV06Ozd5Tlc
OgvHVtTfjw6dPpYsJsqKa6deXCVe/HHZwJIvBK4b+FDFWn2WihZ8KkFdMmCTiLTyiWw20ZTfaK6z
TUj0XbOjt8v21NE625R43Kl7BPCJua8y4KfGOJyGIKxVv/EdBStPJ+/ooG90YLfycnvZ3uIEAooG
xmTF3jq/HV1upI4RRTKo3tPwxbRWQjD1HD0bztHnZ7sgT0Ld6Ut8nlRPRQeC5GgTQ0cJJSWvVSzQ
/YZoK3jl840H1AlepmgKQy7h7NVliDhB+jYqwZf+4g462My2SWT4VfJ67cypdAi4TZGnMlHom209
reuLDoobRVB61hj5Lv69bOB86yniVOR0dJTKjbMW2SnWC5lOYxHEO5durd/uiHrYNl9xg+e+XllB
agdproV+I83I4ynpYSUTsecBJ+GtVZLPt9iJhfmDvsz6nDnKAnV2OQgY1gipF79vuqrdCGVKYARP
fUDcGE1XuRPmKd1z31hD6i0uA+5ZtPtR9KrMc0cTZ9MQGwM+b48eT4AK7r9r2oa6mxJvpMtLvrQY
BtjelZQw+kfnp18OOXg146yAjvfBxmui2DprDZrnDoYheAQTDjqSUV6bUx2IntlZ3A9lQJJsQ7v7
ZnpndoVHRLdNip0Gnt7LQ1qaviN78yxCanWyknlTBrXeezR3vZIlB5O71CMVv40KvhZYLM0hen6Q
jFNe4Lw1zEpdVpikCFKSvOkyRZiU+mO+xjy8tOtUBkzJjQJeac6uUTMtHN4lNo7/VHh3Y7yWT1wc
Bt4TiMJRCUV7z+mu1vqRO3zQigCddsCv25+0SAtPhsOasvtCIKb6lPEaB/sS/mcOBjOkDhcQpyWu
uNxrqzutvium0SMWgEfarWXdNfx56ih+BPgG5Le82F6/Q47tz6NNM+m6YoJ9K6t+CJM+8jBtPUAf
dpEonszCvQ78hpwTLnMTOx8OA8lUR10gxzFDGqZOM0ZNEOfg8hYIssDdka5s+6XtcWxEHYsjI1OX
dU0iYQRE/yAJDPeX52zh89gTFH1tEJ/A7aD+fvT5ZjQ6FKK5CJiXoFK15ocWP4+P6yqpRc7KCbGb
iyksxgrCl5HX9G/lSui7+H0Q2qpSAiBG7uzwCC1MZSrw/bB65Tckfbk8OwtnB2lRXP8GOO3MM9WZ
MKR21PG0Ctwu3llEbDPrW7/m2JbGgAtBYfjVJT0XOc2HqqmRLKuCNPrRgj69lSuBzJoB9fejNSZ9
w3pET1WgW2+1+dulh8uzpPb5aWymqlJ/D0DN4tH306aPB9YOVTCCabdnNzKEHt8Dqd4vm1m4AFTz
LJgXwMsMEPosBCwH3pftxMqAE5F4Upg1eiPjAOXFt7B33rWoXTkbi6vvQEgTrEhwafMbDuSdZd46
tAxYX45IWaPUA3mbB80Va3w2SyuEiisag8E7C/qgmecay6pGT41eB0m3GZ/Bnnt55pY+bxrYWiB2
QcJlnvd1wyznjoVTElVA7suRy33Zxdn2v7Myc4dFPPZQZMI2K4l2nw0mlPfW8CELA4EIM0ohiGLR
Rj1n4IOEIQUBn94G5EM297K4OiGC2sHR52fLMNVwMHGCz0NCIwYn/M3VEwRlCzSfgLhIZatn5xAU
jEjr1Ph89GF23w0tXlnmhf2KOxyhGChzgbSbO8O0crQ6HvMuIICvE9Tsc+i2rOG3lpYAOj/QMYNL
RAV8Vva2E6L19cC7gIO4INuG6Ne7PEsL3gT1W+TykVlQuenZIpRgVIs7FrbBaD3I6j6RDyMkjdfk
BZbmCrgb1Z0FcvczBim3beoo1TBX48S9qPhs9E8dGsCXh7I0V0dGnJnH6gFoKa0ec9Ww99rvipXL
b2EMgHvhya1onrHis/0EmHAsOkKbQAtvUh0MJcHln7/2ffX3I79OK+LwkuH7VQvZyefB8KdqxcUu
+HTVvoZ2d2wl62wZQOPtUulkbdBghQUdN6b+3hSgYN5H3dvl0SwshuuiqA30qWLWnIOYSCNoJ4tK
BO/UDfJxZa7Ovw6wAZSMgJUBLuAsBdc1oO7SE2IGgDQ3t2G7EmoufB7hGa4gHbGOwpvMlmLSWRUX
0oAHB3mDSD1re+3sIJ+NqwFqvqABOGOo6IhmS9SaADCJPu/7+K/rv46uUWxSHVVmFJlPf37e1y2l
KToYxi958xVtFVd/XuGU0JaKp65q+T/9vGnk9lADYhy4ub4ziumV2mv65+deCUSieO2i7xXjOCtl
pAVrEhN8VnjbeDHzhbsJxS3rViK18xOH9x8SyKjBw8Z5T2cSt4SDKyRw2mibW9vUJjv0hlztYWEF
FyimCprK9rwrsTZr6YRarQPEMnilfadBr3QMiLmS8VyaMh1vTsVgBQmXOfAfCgf26EaTHpS0uCUM
L8Epyr8ix0o8DuXGq7cA0hHIRiDOoXgOzG4Nx4niXAsbLbC9QrzF4evlzy8sDNTB0aWOVy0kOv5k
4I9cYTLETk3rygmSvn3pshBGDM+l2stlMwvH/MSMfrqREzBujtyunYDrpUcnr5cra7JgAIpuBDnA
P8Ld8+aIzmrdJKc4iKb4pT/r2crvV7N8+hLACQGoDw39Oi7WeaAZgrPLKkqdBTz/FbW76p2Uj1Lf
kWmXyN9XTxXW+49UGKrHZ1Vl6jRNktUGkFhbEt2nw+31nwd3EnwuNDqQsZ+FORMz4qknmhUUkGFB
/WQtW7q0EMffn9eMEpKOhCZ2QA8izNAY1q3EHgunD2GNkq7EYcc5Vzv6aMf2buMWdhnRoAC741C2
XhajEbDivrZGHLswFHQQIaZVnV4gc5hNVZppvBmrmgTNfdqDsnqlzLT2+dlM9XqdJlrWkCDz7NBL
xYozXPv87MhVRiIUKwgJErZJYz9Z05Jc8BxoawdoQOl8npMG1mnHpjRKp4B3ezAUmtmHTK93Tri6
kVVG5K+S/LOlHrWqr7VSAHKcOl6Dhip7vDflyjIsjgNvCkSbEJs841ePTZJNVp7SoAVzVSYD2Rie
3T9fPnWLRtDkifsPYBEURU43bWU4nZaKkAQV/zaxz7AvfLYGO1y2AbIvLAtoAGy1IY4ORpc2SBEy
wAJBQR9lLRg+vg16e/3pU3kKhFQoheBgzAYieR2mYQbaNVL8LvXHML4LNSCuXi5P18LePbGifMDR
UMhom6KsYxIY7LMkT1m4u/z9BXcOpWAK2gfFd4kk/+n34zwFODwvCEDUezN91Zo7l98ZEMFtWe0V
a/1HS6MxEfgA6ohn5VkZfQClhJ11OQnCnm3twX0bu7VNvFApVxlbANtt1K7xFpgFomGP8m7NBQl0
Mv4Ug77tOJiIprC6zVHEjll960hza5XWVkd3msBttrIxFnYfmhiA7wNsHPHkHCuAZt2UaKY7BUJ7
YeMXI77L+7vLq7Y0j6gmIN2PRjG1dqer1iZhpRWRPgVWaj8affs1dPuVt9TC5QLAAzJWql5xDrOm
IbUikSsTEMvjhle5hTeM/w/Bp0VDyB8Dp6Qi7zkDQItVYFU9wPmTcvLQYW16ZJQb6KYkflXJ18sz
t7Q4KM2rZwryApCyOp05Jynwyqgt3GRl4rMeCZTkECbx5rKV8zcvAoojK7MbxykTjQmdkYBr7AsH
71BbdLD2Q0vaG4usuIjzIf0JvYH61IHAs+f9kK0QkUhkPAVpV6FSTn1q8q2uvV8e0qIV0Ogo3iHc
c2fHKoZmFs/tMaChFnluPD1NQ2F5Whmt3EJzTUCVrSFIZP6vpbMaMEkg45spS1T3OD+E9pvLf7Pk
uWm4Rzr088X/jzTF+TZEmwfk2uAy8N+ztoIu04iZD/oYDLnXZdu689zMm9bqz0uzqHoXlKvFG2P+
yA91S6L3TeJUJQJYrBEP/Sd3TYX23DtgKEdGZt6BdXVTCT5OgdYRkLgMj8xoVjb44jjU5YqEDmAT
892QDGk3WQ0bA9u94dM3bfzWXamlqbYBagEgmwRuArHtvPQ2ZeiyatKm3H9zhOnhIbLiphdmCbTY
yDPj2KjXxWyW3EYD3tiNyz0LC8+hmXd9fxKKyhRIUtyvCiM5u4h0wVKOV3Cx7/LNWOzil8sHcun3
H31+nqUFRTK8qY3Px/pLNO2s+PkffB/NzUoEVnGnzjxlAu5wmjqU7yewq+mo6ZYrEPKlASgyPdW/
hXSaPZ+fiOdijDjfZ14Tvpfl1e9gADzA/uIi94iE3bwoPpGish1J6r1emD76w0mx1s94HjvBgmKv
RcoIb+35LVyYkra0pPWedX5MvNJ9SKlH+GORAga7An8+nyzYAu5PlXZwMOb3ltEnQ1WSVgD3/FiN
D/W0ximzZACQLpSngIVCb9gsENRjQP3iidX7eMw23OJevIbgPr8U0ZeAsAw9LkCPIfl1evV2rVZM
hE/1ftO4X11303W+5dE1MZXFcSg6CjAQIHUwRyhwYidNNLjV3uQQWJhcH5fGtQcD4ziyoLbFUUgu
nRxVHgkLeVf4Q0I2wxrc9PwuggU0uEB7WeWZ5xKuLrdZVrqk2tfZPS8BSbttuvt22F49DpQVlPoP
GqgM9LqdjiMagWWdcMz3TVvtqOMVbO1xsbAWwEyAIQbAFwW0m7lYO05j6UZODb6el6J8aq6OgqHs
CBoVUNchGD7z4FpYTjRPEhCHhU8y9YvrHZRSjkR/GZYbKcfzp2rb2m4e5vs2rjchM7xWu728BAsL
rUP7GFcog3Y77uzTJQDvPdhyWyvfd+au0r5Y4t7NNvkaXcqCFYVdYTh3Cifmqsv8aMOGFs1zZ+iL
veZl4vMzc3+tOY9FCzoMoOUAbUfzVJrVVWVNKomVMO4r50ecPKPHHy2HK9O14HBV/kNhEMEbjizn
6UAyZKEla3HlaSx7TAe20QZzU7fuThI0YXt18355eRb274m92cTlcR32IoU9yE9sLbPdkrVGAPWF
02wqEHw46MisIQt5JtHRk3SSmbSLfVjvoN3omY5Xr8mnLI1CNeLa0AYGAG3OlxuVNC6KkJb7bvzQ
9c9prdF7aQxA5oDWGukQVag8XRWa23aXO3qxtw9G67lCaQ9fXodFC3CFyHQipAHT0KmFHCRY4Kis
Eeqg98dJEh9iPd6UrtVyl3ax8rj/NmPMXm11hm4qwWCm5FuzeNLSAxqA6NXJSJTvlbwIeLPQF2vN
jEDipHJ4mxX72v3kh26tE2txsVEewxsNZx631OlUiby3gXEg2FAuIpIh3+ZpvnL/LTzQMAT022Pr
qmf7PPNF9FpzmpQWe4doHuTCGIQNouozTdMt10YvRvVnqIhXyWpl7pb2geqRhQ9Y4kly8rgQzcT4
vpo+DfeF1q/6+PvyVlsIUuDvEcwBNgCU47x73YyTLuIDol6Luz4tjQ87ym4mVvzl1LrnRmvkQksj
UueSEJAf4jE1S6ybLR44TRPyfY9uVqMqPa2mW8P9B/Om2sFUuggp5HnwWKZxDzl7WKn7R8e+6eVG
X+uPXjo74KNEozdQetgXs+BORrmW2jXumI4/ANmxTWruNcPXZlgDpywsEPJEeKNT7D9QS89mbNDN
AmjHMd63XL73Bd0gFPRIpHlW22/lYL9dvR+QRgTwEyEGXu1z8nS3bsEwmBX53uUBwX5LX8C+6I34
l4TPl00tHF1gkBkyo3g2KudwenQzyREg9wzBgP1meb1+/WWGVhFwgKGbB1HAfBOE4xSCYLHm+/w5
6fxVSruFvCsyhdhcwO2B5g2amac/PyonrIxAWJxaPyPb5zK9cVruZ/2uJdCd3YVNui2Lr6G+FvEv
bL0Tw+rvR+GNsOxmgjR1tZfa8KW1ho0tjceSh3egaFk5SHNNXyQl1CBB7qkauBHaGqe2SBnnoGBC
ZG6AZyxKvzr6F7P/klbfeeduLeeH5T4bSbUJrdbv1o7YQvSDVCzB3oBfBwPs7IihozOiwnKqfWX+
1YoH13hEG8bWHm/C+jZalXH4kzachSaIF5THwNMckmiza13UkNuNQJW6j8qnUTZ+5UgkZis/yrif
s08rujXrbYM+Bx30XlX95Brb0v1++Uj86Yef/QjkUeHwVTLdOM8zVbWdmfog9oyATr3uGg8Vqk0Y
Jzs9Mp4Nru+6xnhHaQz9p9zj0M3otWYX4UHAx5Yj7VpsaALmPmGUPy7/tDM/hCey6nhWq4Gu5Dnr
b8SdPp5CUh8G+Q0CUN5Id0JszfiGRFdnqmAAd5KraHoUimrmGAxZDZ0QXXUwOPdvqihb2dVLQ8Eb
R5WxkNeFCzrd1BZ0KPXYafF96pX6uIG+3qb51dQ/4vLn5Uk7c3Fqqgjea1A4UNyhM+edZ2lryMIU
B8uf5JbHu8ufPzsheK6BgRnLgmOqan+nA2GFPtJJWP2BGb+z4pDIGyJuBm0fMvAPmSs3w8JYQBDJ
0I4Jugg8odWsHrkdvdMGYVilOECNUCP39OnyWJY+j4ezCQ1HG4iteRWp4VnYm3ksDsL4HW2N4vf1
n0fpCJgq1KlA/z5zmip372SWLg5o1v7VrgUcSz/++Ouzuak6bnV2YohDzX/4lrGS2TsLmpBPOP76
LMY10zbqQfgsDh/puNc+hu71+rlB/ggOxwTjy1llV2uGvEehqj7kxfe2aPyOmldvVNXGjFcAEqtI
Es99awk6GY0mWNzY/SIlwmbrcTD/MuyHcbrVmqvfNYiScCkDD4ZXJtIks2OhmbgYnTIVhyFGwo23
Pi92zH6BsOG18wY7gM4BCAGZTmCHT08EsC5u2UedONBkWybb4dp8sRrG0efVpjs6cBLKH02R4/Nd
85hUL/nVBFzq+yCKV+ybULadp3Mr003jKMT3SetsZBl9q2vuU8p9AiHVzHCeL8/W+S4GaAcRBNLT
MIqsyelwcrdp7WiSwwG4Ro8On5H9ag0rfJ/n51AxvAEsjoABz4w53cwwRRnCylQeBnvYsFJs9Kud
IAwgGMeU4ftn/RNR2OSxlXQDNrLXxF9i7frvoywMMkr1bAFZxsyRYOrq0SEZO7S7xgUbM0gmLq+C
8nMnAQZUVHCHq9NuEfBdzlZh4lkOuaqYHdzsg6WHhO8MslvraVhYapw9HHS8ydEhNY/cAHUfEd8k
5qHZgyh50zZ8G1/NF4iBHNuY5RX61m6x22AjSfRNMrzWUPK4PFXntyssgG0ZVTmV050/8cyy69DS
CgvQiefGV1wsu7z4JOMddA4ysgZxWJgzvLbQMYXOMsVTp/5+dNoJZNgBSzH0gzOR24xswFCmtdHN
5SGdrz4AuECjoICjoKVzzwjeb17omUMOlH5K8MEPMvRlnyCN0flXW8KVot4O6m10Bi4eEoBOkEsZ
D+2ou5pXD6J/0ENb/8iGxN0g/Aqvjh/QKwdsCGJ3vPjQc346f84UjrjgWvMAPvOm37ZrrbN/smGn
JwfoLajqoI0DbhNn59SAMOxQlmVhHKjbsm2ksdznSe7gVSCaLxOfIonifQXCaSeuog00r4c7czBt
r51o/TBBe/OuKniyp6JuvWgQyQ3ep/bXEJQTjwYfiXYzWlb3jZI2+2rID5CKAZdrQUyOtbucRMO2
EEgEJqSyCy9kafONTHa0lYxoP5s8o/s0teT1uwU1JeTWQAqON9G849oF2wKxJmEcHPAtuPnzCHko
Od2M7YrXPn9lquIVTCk1QgAS5gG5zJBu7RLTOPQs8YzhqQPiwnR+jo0DfofIi+Rj193o/M6qNxwQ
lss7FQ+YhWtDwT1VixFIHM9YVGtofYRDaBkHYDRe9cqtvhQRyW9lYqYREJr6Pizb+ltn6dzHHjZu
hD6CJ3hAg6PnTlxy35Vk1P3UteobyXj+WLftz8axf5IM+M6K5W67pTyyf0w0Tl4mq0Qzkx2jHOyb
Rhhimxi/LBOtX8DYGXd1ViiVA1emm1Ro1XboCu3GFZbcx7KTe210rR9Q57FqCE/a2q6lFUVnVPS7
quNdZ0MtOkkwR3WtZfg6FX4f2UgeQ0LnLgnTn6mWxbuqtYTnmlm+M2hcf2aSdo8SNJkPhdMiIS/0
5CMu0IjjxeOow3e3iBHyyNxNAg3/fh2zD8FbhpKpnbxjO1uZB06JA3WG13xoys1kT9kbd+1y0yW0
32H4xg6OR/o9DafbJM+I53Q021ahhvCvzV5AqBNBZUwjW6PTfk6j6Qivbyc99uzI4b+1UcZeZ8FP
mVllfa1G+hIOJHsRIMO+pZXQfYd1du5H0GKkmxiNbsa281Jav3VZ674PqO42UPFIyQ2tuh9Z3b9R
t5AeLUf9wXEx6V7hksgXbSW/Q03NxuKUbEJjMucvY1UiD6Brbng3Gkbjcz2FEk0ymKXniILnm6Iw
nMDs9AHVspj7Yc2B2MmoiJ5soxx/JaT/hOBCs6ur5qOYkCP2YkOLqGeSGBW2vHdeIT/2KhvnTZ+m
EWLvIydBa0PfEchU0L1rY7QhU+FUHu8j8FpariyF32la8ZflAJ+WR2Hk901Y7BPkK29NVzyPSfzB
qAyiIo31zQCRjKQhny0dhBeWlvwGSZGh3TROx8ovDQRpbgZR/M7hq8IdmlpAddH07NlK+rrzwwqM
CBvaGiAVjnqncXxHjskBuKH3wmoLxFgapMxGfdhnIvmgtR2MaVs1npYW7wOtfsm4hvPPYtMvMjDQ
DCwafGjI2V5Sxc6uqSxx9z+kfWlvpDgb7S9CMjYY+ArUmq06VUk6/QV1p9MsZjGbDfz6e+i5um9C
Siml72hGo1FrcHl7/CznnMczeo4uCil6ueQyS4oQDUPcq25K0tqXrIbuSsykT9DcZMXRDH1TZVPs
K7uToQlS/B8pBrkTonjIR5gKUgkLvY7jp7412CMvabUbx/Z3zbtW+VzG5V7moxH0nf2jj9HsPjQc
1rrbIp3M3zA+kV816OYOD69bUehbN99gjqEpWEO4rNA9uu5JUcHXT9MwR2udELXMx8IEIWQLXeA4
gdSB6K27iABdM7XN5Nd2V4VDxAReWY+HTp7+4Vldhk6bYYTKtXMoetVlvgaqZsJRsqlPNbnORkZK
3xqtut61Y2H5kDk0A57pOijjGup5eYXGCSZk5wjIUwHSq11IRvGNJjDUnTX8gpRyveF5EQc6suzA
ozWja52g5hu0o/ubTUZbXGvR3Aj0ebgpdYmWKlHVPNCiuB4z41vuVNLYTAovVtBaREFBNT1FQ/5s
uhkMj05tawrtVH+XUCjT+8ZNs2tbNTBrfSmU6RsmdNqLLEsiXzhxfSMZAdVOeEI/lKSI9a6zjXir
bRkfR0iHGODJ9RIxiF36wojZBq95vKu7okxXmeH00QZH9U40ZNNF6JzeU/HdIRB7gH/YhBy/IGgd
WQWJMPrej2Oa3lB3SA7NEIlQK6Xq1WjrK01q3L4ylUSG5TC4LxQe5HpIIvISNes+XyvQFlYk0rgA
kCe4GzKLRgCs8RhizsS9bVJapKGo7ObJbdh4QpX8F+TQyVXRqUOZYzcM0yLfgdhztW+mbRJ4wqlj
X1ogwSdJW/qTzocgByjuOrbRtSZHR5+ffddEG6bc4gG9x9EMPnsGq0zuXFrb1zTn7Nqtq3yN62wE
ylbonQu5Pj8zCFouMhZB4aAc1xPQg9eGiIzyinGlBj8vpl+Q0MqMDUN1h/6uW8eFomRn0VDoQYc9
rL2fo7FPiAq6Ffa8roHN6+yJoE9d5flaW57P3PxF1UwHuaFgXEtQn3aDTMziRsxiM9d9AZzaCPBG
Gza5YVXQ5rcTb1UV0PvoKMFDRLmGEztAJTGVaEXQblk/Pldj7oa8gCqApFNxFU/NdauTzu9UDnSq
mf/y4EBBryq565yJhq1q2Mq20YmCaFhWWyvLby1pPOPh+DNaaUqCrqr60KVjgxVWiH78sidSYupR
am4cvH8inPJ8EJtxLAuc0ySufGvqWBJ0fZr7SemBmGtXD2SspfQdF1lm1kVDCDDVNnOMYMpB/jbL
EvKo+ImEFThVuWabymB0lSbUDdLezW7YIAo/7/PN3BE7MrEvncIPw1PdH4HQJwfaxGUA1jouqaVq
CMtkECz367wrH6G0m6/lSOjKTkWEQxu1Rz4MUACNZP1NAxOyZZDFvwZ4ON7kw4ReW53+M2IpA7y4
MnBRHT5wKF9s5pR6WHhMr5ilFXqO0kg/1zm0/YiZHYDeilalkXXPsIP6ORfjGMJEV/vKTdp7VxYV
jINj1UHkaHFL83H6niZ5xW6M3tQ/oNZN/alpWABYMe5bZ0bPTVO8mC231xxGwScipYEaaBRIoxc7
3mI5PKf/bbHunmgTzpVVAw5luEdXZmzt9glvgnQABIShXoekJY+2JmvaMJJJFUBrNQ2syKPXaN2b
+TEv2x3McOmXmVutRNo4J7xl9a1mot/bAmIzguJ29LRysgDdf8lGC6vfRFToK8+LYt9NBpcieOsm
v3TL+gbke+uZqeypo27yqLus8u3Bra9y2BCfZhmoii0cJ+nUuDkDvLmDO9WeXBlqYH6csfJ32xEn
xG/Fg47GmIU/RuR3nKPeHSpJTlY3tMPW4Ep0d8oyk5eWwpVRrNk3Hv3WWUV6DXlUDwX+2pvExkSz
kiaYquaapM694FrgKKMvF7eb59jtDjKrq63hFWlARbKBv+baAzRihzUM7aZpe7UT3LBC0xj4DvKB
XQBgfu03RFG1Tiso9zXmNGP18GSzsWgDWkI7obeL23hi8SqykmY1GKbC/9GGXvyzaZ0i6GujWeGI
QAKJszCVMvMHz502eG7/sNH8paVeQ1KkBI8CRTDhbazMDevI/h2zkviTiEBHAZnVd5oUbKesQK46
TXwv05gER9tk5DumG6nSo9TJK2jA+XqQokU5sH1iAo2/csqfp9FO96Kz7zSj0Elz5Z+iKt3bLCb9
b/C0yHXqRv1pcqNoY+YlxC0MnT2UcVetioiM21hy7a1GKyfZDRpY1L5RePEVwZJDJxiUfNfRFWLS
prc7n1UGXC8BGszK0yPw1y6eM7vsKzhvBhr9tHgrv8sRb51PapYcLagoj4GR1uxnr53mmYr2B+SI
f+qYR0ExJS3ctgx9dPQpQgfv+7rp4PUlMC/XpO2UDHPBcxJkmR6awMWD9HtwJ3cDRXb1Ey5DEyKV
afvoSYkqYtY19SqJjXplR/m48gTNriDu0NzRQpND2/F0XXNpYxO4EEEWt4Xny3SMHkQnAWeNaJs7
113vVNSPLTVNYewYdG1Q8idKOnWX0/Kh4bxYwewiYCBpvTVLHkEHqAJYThlF/DNtyw4easMbrE7r
JZsK5ijQQMT8sIymukLQAAG7yUgGfV1aRU1PueRluYWUbSrXHJ4tFOyjbC3yWoQiTU6oNv+uBHy8
ys4CZvcj7B3abhre9MfzVAcTbsPWOPj1Atu/KoQrnoBGdK8nSbPVkIEEMOI2Hzs+wX+v6u5HSu0O
n+0OuVl78OudDgHQ2AdlWxfWqsoLaC2WiXkCYMPtNuaYpRmcvlLFxpXwICad4+U2aA/XFKW0rq9r
OIxTuY41ATesN/izwgY9R7lnxzd2hzqLA/TllqRDZe2kMm9RxlcQ5VSsCgqrJ9s8s1m/StwGSc94
RPUQ7AXrtuapC2pe/kIzG84sdCdvTS/VcAZ1slcx0GW+iezso9FX8S5lUaxDSSHYYpQcImFgwlR7
ry5gbmQukqeBx65vODnWAag06MjJChQck1Urj5Kf3J4EARkDDrA1uAfZtdJvm6QGRnhKAxFnJ2KO
aZA15bEg3UOFktbe8iT8u3jq8L67bRAlRXFXkaIMBiQtnkpeHiaZwBEjvRPwnuA+J1WyM/FebFJT
uhvomVBcZuaGQOaXe2h5kuYexC7qu1ZUlzexTuriFoIt9x0nP9A8q+2vo7iz3G8RIVDamkiPboR1
/lLY/Ymw/IHWjY3zaqmnhNjywc1bU/oGHacnafXDraqba7eIeYiHUuDUe+4PlU5PyCGUSYk3UBpk
G3Pb+JGVGfGRSALXIXVqmqxTRxf3ESSRnniMX29VlfNLTT0SDxb7BsVyezWO8rHK+jQoM9yLwm1f
W+XGuGXVk6WHMjAnxILJUFe+Uxv2puZ5GbQMfK9+8MgJfu9D4lrpE2T7nZ8QsEv2k23WeEBbJ/fz
Iapuo4oOfVDliGBzsJBWOcAr1z2Ex8janOLovnJLrwzRmaOU28nq79uSC32dilmSNecI6hIP/MVe
R6+mGl9F11+pOoMKOi9+js50rJC2EAiYpCpu+sR9YVFp+UUNLPGqTno8R5qYPXQaXeDLXKeEyKEL
2TNgF7oKG46WA3TndZUD5phV7+yK/CKD/cvy+iyoShhIuyC/aAtCLoUp8tEwvvJRei0AghgSrFkd
dY8T8FnB6JoRblCu/tTWZPi57cTB2DgTIqAmia+7UvV7yYye+ULL62iKDRBXbUCsMqpsMxQxfxok
OCRmOh6GnDshQnuEejrNYFi8U0OiJ0Omho9G69ZmSnMZjBPL0QDQTdZVFvX4aWn9jetSIYaXM9Mm
ypofUGDownSCh434FAY7GavbwWWYgwbxVEy5Ohl6yn8KdJT7DuJrqbYQYGvuMkDtfYqnRwXasY4T
ZNMeash0bB1k9rKAJkRcQ1fPfpAiTnHDedMBroluXT78RfYsgfXcTXTQfRhVhlOvy6rgG9XXa1uW
5AkBsQ4LAABvFaRiV21RtaCdMPNnXnX9uFUx2PqInQBvjWEp8Ap6vteROmhdb9rIwf2OpY98+CPg
DrlwVMeJnKrc0luRIvp31BaR4NpLO29PGkej60eU9rddJxrr2kN/2lVvp3Sftm4TAGfRhJbuHlEy
YFtu0GcvqQd/qLyHRGFiTNjolmxfRxk56qiDAy7iF6eVz3DJnNWUMG+nG+tOeoCpDI7QRxknXbdq
GpIHDUH/2MAgpAxrFqVh4yKe6cbolwP9tsA2cghWWvm2yOmW1nxbGWPRBHCRa9/h06qGY+XxfMua
7y7bdrz1zdF+pUPcrNtamlcsSQDJRSni1Ubm42fidIi/SxL3Ic9nHeW8vEOo+UjbWKyEUgU8zjZb
a89pfdG3+TVyt8d0rMnzaKTyqigcpwh1JH+axqQ3sKvptkkmfhtZlv6mm7nh6QCJJeJkp6KbXrK4
sjcKmu2j37Iku86gZviQTX31M2/t4eTm3kNpkDwBnJAj45anKhS4FoHoTG9X50YRZlDoqnyknK2X
CI/IA2BIytxOWfYi4SFcxQMjN2mMjOigB+UT2JiryZX0rjMLC7mawiC+siLoM7vGd4/qgzVN5qYp
Lb2qsi691hRC0hEoiH7al3/cxHht7MryPTc7OgLCdhKecuim5FcUlZDWjYChi6bU2cV2wfl+gHDd
ozUh39UimbPrEXX5cWU9DH3DRajixnUDOza7O6vJJmhk2BL+gGckSJ8Wjt+bSkIwP5MPaRljzMR5
Uh5Vocpd815rJl/TvkYrnQgWFIIR0/Rd4lnYdAyh7XpAKPit4RTxI+dSvrRMQDO3re8bs6NQooZq
ddBlie4Ck5anUvBhj9cWVW1eQ8QXGcw1wT9IN9XIychfQyxgnLjS/be+pfV3SChNEPxsilXcGN5t
4fTxOpvKV9EgXMzAtHXQUbsYkDf0fiApkAVxV7RPE6COd3ygcRy4bjRhinBf9pzWKUE3nchZ62jU
Aekz9Fqg7uPYNumrhxToAfpiT0i+8+1ERxYgJTzBoCSjtZoi/mQih5dPMLQcrQ2gMZmIl76hXTCi
U26OtILK0lBLY7wXrBWvzgzESSMNo+jF7EeH4PPKmNz6d9TPx4BYB/zuNhwalByCGhmzkHq9WgEn
V58iD4Gtqbx7qpIoUFbl+JRVuJxlof3cSq1ggBFad1YV/8wAArqHokd3b7bttKZTd6O4ZgdAO7Pe
1zSdgw1DWDhebBhgdhEV16oxN2U6IQcCGDtgNxIZqv3EULKw0Pj4AP6oe2NpdJIbCxvdlmE87rtG
e1OYkdL1c89QPlLPuE0xg062CZAUD2qTiQs4hXNFOEjumHO5DxSnJfpRSsuErzWyo6OeJmel2LbS
X6/wQs4HWB0Iu4BJZS3qlsJx4W0UgqFEHZrZNr5E0z9XywByaq4em/hrCUu0kcNiyDWxY2Gs0N3Z
vKS8fOb7M6YCqCYQXNBedQGTKwSJPNF67rGzf8Gs4iB+Xo45swVvv79ECPPW0Ui84fu5VMgZba1y
FyMD9/kgFybBFrU8ZOdHF2kfF8iNazwtxoXC2bnPA2KEngrAn4IROf/5m1ouRbYHvXW4Azz9/jW+
1ILi49eh/wh6A5BfaNcLsbT3X3dHjxks7dkRoEhj5xbbz9fmTI343ecXa4OQzqJtgs8Tee05OzXt
9LhxxCWQzqVZLO4BMpSoexgdO5bTyzSc0l+fz+LS5xflYCpbGQM9wY6y2yLDzS7s8NlFQr0ejGBg
A7i92AMo4JU8lTZ+PVm7wh+lb71Wl8R4z80BjAm0ZkK3bjBZFpCASJqJkBnAIMWAV3KsfPR2/foq
zRIusx4swP9LznGatShJQxP6aCEnmVqrovoqjRPszbcDOO/PKs+qKZMQkjv2TPnaDSNyiVFwbpFA
LUEvFgYSO8Z6P4JRK4bME7WOj8ij+Ty6VB4+930I3cw912byxxIFoj1XpEz2/KjxHsKLd7RxYRPm
NVgAC2bAEn4+wMcfO/r2wkId1eqco9K3UxxCj0Rvmnuv/PqNeDfMAkVoFJmIPRfDSJQOwjj/OuCD
ArBrg9UFFsmHPj91hRRIklQOnGb7RgyhXWwslIwbJGY+P7MfHwhgWIAdAWEANHYwc95veMdNpgrp
Id6wpvR6tMsjahT2nUTDgQsjfST+ALAG+ArHJQT7Agf5/VBsDrxLl0RH8651bEjzxoBevEjrwUur
wJCB2SPVcEEO4uN5A4gFMASwVzAwXbLLop5XrjPI6JjE8SYyjPW3z5fvzPfBqQZxYe7HBW25hVFx
RqJzHsn0VFf6tjSLPTO/DIucVRf/N8JsO9+8flXReS20HdNTj5JStzL4l3GR+D6AZTPADLqU7mJX
hI2eSD0T6SnLYBGDi/y+sysEsXeOFxZguSVjzetlT3II4h1NCiRAsYG67T9swZsBFie4jQZLjjUG
kGTdngi9cGw//n44Z8BnA2z7t1/84vNEdRGrkB04gtYnJFSFv2zT8X3sAPRyZzd5yQQQZmx0lY6M
Y+FcleZGuxfs4ccLDjTq32s3C8FCtOb9+aFGhwYQpi1O7rQrvVPG1+W4/+oOvB9iYQvLobYJMADi
ZBshqE3FJU2XM1vwl38Kjhve7w+XLIZqsbBLNJ+zyK7YV/GXb4BncuBEAXIFg+oDFE3pJNfFZGSn
8iUBull9/QCBYw7UIwwEbJ+zWB1RF7SoR0+cGJKD1K+evr74bz+/iCCoanjnKHy+KK/c/qZxLvz8
+Xy8f09nivz/+/nLLsYWqihCWfi+2QfSQUmW+khPoloYpO4locAzZxVRIsDfAI/NGliLuzZknCe5
V5Qnhz9UvfIHtDebLszno685S8z+b4z5sL2xp3XRQlQF+KmTsZI69dXKnFM3qy9vyrtBFs+Cy0sQ
/yMMUjE0TsuupvLL7xpmAQ0qEHXBlwMIdTGL2o6GNivLEwz6arLGfZT3m3+Yw5shFpuh24iXUZSX
p8d2vBmyLz9r6DoF+R+o29h4fJZmSeSqGWIUuI6F+NVVAaMXUJBnbAboZ8Bme1go8NcX25xXwD8M
VcSPAwnTHZAAX16cd59fbLAwwGQF3J8fVTqsIQJWifHCOT07AUilQoYEfguQv+93OKcpn9SksUAN
8F0OmtnoCyPMv3Fxs4GWwLuGrlJInSx98SxqTSSfXOeomzVAPVysI7X+fJnOXDbo8yCeQIrj761+
P4kKIAZaocBzhKhtYGW3lXEl4ybIv9y/AHKQyM6giydUG2dm5ftxJKDDKaQh3WOcyatoX1z0ks5Y
wXcDLIx4QpOkGVGsPIo/QFF16dpOAycHV/TCpVs6yeBboBgO3SrEwjMsesmOV6YVtXJwjFPnwB+j
qLHSvdE/OqAu9P1u8sYQ2BYkY5Pt5zv1l0Xw5jTMRBKgywEbhhYW8OzLTFfZpcyMo4GdxgGlddAy
heXHqP8+eNPINikaTCNVWz2mna1fo4L2r7ri3lUpdfSn8HixLyPyKNEQY13QyPMNNlFUsxTQN8wA
krCrW+hTjHni3iddjR5mPU3uoNCr0eIdUvtBsVcsAMtE1zHKsMOD4ZYoz8p2hV7z3gZFYLkxewZA
HEBXuxa1erT2EAPguYUn8mvA65J77dkn0DpJ+PnCzDv7dl3mXsiAGwKvjQ6lM7L6/dHKk75Cy5Es
+ebxX569zdJTke6txvNrr/W1c6lHxuJSQuoGw4EoMadNIY623P+2AoAy1nWC5qs7s0Eb1MeBfc3f
+W+I+enAnrtgDi0uizB1DZfNjb8Bp+eaxzL7Gndg/r4Ds4XlQkff+Va+X7HSTKbRQ6n1UAPvbVon
2n/Ntv8dAP743EoTaVNkBd8PkJdlb9DW8g6FXpG1o75m2/9+Hg6ti3ysCdtrL+666UpnNGPbO+Tq
9lrZ//DjQTBFyhFa/fSDUuBAWGmSyvEO6O5R2U+6uBAOLUzu/Osh5YiUNcw6lLKWAX3GjYyNiY6/
tbYfZS+MB9Tzm/hrLv+HURbPa+wNaaljFX/L83IDlM9PpxFf8xD+7xDgHcJpRrJo2S9SkUgVULuP
v/Fx3KCYedUAq/v53T6/Vv8bYnG3ixjaVdOAIWK6Z0bo2kFSbrpLOYgzV3qW4UJiEPIJIGIvUsAe
U7JWYAIf8sb2Rwaxnl19/HwiC2dhXivEqJDgBdkdN2LZ4dZ0o25qwDY+dF1gNVuUyD7//pmFQtsK
pMfh9CCKWSbJC5K6YuwIblz1SgwNTMJeKhroLwoaYR44u5CFMcFaxkK5i6s35K4dA9fpHaaXTtzl
j7368u3DAGhAaYKciz1Zip4DKFw2duy6hzK+Tnc1//KZnR/uOQOMiiWe0cWBMo0WmZqcugdQScYb
O9t9vg0fThIouEhC/OUQoV3Cslo02IYb5WlND311Zb1SfWW6X7V9GAFMTBDGofQ1M3jem9bGGKLG
GFvrIJsktFoAB6av5TsYzhG2GJxJyJeiprNs+gD0pps0mWkditxXxa5wLxzVvx9492Bjh3HNGMo6
yMpB++D9FGwVq7aM5HRI8j4Eat7Pkk03AAaX7st6BBjxNh2PmjzH9qqJtlF94QgslUzmCcKsz/Iy
JoSA6JLZpsB1aQBFnQ6mfW81NEwiG3IFVxOgQPBk7pom9P5M8YWT8cEA4NwhqEXQDBeYIc3zftLa
NOAbQxzlwEsAkq9Ed8HALA3AX++QoUQGpQdI2i13LaYejLGj2Cm1r75vqvJafP/8aC8n8HcAC3Lr
mMaZJEzetp1HSM9ORMUhKFaNouH/3wiLkLktOpNaCaaA1lrGJvqHCVCo+KNAg0d37jTzfgeSEoWT
qjXxecvYpFmyveC1sTNbAOUCyFNYkIsgH9QvmE5ROXFrdkInU8ifR0Lcxo4pH8yuig/EhtijYU9o
3ldFWRhBPDGwhbRvAEsCkEFpp107rLf3kgp+X7RVtwGlkv7hWt9EY15sCdUuIBxGFtaZIXfe1Jqb
zDbACHN6JMXMFkhqt5Vr1QFaq0A4A7w6GYIxhThAAMhX60vRk981ejH4fQTzN41wXIFPvaTQfsYG
4nyjNALzeqbi3+eZYRW9HA8ESi79jdXujeSrDiwuE9wzZIkg6IwEy8KCRKX2WGSR4ZDT3yZLgQB/
/fwoLimas43ACDai+/kNQub3/WGhMYA0ca0HmNnGTzsN7mswdb7u7ozpAPris53xlT0AAN/G28/H
Prt+swARWoJx8FAXTxRS9BWpUjkcWO89olfydzHyI2suhU3L+zzPkML9h7otmn7AKXk/w2JEtRVS
tOOhrYnCRqXNLhf5JYTJ/JWFrWcwsqgs/JXRXUZLqVcYrcqM8fAXZNjhVSSv6JsS2KQAFP7+85U7
O6U3g80X9E3mkMcA/ZUyxsPSAnBVhABvXHq75kL3h/mgEjA7Qcj7LOdjNuj+6Bk2Drd3dHMAPnm+
6etnaWq/oUlQjLFftGtyqQXJ2WWEGwx5RxzKD9x8BdaBgLzPeEj6Fp3DFD8NKGcJXgWR3W/anFx4
IxcracGbB+0bLi/6ms8h3KLeb8hqVKrN2GGke9q8xuUlqb9LAyyeQ+TzWYdiPzsQHUZ7Pl7Yp7Of
B+0fwuJQ3/tA/FfckgVQ4ww0gfoPavF3fZWHnx+2xZb8t0SgxoPCDdWwDzWPqS5MiASb9OB40XZ0
Q0kcMMIexuYbIJ4XSkTLpNP/HWwWLIcgroUq7fuTXakx0yQv2EHSbuVNGUoVwxrdrTcIk7dmr+4y
K15ZHARIc+Cnzye69Nf+G3xORMJeIGz9kPTvWsHTirEDq0UTtI111SXuhpoJwG1yNbXAxJoCTLLR
NZ7pAI5A4sWbNIZiaxGrf1sKwDeQlEbYiX5x75eCJn2fTE7NDlzsGzmgQg3ebPzLY10YRVNITREm
8gZIzs9XYWGV/y4CLh8qpNBLmxNO74c1qgIwdnOkh8K9otMu7vat+lrI/mGIhfkCnUJOth7ogVQP
3U2efu3R/PD5xcJNfSlr5mkKG/KdOd8veD/nbtzb9VkEhjYwyMoBkP5AH+2hC0FivnDfLg2wcN+Y
1aOfQocBimHLCUhN8aVC8ry+b2z7fwuE7jVz/AbVm6VXYVbCs4yc0wPPeg7Sb2FtutFUeKsMkLrd
7ovQv//GsxEWIGjn6Oa2OFJ14UxNOVF6KFs7REoO14UE6lK+8tysIDyMVBN6TqJst9iYIragWIjE
6SE1S78x7133pih/CHHBSlwaZrE90VhPAxsxjDIb36b3zLkdQG0y4+SCLTxnd03uonMB1FZQGFkM
VHW0dJJU0kMmAZ+ti03Vm1vp9gEUKmEJInvz+cU/d+7mvDtQmgD6UHMxHigHhelJnLsB6ZQ089HO
5sKMLoxAF49t0YDyPQLof7DVcege7C9Cuv6eM0B84YHBpYRbuThnEA5Pa7tkuDllFw52ettml4qF
5jnzaGKJ0JIBIT1yXO/NYwTiJ9hjrXkYU26DOu/FK6eqyEM+NDqsJBePCIzBF5CWPCloPOxKSccg
o30UFlAdWjVJ2jyUNfFu4pqmD59v4bkjg0zunDSBMPMHjHAzKRbrbDIPCRMbuKRuSGh/Q6MGJENZ
XHWN+0XA7d8lx2OJBwoBOf5rcWiMgoqx5sgDDfa+Xl8USj93YlBQm+Wa8BR98ELdAigeo0nwBpaO
3zq/EnHJFp5bMiDC8fshn4Qs9cLhKByvA9MhogdjOGTVDzN2A9l2/mTte32pzHluNm/Hou/PzghG
veQkxmySICrbbV6ICyHVef/pzXQWMVWjy2EsQf88NLOOqDFW1Q26p4IzBGT8ylMjWdvQEt1WGZCt
IJLVK7AJL/UNOzdNHAcIDSM9gyLo4przvs5GIxntgyDmNpkgoFeePj/n5y4hbiAEoFG5QB+AeVPf
xD/UxD2v2GQfUNzxrere4Adhphes1V93b/lMQv0PlhdDAbC3eFDawanRi36yDiZEJu+6Eh1oh2Qg
wAsaUy+hWNC/xFDS2EI9dfKLkccB2gnthX2jmRUxX+dWBHJKYd/GHopEPlWRhY6WU1P71QjKvq0K
dte2NlsNVc8DMHpbEJYYoKiRGSMpmZr8ZSROspsShTdzHEW6HgfOv0uSg55SeAgurbECmaGm91Jl
yo+pbDQ0bqJbD7Zb9tC4jTdGt8kd0r8mo8y+0Sn9Te0mfkxKs1zZCjTHSoIV5+ZjfgVzJ3w9VXqN
xk7K93AttiTK8l+fb96544HgkYNvCoD1B6U6lvdOV0nBD1m3d719f4koce5woAMFMlR4y9BPY3EF
MmWCvWkNNtp7umHTGiswNnYZJH7+YRpvhpmn+eYM5tBU71IbZ5CgXboVKrn+/PuXpjH/+ZvvT7QR
cUnxfZteK3Vr02+9dcFazAf4/QEH3oUg9f1fqWYp5wc5gU7neWEdchY7O683wGAf+zXazEd+3rnD
VToTGRup7dVX54aBZ1l6NHHggHwstiiHFoMpitQ+TARhDbSfebaC0f18kI/n7P0giw2a8gLZ0RyD
ZM0GesPxpfT+pe8vNshNZcFQA8EB+KOao2iPn//8ZfYej+n8+x1UHPFvrNLiabV5XmMBM/tgpmpT
ESvQkFyCtBxc9La7LkD/pINFfCbRG8hU5S9joheO4EdXFyODwOhCFhgqiB/iBALabqa5dSCN3DGE
DP4IXUmoYx2jurtwJD6uJtL58NuRgkHJCqWf98cdPS47OknHOnB0kKmPEb8Qc36cy/vvL95ep9ID
2q5E1iEZr/E3VIpKCqps+PmmXZrF4mAn1gRBlHkWBQ/QQsC5cKTnI/X+ws6TQPUU2QCkM53FJAZC
honYmAQytEh/dOVDcok5cnYIANTn+ipwUkvwTZH1nq5xsA4j2J2AWA5gNmdjSFhyIdw4uyEAlkAa
0JvTpovrY0iEMXaMgbxIWvcst9O10lH2c4rj+FQ3U/kvW4NSGMAz0L0nS6+kavnQFWMDexqd7Bum
n/9h5998fnF+md0R5Q74vIlWK1cAOvzD5+GHQBx1TvMty9EWcCyVDTWNgyY7lNUvtow5e3CRuwbO
ByUjxH+L68fRZI44eDTHfQWRxiZ+/Zff/7/vz+O/ec1aOpYEilFYfd/Jb7zqAgj17Kl98/MXh6kj
HQUdHZ9XT+7o2wRSSheO67kRZjAccnGoqkMa+v0E4Jy10TTh6kl3J80Nk2LTQ4vq66v0dpCFx5lF
ow1hFAzCy6s6EMOF1NXZOaAu6EIMHKAcvvg8WtJGiQslmQNz72h13dIAhOR/mAGfIWqzAjXGer9M
BPIq7aBdG/HHDj7tpU5mZ2eAWBA6sDBN3gcSjYkk7MglP0BbYEwf0up2Gv4Pade1IzmOLb9IgCjP
V5l05TLLdveL0FaOFCWSsl9/Qz3A3ipVohI18zLYxezmKVKH5DFxIqJ/sQIUf3HLAp2BntvbFYAO
wJ2Ig/AUdG39xtGBTIZBiguh17nbD4EPkF1481B1eXfeKDQeEL4ejWyWoeHkN2O/SC5013lwScT3
rK2FshlNPlD2rmvq9jg5pQ2U8NHowfwA9A4/FCSVW5BgLIqYdm6fPruFEF5HWxFlUqBgga5+u4VD
UdmsBA/bUat9EewuPbLvnQA/j2IiRusQLgRrJyC5kzs8F85xBIddUINwJwPrxXypc7PEV28f2zdm
6CqNLbhZqWBuEDEYTPtb4Nz50R5I/TzmtXUEILXKACPVxX4WzfTHr8dPCqP+DQAxmwaxDJxYfJaV
JypuAJ7CDfuYoo4DltVaXUKdvb/1scRXFlbxRG/0QCFkvn3MwS26Y9b+X/jBq59fOXkK4tR/FlBi
lgsiWqyeLzyLiye9+0avLKyeFdGQ0gfLkI2aZR6xdkMUkumd890HJOxfrAVBUQDlT/j1ulHYTKLK
6x65kkt/BPucfPv458/UFfEpUIRBVR7Tb+8bebxEGY0yZK3WY6efW9Q2nG2P8oaXcXRbJ/DszCCF
9KEP2IQ92XReHt6Wn6/Q4q+gSAhxMYETeV1Y4ZM7gbWnR2L2s3YQXN5/vMpz/gaSckCRMDwF/M7q
SGW0LXja1e5xNKFK9wKqp3/x+3h70ASAMDUmVt9ePNWg/FLh8TgOqLuG6hL9/Zl8GWA9yCBD5BIx
0hrbL9qF8M6f02OByg6zf4Dk+Bt1TRBpgBG2v1T/P3PNAcWzAO+XLXsHpDJk7TKraukxa9O4Sbeg
CgbdiPF5v8ZWob+wvKcIbVZbZk6NYwSzGxztsG/RVhg+Xw0EvA5IJFzXKKYhkXz7TdqcYMpaGPzE
2+efU/v48Rc/s0kYol/yY0CYgfZehTS6yEDCW0/1CRRDYJqp7W+0v2DijNO+MbHKwwXnZeYOMOFu
DLwA8gIK8cwVhllUpHVL2wLZyeoDBLrmDbo6/BQU/T5PMZxCjhCeRHk/MufNx7t1ydbqvmdjkRbC
7PnJyJMCFIE8Alw6vwFZw8d2ztUu3ixqdfOTYXAMojU/deInjhR4d8H/3t4UU3bwQGyRMUwg9tDg
GksFUmoqPn8PAFCEQ7MUGQFsXwUgfJwm0BoqfvIxPw5ysguf7PzyXv3+yutGp+Si0XJR0tu46ZMV
XLvtjSt2HARUOt83Dtheb5xPDp8u8cCiTgpfQQ8VUcHKEZGcBOBn4vyUD4cm8dsLOdRZ56AIRQH4
WZLM5ai9StEoKezOKmt+Kg0Q/8zoUDyCHW9neiBw/iRo/+9SPCThoBMGoP7drL8EXW2TsQyXwgj2
JDD35Zd0Ks5cDHhFUU9C+AkI9BoEKSWYBgpIXJ+8HIzw+kaiZGI4Xz/283NGkBYv7QF7GY1fuTkz
ZT/0hc1OeR+VJKqKeL70pF0ysbo+m8KVU8lddup6FpfDU6CuJFoQH6/jfYZAvNfrWH36qjVr3nKs
I2WxC4rEMnbVBsH1x1bOOdhrK8tf8crB2oCPVQq21tMA3k5R/VJgvc+sn0W59YILH+bsCX1ta3UD
mBNtG6OALfD67jLI6RmExG3mh1Pf/M47UDgH3Xcra+OMTkeDgbf/v611dUP4Dc+pU3rsNClwcaJc
I/V1I7dZu3PKC5f62Y/nIGLDkBMuvHU6BBQ+y60BH290FCgebzF3PZCN610wc+YZBCrvf2bWsRtH
w4OgQwBHzCEgi6k3bV3A4p11dSAxMTiJEPQdTKSwoLOQtxb2bPymbZDvBD8s88Ild3azXtlY/v0r
H7Q51ZVOCTvVeVz4UYmWWheRSw/EmZX4YDiALB1ik2UxKyuqFVnPGTv1wBP64Kyu50eaf7qagxD6
lZHVzYCnwjQxTcBOQtxWxa/ROoj++LEXn2knv7WxuhhqVDQBZEA40uit51+bII9HL5lswADqU/Ar
f1Xlv3hbsSxA8ExsH+rDq3hIMruWVdvAz9AJdbsvIj3o7KpGk7Lzfnj+V21CpTA28+TjpS6P5yqT
fGN2FRqVi+xvmsGsAvxphoejFTpG1hQOXQL+QXBoX7ghzngiUglErkv6ihdk5SOVSyuCOjvEHViM
OyIdtuUceeTCss6kLG+srJxEB02h0smrTqjfW9Ped/Zq+C5pExelEar5x8ebeNbv0dYFhQsar+/A
FL3vyVZAieZUW3+I+UTE7SAu9HEumVh9p3oQhEGcpDoJSDsUP0uemOPPj1dx1hVerWL1ZYDVUZyB
LPOElANU2d+c8pkakIbtf7n1CysxX3zhUrq0ptVHGqeghzxNyU6Yxkya5rtS+9q8NJh+1ghIGoCi
WVo77/i0SN9PaTDidnWv6nTbo3VY+/9mIa9srBbCMTsDmuIZtyvYxZsQGim1GX38cc4tA6kqsgsM
52Ehy8d7dYHXpCpA9m9WpzG/ZzVGPR6GT1IFLMEpcCvgwkHHE5HdGnirh8lqCe+qE4WgTLG32p3o
79Lx89ApmMGIO+aylgx/HW8bVdYD49JXJ7eP2n7Hzft/sVOvfn/11IHZ2HWrbvn98aXPvxriN5QG
/puJVZQF3ZTBHUoI1IC2uexuoaJi2bv/ZmIVSHlKayb4UJ1mlWSUgJh4r4tLd/EZp0Kp30Y5HkX3
971B25sIB5qkPdWB2pDJjJvgqrUuARLOWfk7C41xHoDL1y8bpGS9LHVVeyL60BLoy0FW6MIBPPOo
IA78i6ywPdSoVldXb4BbkDRKwnX72HZ2lWaJLH7l0/bjr3LWDkUnFTD9BYa1+vC5MbQjWMLlCbJU
oHamYVB0cZ2BFNn48rGlc5u2TBSiEwOlOt9a3ffoq3KQfJvy1NZV3JTfC8DudW2FH1s5F+gEr82s
Nq4dawiF6AELIk2cl6Dm9UQ4Gn2U2Uk1dTueB+HQ2uHUvnxs+dL6VlfmJEFDPhmzBCEwZBu920WJ
pb5UiD9rxEH3eOGgQXa/ujT91s08MeNzyX489MWwncenVH4+HkWejd4cai7+Mh349mZ2tG4wR6Tl
STybJqoupxQCbB9v1rIZqyANs2Ko6y5lA4QXK7cDbsSmow/3HqppT13odNnthfjikonVfYNoye4K
ChOEWz+dbPxlAXv38SrOfA10/Sha7XjCADpd+dpcWB0PmryFpBrbScVvrandOMGlctHfcvRqt97Y
WbkWYxbQhsiowIxQTQcAzX/J3vdjW3D7uvILsgdYxYqAYvMXGS0oeqV+cKMd/7fdm+6pzUx31+RD
/wTxXQFlKpAkBq1TJoPn/zYaUELbdHJjaTb9lTNztpdO9rvsUNSbHeMRwlMO1BJKSCaMwXPR97hT
ffDpm6W9NVqf7hpqpI+zMK2bIMvZs0PqIvIUBeW3O2HAZbKKyO7aOvLbNA2JhF5QSToa1XQWu9yr
5abNa8iDZYGzm3g7b+reHSMEBtkO6jN2jCaDCHsKKRJRVmo/c8uM8oE4z9RhoC6ETMIjcIgKSY3Z
vfRtDUU8z+uSLJcU/5aad7nRtFcBgXaACkj2Ah1BL3acCco9DsasAK5e/mNWOmxRiM7FIQh0dcA8
jRvKnHZ3Ujj1AXIokJfTrAlHf5GnGC3M41aeGfmTLOKphhZRxloak865ND1/5oLGCQS35XJaUBhf
ZVGk1aOAcKQ4+eJrX92peQxbZE2XQuVLZla389gUXlPxTCyvM4duZHWTA+wuNh8fmL91tLUnI41B
rASkIg7M6txPoMw04CXixJ3Z36VONUTQ6LGhQlGXoWuPkLRzwTFutTXAuX1bhIGFidWx8MhBe1Kf
Ss2LnQ1RsGvemnPU5eZ8NXq6Sua+te81t8tobGwnKiYTeEe7g750plkkAjU+jdqloDgf5tBqW3zJ
tvne6OJ339XldhhplxhmwOMMLDYReC/a2HQhttZA2fIJXSJQnHMLUiJImUJiDScn1VNY1zIIFe/z
C6nzsgvrXXp9ryz3zqvQ2IMs5ExrnPe2/F1n0NdgoQlFkmbY5/RSxLRcg+9s+Uvuivm0pc7x1lbm
K2KCd785WUCReNOpNV5sNHmZbe9Lek3KC2/LmVsZzSnMHto+Zq3BgfnWXENBCYuGnziVEpEmKW5L
3SYXnOzMisBvCzgB6obkPfBtZp4HRbnmNLQziO6dEhKskCOL/4UViCgsrB84m+sXrJSFAI9+Kk5y
X2bX2Kr/9vOr12tSedaMhYGfd79fX2QaPnfa0VZBKxKo6iVpefsV8oIYndmp5gS2GhflMwEBAF3L
UKTGNWqQF7bqnDt7IH9e4A9oUa7zIwdPDEb6c1gTJSoyu0qCvMtEVFFG4Cm98CafN+YD3bWM57yr
xjhFbSsmWXOq2z1jTy6C/4xigKKVoQouCZCfizbx/P+/tdXLbAQjmEQ9WBsghJanc5gZsQ6+Bu0p
8x5a/jUzIZTGv3/sG+eOLDpH6PQuNPDvijMkH1SnBypOTn3syn4vOyhxOEakx10xbjn0+j62dy7M
efUErePBKbX8mUxpfVJzlhjT9ZgCpXFpOPmCkTUsQ2dSd2CKqU+5Mq+cDCJ4BrlpoWhywT9WFxDQ
RkAcoZcEXBOgOO9q01WJz5l7o/NoW3/o98x+/tReLT+PFjmwOA54KN9/m0anAaa1UvsRjOGhA6Gh
cTwgrf7YCFl5wD9WsADXQqsZOdXqgeCzj3oxzZxHf/Jjwbap+kK3PZTMnW+Q34PIqy3i6veiZ+vF
fPrlEeT133rQ4Bv9hXtq3Z/5509BuwKIWdRa3qHsLKpSTLmKhZJN3MiWJYOTHzEWDFE398rM51s7
hbZZ0UW2IIklxIW7ZXWTvTO/ilugJdZ1ZQHzvYJsYhWO9dForjLgOC5s+XIlvnon7SXKR66/zOQB
wIXK29src1YddVMwtdwWwXhnOB60ikFfODTVxmYtYumyumuD4stoJERVR9O5hJX7O1P59g9Ae5UC
L4kpOrw363pZNdhgpYbO/J3VQdBFdJRElgFN4kw0jwiG2A3ArmKfl5WzSNtbe/iOhjYj2FYq8NW7
5q4LWBZlPZiCdOnGJc8aSASONPHQ+9xByPYS2+h6Ch9btrCABt7iHLj314Vx9FSr0Svs/E5pw02K
kbT3hRynuC8p2EERpd9ODaljJTESWOYetAfsYdNA4hKZyK+i7qpP+goYzXBUlr0DRRQB/OvtJ7RL
Ew8DZ8VpyKx6D34KfeOTwo1YB+HRufAuqUOsffOvvYXiDFzZ5nJdv7VHTQUBXrx5pzyPIQEvvZMN
XVp7/7Fnri+0tZXVCSitZppFByuE/KLojVPvc9f/QgSH2fL/X8Yqy5U9G1VdwIBEAlf4T6S/l5f4
Ed9dI4sRYJYsutCUIKZafRuwHCFhq8fsVAzTVQU4sGPYW9+AiGfTdXcjxLGJm8ZpkR5BsBOqOnj6
eBeX339zuv7aR8UbOgLLTbZapNZBAWUx0PaBnDPOCnur/Ltm+vKxkXMOAT2S/xlZPuWruN5HQ8Um
UCM/AUQPJE2JIS2Iehgn4xLS6exqwMMD9j4XJ29d+O7cgUITk+Yn2WLUthC/PA8C57S/8A6tn6G/
H22ZAAS7DAKR9QEn9TgIxFv5qSwKHnZ5v1MdVPMK8tCwARIT9p+WXLoH6V90zNtPBbsoiRJwz+Mm
NFefqscYtg0p4flozCDNVWk1/Zkc7mcQoSIS2nBg/EiRyHGIFt/OVd3GRslYLFyqowohcTh7XY8s
UY2h9tI5aXoKnXJoo4VzDeHijoCVLGSNanc90HBIhOruIetsCH11TO4KbgVJNijnFiUEcrLHzo41
64MbMQb9jpHs2W7U8MIde/ylAAXNIsMfWAJK9fLeyyueqLF1Yh90chFxB1DvBPWPpiMQ8bLNueFx
J7q6CKuRp7uZNnxjZFrs22L0dpkj+1B33hxrb+BXtJimpDUhiu2rChrMbekkXS6Nu3wBKkDSkKA+
1ECUL2+am24WdDvjbdsoFEsOaQ9pPgjANxB6dp3IoahpEG4OgCIFkJnpNVRnrdQg0Gv3gvtA8u40
mLK4ow7kJB0n+yMC0Fn4rmR3bHR1JHB7R6lpoApSCfALQ0f0htuVkzSQG45H2x3itur7BI3g7wCw
l5HjchLLYCIxchMRipyn137mmbfIsc17xZ3rDPdkA53DqR6hdZrypKAVaFpqme29TE87G9ygeK7J
JvMwR9eUwS/X5TOaobII/cDPYlYWZlKaLrZ0KI2Edqr6UkNANM66ikWjW5s45uB4Dh1v9Mm1Lop7
UGzYUFcf01NZ0h+2qIbdVPVNj/1XFAp+OFE7w+nyULv5VzpJUGmNQ/OFIKMdIHHuZF0k5fx1kqWr
opoE/M4IjCG2UWz9gUFc5cRDYNFvRZCZXy2tVWIM0kAONPn+kzVZ9Y/U5+QRcq7i2uRwxdaiv6VZ
65fZhpw49ucB3jElKde/uTEaDzNkSY9wkuIp4MIJ9trprEUTVqLA5RZBCEe0xA439x/MHXv3g4Lk
XpFRCFcGE6bmaq+PeujK7UrNyKk2y6AJKRQ00SNV6kfRFH1kYvobFBzW8D1VlJ9A+WbEKZiEMwjt
5ZC7H5l/Y7fDQ4ES5U4Ig0BI0ulApdMYMzZHFSEI/rL9yLm8LRrtJESDSStfPGVyfQFlxOnYOKLH
Phc/K3sqv9VZ0N3lNtBXNTbjqUQw5u1TqAJvBrvxHqYUex96Vp6dfEiT3xqkzh5Z23yzANR5UY31
tUqhdDgNqF72zgzVvsFQG+iVfpmN0d3gI4132Fv6YmNKMYL+A4mhh6pjm09iA1mFIBaV+RU6dq4b
T1pBWqHA8DUYOPEPCWJpCIfTZwdKwJCF5HUMCgCV+KOpvmU4ng1GMnh247S6w0IDIAgDaGpOP/zy
Rw9Ue5bWYW//zpg7h25TVTEZeIeP3OB/6EJN1wPmeUt4qaJgoH08e6mIXU3LjQbUCvVSC7qoZkE2
di/bvS2oA8nV3H9STmmiFZBmEcumDLMFKH9N8DkMgKfQIMxGM5pb1Ya88CFq3g0G1EQ94Jgg6Qu5
pGIotk5lty+qd4wfkDHswZgA1ULuN31kFcy48vKlzcACgNchThniIJtR4ZY8slQHcZe2cNSDzzCV
baVFsOVMikh2/vgHA/DmlQRl6o9OFGwPXXAXGqgCsxZWxSGRCIW3HW4fMxJuPsTM7Mkz5NqViCah
1XVTjdUP10CXIixA3hrZpZy3VHr9wS5bd9sMhp8MjPQvVleBTHAMGhIbPQSps2kIdlatnYiNufWC
zCMIy0pWjxbXxVYWSI56r8+vesC1T2PaNbjDDQiVgsNqKUybt11VuhtmGOoeOprTqWSqizsdoIxQ
z17cBZU49ob2DgYJ6A4565xAvbz6ApFpviuniUCI0a1DzUz/aiqEOHgK4o5ppSGNmJOAXWnuONdi
YmVsmPrkEkzulyk9ZQZJY+jS/YLGQxEWQ61Ch7EXREU8FJkBZqrU0zHmFoqNaQCIZNB6vq0GXYRG
AG37qm3xOkAv+ka10IPGtFIfWgxTBkJXZiidtE4UEw10kCHZe5Cthb8Jf9R1X+puU+iqu5ktSNia
AlNSNjQ5kpbpKXImQ8S5Ozm7LDPJJq0zmowgpYzajHTf8PSyZMrLIplHMK/6RgMVysIok6aCT/fC
8dBKcEEB6TlgYTdYBRFmQm/avmORJ2saodCZhrbOJYbMMnnfgNpkq2zY9TvpboLUrEOaVeNzrZkf
t4OG7idwqLcQQwd8qSvNfUVTvW0M1SS5340HqoshYbz3NhLapRuF638vK3OMDFl5ewfk7g8d74bI
UASy4CZAg34D51GVbyV+3nvxzEFCaUyY3Y2GBryVo62yONOAN1apdq4Z+MJ2VoV/uKkPweQc0sZU
KB6irb3I0Fby4NGRJCVanPeqBKeYrdrmXgrW7Lmcu6dWjnZMpsA5SUXwR9eSJZjd0d+rboJsezC1
ISU96GVdPWzrzspkXGK3QotmIHlgEOesGlrvmZXasW+L9qpZ1KDtiULrFl6MM13oB2d0AKfxgP3s
JZSErYIOkJY3eAh121/CtVUIHYAytAj8bKwEucKZTdHJINam8at860M2N5x0MO9AtYlTlgZZXNba
jka0Z0J7Zs5e1waIDFAVcA5Im6YhzEuIxtvKe6jKrDmM0EmGOrUJp/XmPGapEEnTmd6hyex+AyIN
Pwx6i99AXjRDr6jxY0O4HMT/iK1yH/UCe2zAE5jVX6sajBwphrH36I2kmxZl7M0QOF1omiwIp9pT
EXNB4TE1Lk2aEdrrdev9DOb+p/RH/2vfpwR8gwXuvM4yt7JHAVJ6EL+YiibdaUDirkr0JG6UkRdb
u+rEczUbaWS5nd5WrLYjrqgE2rQoYxNctRvXFHJbg9z0GmEBfHDq0VtGE2IjRU8T1EJOXZZTkMv5
6HqxVrrbIhXQKxCe08bT8tqUusc3RVMhRAXHuR8dkLY4lWHKiFCoCzt9waLW6kEx6FVjkipV7Gpo
PR5nSEDvhOrULZ9R3DGk9m5xkKZkLLPsTqjKvJW1yGPIGhibkhjDFnPyE9imSsMPOTPLGOzJzaYE
ZlLHXed3D5OV/QYAC+Mv7l2LKDMhXT68eBhemCIxG/Kb7U/qSNqu+uU0uvpCZy9L3BKKr4OZ/6xI
RcLUGFhUpfPSv6F2pHoEtBjuQCjg9nSjZWom0PHIMVKj/NidgzFB52aMUi5l0jcOdHsNDww97eDs
KOl0wgwCp8N4BZRuxddJACWSj5TfBc5cxnadQ8YB89Nh5jVBOIKuOckcYSQ5mYrEc7PcBFy2sdyt
U08o/MshaO7rfkxDJ89eshm4v0xrCd3rJncTB5n5MXfKHoD/tmSHkpbgAwQllbFFXaCLS0faB1dS
dUsz/9cgqyFsBJzeSZt8M3YjQtMhC3YpHfDucLyDBRNeMpW93qPo2EGLkOQbPxP1V9ti/jWUE/Sj
rw12UErMR8/ICi+s1KzElcxm9JRAL91GJeR6EXSjnnSnRlwIuYWh2A6NerwpqDGxqdIQ73Cro8Ik
6j1CMxHOacM2OSrh1/XYB08dYWkTgeSwO4wQTi5DnZpDG9YkLX6zvu6OjuHzB4b2yBU6cHPsCBtj
7jr3GiCXBn+bCm1sqJxwM7gFBHxnO4hniww7Jtp8J+igYqfyv2m4wU3aNPqmHFL+PLZeed3nUMOu
+MJMPfXFU44O8gYSqyLu5sAO7bY1HwOrKY5WZgBI7RY58qG22/J+wifkvH3sWQsinBmS9rRBiF7T
zke5yqWHXM91IrLmxVBSJXXp8eu67JoryNnom9zusx10Pts7l8nxwffabG/KEl4C3el965Z/8P8q
43ywO8AxcCzdfOq3FLqBe+Rb7bFtWkT1kgQo5jlDmuRAcx3ZJIzQGPwysS2gSLmDHIPn2fBkp661
8aRr3lGc6UdteiLJ85THdTkAh2zyPhRj21+Z1VxvJq+f7guH63unQh3bnh0S1kOnNrJKo6AM9piw
fq5QuY+7EtW8zBqqqOR1f2uNSJYUbsLIdGq1sSzmbAjVbmQrc9jmbk9iKLn/TisJdXqvbw9CFuRW
WBC7ZiYEpD1zCuU8gAewCPS1TXL9ndXQATaL1r4RoJwOmV+TuBpaD8/0WB1yU1TQyc6buJrNbU6M
MKCA/YGIZD4MGD9PdFq2B4NCatt2Uxlmc6bvIUJggbjIseIREzRXdpDSDWtKCGzPQ3BNoIsKmA+l
qPQVeNGlUI/ABvwqCx3cmTZuOI9CP1gvXCgF0Oj7KSuC75YkHOWftIstLfWdx2vnitRUH/zO/O2B
ECmyOkkO5WiPoYIKcYiSNNvMLlSGcmg6RBSBX+hKMSVe1wGLiyn5xBhHss1cswsLFpR/HKsDLZ6d
GXetV5WHQnR8U2WDGYFZNk8UWNdC3N6QZgbB27ZwFcSuTY0AlEI1B9RS8iiIi3nByQnQJW8w0FtU
UIWnOdv3LpjMxyBvwnRo8tAtsuarBoVWYg5pup+tnkezyeYDtabqO0rj3iaQZLye5fBnKiv25NgG
9tKtngeqjI3o0p+dUvxB2mVz1CyFgM5oWUdh+X2IUDRLesurtwjCs8gEPBHERdYQl7mwQWEIMnj0
3CBo47XGocuKHixX+LS34NBNIzSPdMxIfZuTgexTzH0DkDcZd45GVcIrHQFYaSNueqccTrwwxidX
k4dZc6gHNSanDyl17oAsMZ4MWkAovGKiCNuS5kfHahH8Zya7EjYVUemkf2hddVegxhkPaOfXewfP
VVTkIyIGo5q7yLTm+jnN2H2TT/6hKks0IuuyierCBExLySxKC7e5sltibvvaDKK2CfoNz9MKuAH3
GfXyYDcXrP5T9ZMbzpNeUqycJZWb9Ui9ZHvnaVJhwoHObogh4/neQxV/73WkjBDhmluwBPyRrKK7
3morjEdhGHcslA3Q4OxvuEGu82bgUZA15rG1+2Xb/GmvqUHjwq6+c14VW4Zka1NK1qGIYFcRI6g2
1bWBCBsZl3tA1W98EqM3btLZRAY5lvxLZRjyJQWs4eDhPGwLm2ZICZmBWdqsCYsqzeKgbVHL6jmB
wHk63/aGP4a5cMV9W6DCj0w1vaqgU5rwZjR2jvZZGw5QhUYw4ecbM5MCrz7TIbiNaFKD0DrMuvY3
wH1tyHCsdwbqBomWBg39URrJ3DTNCfHxHBqo2QNhAi/KqAtSATmSm6Ab2XXOZXGhWfa+dI1KHsUI
LoUaIDCBq0qeHAfPnWkwHzuy96zr+SLc5F1RF+w6qBXilwnCAXvVs6lVpjwUleej7m7Hcp9bDx/X
c8/9/a9+31lNQQ/gpA9Igd+ndyyNxktjVu+ruNSnULXApDLE1N6B5EY/wLs2pvMRwsYoDx5sczOV
l8bSzq3htZGlxvuqJq1c7g5eDyNVHlVG+EkmT5TS365h9Qko2ipq1Ph5H3VGASza189/ArqQ9mNc
CjNTaxbPyW8xE4Fq05Grb0dlf//0r2M8E7gFIAkW+e1VwT6VgzYkwN1HQ1rfAJAJUfG6gPU5s/9/
ex6AjcNZ3/NkI2iuGgUql9Tkd6D1B1f6ZP/5eBlnHAk2wD+GAVqkHuveJVjhqY1+mnsk9I6oo6xR
mXj82MT71gZdFJFt0IstDZS1TnnnCAzJmaA1AgIuVJb/4LIeBXn2za+BXvrY1vu2A2yBYAEGobwO
c29ddkJhsZ0bkA9oNu4q3h/mtAN+mTxaKvtpTh3Kj5cUIs5+JbQOwaS1jCF7K5NmY4xB6YDLQUDZ
kx3y7NfHS1qOwaqnQZd53UWkCLTla0Q56AEQw9Spf7TqX7Pe8mIKUTsNRxx8k6Dqcwn1tQauLOcS
UxGYAgSGBDTLawEpt6GU1bnpHeveJwmIRV10Q+TBTb3tIPKkKnqUaOvH0TZA+gns5MfLPbedy732
l4MDvJ/Lv3916aCKqw1Qx3vHSZvRNBxK75Nimv+s75WF5Ui8stDjTc+H0vKOGTTROFzSf/x4Cecc
fhH4xfOC2XQMJr81IBAgBygewSOgnILGyuCgbdMsz+wniR0WYQ+Q92G70BzFKKC//CWvljIRxPqD
30EZACWzfAoN1G0/Xsv7Tv1iAph80NMsMoFr9yvBUWnqVlrHGf2xDElZfawXAtLmMDcYjOfqxdD8
i5k6W0XrbY76nTP+/vhveOcSgHzjGgdeD01g213HApXZushaMcProyBa5fx6ttWFsdSzJjBoBC4O
f5mlW21kg/wLpQN7Og6q+WPK9ODzYPvxKt55xbKKVyZW8EbomJUZk9Z0rPR3UpOQ13djzcLc3Xxs
59JSVq82co4gECns1BBQoA0w1c6FS/acBYTPuOygWIjRqdVKcvR7yzEvYGGp/GUOULioyl4w8v4a
Aq4AdNDQyQZUE+/s+l6dWqeFmPVwlMrPaijZAUDUjjJAlk+VCus8b3esFOxqGsGxLbwiwDR7/ePj
zVxBBpcDBrQWAXcHYGEWBh7fHjBuAG/rdwzyNah7gMEUoGMEvk4Z2kSB3f4SlOisOVgBsw14c9+F
LKVCKbPz7OHoQovVFl/GToUMNXvVvTiXhizfvSvL0iBNF4BeC465Pti+tEE/IsbhOI7ms+VmG+l5
ILtHYwphxgTI9VDHhcd+kjm4cKectQy4EhTfEL1Cn+Dtpg6O3ciUkOHYAZU1dD64lknk1fvUvib9
SQ11lBqXkL/vAgOsFjAjHz4LhsV3gBvQHXloIwUDElExx/XEbz3eRLloYxFoL5xwmSXcsi4xVJwz
60KqALc0ZFXgRm+X6ijVGVTS8QjaelS8t7mVYcrCijo83fivovncZMtff4W74oMCVYS8aXWPMToK
1LBt+CuEbTmKgJdmDt7Fi9hH4GDQXFvEE9FGf7sgmwm37nqBs4+kOgDkvIacNtOfjgIWM+irLWhM
TLOuw1IcAWArLDUeZ8ePx9m9I5Xcf3y0z9xiMIH7C3hzpAhrlPb/kXZmvXErSRb+RQS4L69kbVop
yZZs+YXwvba57zt//Xx0T48lFlGEPP3gbqCBCmUyMzKWE+cEo0BLo+qGh7jI28fRpHBMPuJ/umxl
7QAYZAewfiHrC2HN+/1KLa/SNCEfHjiStDxPWjX3z66LtnVa7TR0r5fNrTwyYM7/mFs4/6YduzH0
yuFBCsBtDD9N+fNo6Ycp+veynbUrPA+BYQyU+Bn/disWVuBr2fBAOetJ8wqc8PgaFeqLUUu2HIaO
1Rn3COb4G65j9VXgPqFMhzTl+QBannQJqs7R+BDmgS15ApWgcq9pNdW5H6X1nBOb+so/6haSbu3Y
G+DAZv4poLVLvJ4gWFpThxKCh9OzRNaiVb8K4cflPV0LtX7Ll8/kaStjz7oY0q7sp+HBF10NDyyD
1hESt/V0JzRqW5oe9eykiHeB/Evorz6OFsQV45X5V+XlQQT+/VFV+xxehlCUH8oM9RYKvX4YnC4v
ceXOvTOx8PxmU8616kl+MNPaHtKjIG/AzlYe0HcGFv6vUmGe1wLWIEV0ipRD0F71BZCU6LWVN0KD
1bUA9+X1nCUkl1Iq4oS4ZEQj8MHQ/9W971tacxs/v9RRAcM9mWOW8PN2ITMbkWyVX1aOtMF0Im4J
/0eMv4Cghp1K1yqUqFBVCJOWYys9l6CCruNe0jZeJWn+rXc5rDkTKM0xPJIzIuOQ74/WmNfZJOXi
hGCwZUvhq6rcTkJ4CPIXNfgBew8tsvJkgmZTN0ooK+73nWH5veFIixV/0NrpoYr8T4iW7gPli9c/
NHK9m8JTm2ykEWvuCXvweHIw0JtdYlULIVOIU+sJaTP/Hz0W/ynkYk/3inZD4EOynR3F0Ph38spb
BXKGDee4cmQYasItgwOfB90XwUYLGYCZtujqyWhxF3a88bZs/PySHKjL4nAM4HB/oGpg5+W+MX99
2DuAroW3mKPCS7mEsft1WEdm344PqS+8tINIxO2bWzRYKy/XWyPKojDbdGIkwn6O+KCHAcQpn7JY
e6Zq/wPKV4eL8iogSWfDinO8vLq1+ybpzNFxC4D5LrPYqqJ5IHkRQr31V50YuznSQL1sYuX1Z+Ds
j4n5C74pB6i1rg9dnU4PobFTv1fSPq1OtbZxxlePAZpiOA5K80SZ743UzEwr9YQRZdppo5Nt7dP6
Iv78/uLKeqMgFpqPoHKP/Kt1hPa3b07yVtVu/Wv8saIsVtGYY5t1WFHKvajY4Vdlax2rFn4HsKSx
aP0ubmOuj7BQBb/zfSRJEzP4lsj1vVR9UGdjDvmNWT5bndNlqEAWB9oMglqdynF80MjjBrm59+ld
Q7ZXf4wH5H/tkLOBqzZIFxeRLFpG4PlaJFa1/C4DJV3DYPk3Dsz8Y2IRvVp+ZfhlggkfYFPNQLoW
bVzC1cNF2MjIiQxp4HK6UQDnkNeRThGG8DHrZSA6+s4rrnt5azJu7ZrgiCml8klIM+a/5M1djJka
GEdBpXlC+RSo3cZWrZ2utz+/+BoJSauVAmNF/9DYyT87ALjqX3gT4l2c1SyZdcZdM9aCEo5RLj4E
5S5EZugKxIm+lZevbhOtAaqMMF+es1Z0whTlNX0ycwKSJDaFHZna88fdIpU39Msox1JuWOyVmXge
mHdffDCNfm9FKCt4uR1a0t7coulbWw0v/8yAS4ZCevT+o4OWpQAhjLS0KrM7SonM0Dj1xo3BujUr
qohmFQUpjvIychMNQdOFkGiqrw/CHrzRx7eLbyFpEO7Se13OQqG7qonepE0PowJQ1C8d+JD3bX7S
m42wcO0M/x6GhANuZb5crjNNDXpveKClb3fx9wxUT5ZupBwbRpbuEbxxrbTFbCT3naL80qkURbbK
FatGSJtmhW2UxJYnjFg96whVBr5I5aTCL2wxNf3p8ndZ/ewzmxRTNXTrlr0tmXpdZJnUdkxAwdf1
VMhHz29/XTYy34VlpM7X+D8jixPslYbXVjqJbhpTeixfM0AHhfLKl7HyvzFF/xR6FEbvzhKQXu1S
azKA+UfDmNuyWN1YgvTY5dNdEenPFZjny0tb3T/oM6lbgXGGYvf95SySSoV0UB0fRK2wTYnEUNlw
ymuvC8o9/7WwHFSOqQLWaBiPD5ZxjITdlNzNOMCtAExaPW3U9iScALG2sngmPQgni0Zl4zIGeogs
7np9tJOk/uJXSXPjtaXiTDRMqByn5lehZXozBQJhp8NgHlurZaam20VG2m68rWu5lgZxPngEajPQ
Or7f3y5PpFhoaQsUafVPKoV3WtEGzDg1odPQDrOtVOyOZZZ+PA833ppdnNjRL3pQNsH4UGm9AxRx
v6nELq2dHI3RUC4dq+O4vl+ZYYWtFTBXw8q8noon4LRsNNMDwbZ+I45SfSN0oXUP0p3RCsSlGTUW
0n2UxuVVCUftEfHu0hFaNdrIyNYOwsxlQFd9zuOXjRht8vIgU9nxqL8JvrbwkmwxZq5aQG2UMT6Y
M6n0vV95GDC/FjJ3+SCBOY3NClzvc15voVnW7g00eBD+wZEnnjGalSbA8c7CRyeDtMum5ppibw2j
S7KlrbVlaHFWfDPLmi7CkDcC3BDzHdgod0gHRi4t9ctld7N2HZgFJ1Sm4jEL0L/fuj70J/w1LcVM
EO7kftznlnBUQ4AuEn2jpI++iGL47bLNtfXN30khBJnZ5hcuzkegwDMr5h8Tz83VRzMR7Z55kM0q
7JyDLV+JN3aWj6pojZFcjURt8ZDtcgaPahBp1iDYYvxiJDdKToWFCx9dd4l4VTRbrCFrW/vW/CIF
TUf4ogDRTQ8gVevRqaYveX0tabtUttGtv7yla3ef95DN5G2XtGXDI4yHMtRbmUSxQvCrUBubzDHc
eDhWF0QSByUuQJ8zemczgmfF8vlu5F7dURGE6VYpfc/xlIbyUZwY+0jt4091Goy7y8tbtUzgMqsJ
88+yF6ckTNWpGltZ1acKVoCKvsEkfw4l9WAhj7RFHroSXhDpU4AxaYedK/FW8yh1i7L9gyY8ktyn
46GoZiE1XbQvr2vFcREYE4mh48KTvHyK1UYfmLGNxAeGHJyp+sHUQxO8XLaxcjRMulN09mCqm7W2
3t/wWpTGeAR9/JBPn73poPVXf/H7MC/NoT6Z5FLqusj9VOqGUnqoLWcYEW3f2KPVv//N7y/+frGa
/KxVEulBtiInlmAP+zCCELkCEi6+ALOYTO7Px+FNEixS/0iTUREfxCC25d0ElvXjWwSDAiQSkPPP
TZP3Bgqz7tMUheIH826MFFtg0OmygfkHFp6Oozr/NG8/aMv5nL1ZQSN2Se2pnfygJrGxa630yos0
pnPbG2XQTpXWxE7VW0jDxPHXy5ZXfLkJJSb6jHTYaFkvltZmsZgJMzxyYvygd/QXwdp32dPfGAFX
Zlhw3sCF+355SuwhrjQE4kMitqENW8tV64meE1jTs66kx78wJlM4pJOG7unyNKi9BSsJyLKHttaf
4Gb5NE8O2kIauaM5bixsxa/RBP9ja/7/33w3oWaSVR5icv7uW5J8k6pHHeLa8Lm1XlKr3jgka86G
ViiwQ0BYKOAsoiTFyEwDzdbpoWOon1ANsh0S2iDYeCXW7iutOdCsUCpAkraIKGTmQQxvormQKY1j
WQySf7y0S1HBoh3OIvBni8Ne+Sqz74VO/Zj5AO0mGtqNjVpfwR8DC4+j6BOwgkaZHtTyoPfXzc/L
B2ztO5DY4WnYIkNe0j8MVW80o0dLK3odxWsTUbUPCkLPRVCeQ14vzjAt6GXx2zL6YIos+klm+qPI
bC3ZcmjnD6RCjME5osLOfy99viR7SYSgmuFqIaMC/rVvfUVQx1GCYTdEGxXd86+BLQ3WESrHVKyW
9xFu30KTwlF3c+k6vAm9D5+m9z+/uIJhD6XGlPHz2a2ZO9ZWzLTSLgcjhdefgZY025Z/vlWMOlPe
jeYy0hNUkEZMbuv7dlteSdpVIYs7vfkhzbPSwo3EHKk0fP7oaXtvf7E+C2orpuV6zRWs55JZ5iq8
btMtjZHzI42RWT6SMiz4pWXRp7P6rJxiFimFT2XLNGZqx8bj5YX8hnq9f+RmVCXzWOCxiDSWULB8
AmwREQK71ObLQ9Wleg+uT9E+BW0YfWGXmXbN0ydrrJuXtpAVAtEiDGwhkTxnSgoG7xurvhlko7oH
WEv3cfKi8EsrtOaxUYf2Rg0D/6HJ2vRqivz0qPlVfCwUIG7iCOKAwXC5ORGKIH2oZeNwPRA7nnwK
DXYNHuJq7JrkO4Sf/iOdp4Fevil9iadB+OKPmngwxqB46AJIZdpqSmxPTxhW8KfYziIpdowUFrQ+
bqXsyMPTMdI2FfdRHnVAmVXleYisT03e/Ap7QbaFQEyYkpvCZjpQBwuuqnH0X3M0+W6q0WyvTL0M
wTp1pf5rAEv2M5FHYXf5S6x97fklJuOmlnj25hsZE1ZiqvG1SzdhSJTZ7S06pbVL/8bEMnVTaq/K
AljjXevQxoxLHS6vYM1/UY8wtXlyRzkLKPKcnRxaX3dFsT+EwmkqfxZpY6vetc/k4WVb60v5Y2tx
AYeyURO/wtbYmUdf/Ana4cMvLpB+poPwkjy7jEG/jyKk3M+UkpfflbpDsdf80+UFnId4MxPgXLz5
Tf0kyu9/3vALyoW+ZLrS8KklBSq1GeVzUreqOCsbpcOxSQQrm7jLZcGwjkK/FKTOdEPxW3eTmV8/
vgzWwbAxkTIYy2UQaapCEfiW7kpKbT4O5gRdh1YKn6dE6e+1jpm/y/Z+88G/91cqvGnUurkqzAks
gQ5e2/rdlFQZKKmyfOyL8UoyGYjeV2E8QVlkilA1Za+mWMT7forre6OBOCnKssD2mgqG5JByQW3W
1qccF2XuTR1V0bFSMzbfNBylkOPvGoC+x5npwMmFvP18eQHn13z26Boor1mHAFnD99/dT6SmE9Ip
deEIELXOpkVhVx9urqgIWOPXobwHeLqM7ANibZUhzsg1xNKZAMrV+gB5xO7ySs5P1myFWgzx0Eq4
klVBLketEblCdyNZgdNPH3eJWCBinOkc0bBcPoCwQo+DKmaxq6SwaxvM+Yut3Q+/Pr4OODlJhFBG
JcZbRPBDPmo07/LEHUMnfxw3mcn4oIsDywX58/PzNr7JRiKp6YNe4+c97XUK90JzC3fGY9kco+Yo
fZBAn3uBeDz1CEZnqVidfXm6KcYoDpwuOUvuDAa68/7+o7uFoJ9BvZm2LVSOSzQkygBGZDZ57Rby
rhaO+ZZw9uy4328Xv08KYgFFBKK7vB+hKgahpUS1K8l1dNeJZvBZRMb4Otb06lb1uv5KEUTDHoJ+
a37s/DzPlud2Pbz95pmoZKAWcp00Ze02P7rEjp7/Yt/e/PriwRLHGDKOqKrdMoIIv7nq/qIeQiuE
ORPCB2QB+Pf9QbNgoy8jXJ47wFEw2pGyFY+ubRAua1Z/B0RxrnrmS2omqXz6sboXvFtR2fwCcxa7
+PjyLGvCQBN6tWcEtlIrw7Ng+rLbYGvvZ73meBXsS46YpGgK+FMbfibPyx3md1WnEMgyHKvpSrJu
bwzRFhg04XvuWZXTiF7lcLOfOTGSnXR+hxxSoLcHgT7qY9zJ5i7IA/OAJLMAAcSI9mICfRKMkp/8
vtHuTU8TTlGQgdyDzXB6Hix91G0pl/1TzVxIAX2cUR/EPJpuernsn9OGN7zXwx5oSS0YglNX4rjL
qsL4cGY1O13kkZjQg5ByGZbI3AU9SwPZhY+7VGBX/HBg9f73F3FJWBV9XevzJxg/peoXVft++R6c
B4nvf3/hbZtOQoIU8Vi3T0Lxoa+a+k4CMQHDotgpDKsHcnifSWL5Ybc1CyBzMSh1I4a8dFtiGcjt
2IzlQztdGdFn84OyIjje97+/2LbSrFqvaPn9jnFdCfcxbMSLK/BSLHCtiWHmatOyOgDz+9APXVEC
b35KQGdoA0R5UDfA3psId2WQ7PrydczS3eXvtYhTZ0Am/Q+KHsCZwJUuYwkd3hJLwN5dPz1CCwdJ
1E2mfpG2APALt//bzJw1EGsDbaGH/N55jZGQmIPhdXd6bkDxxFxZOqZfjSH+V4zpu/RW+jK1qrdx
2NcWN8PBzNmncaEW0SuZo2IJUTfdNYHn9L47ad98MscpjT9qCI1smJVBaAJEOlc1g+DO0sseAh/V
ulWzZ6/5mpGAGa8f/FZYQVgRXVxGM9jFxQsgeWNqxLoWul33dYCaSKwgYzINyAS3CjBnGzdbmsuF
rEYEVLH4XFGMamSgeqEbacq1lARHlXC2TfLrRDc3Dv7i1YGRHSYZjecYlJh6/iy3nTb1OkxC7pje
GIdi2vCni3j898+Dp6AGMg8bIUawOHhyIXupYAVuJWSH0og/j6m81+tpA4y+rFj9x44Fwpl+iHzO
ZDxYYlGrw8yWqqQ7pTio2S9f+RTGd177FOoEg5+KjIebqdBoeILBc+MALtzu/5qHrgB0BowCy2Y+
ERvsimITumVvYLj8BD/ItxZWIDQ+rqco2vDyq7tKdPhfc/NHfRP0TkNUJIFWh24sQ6SdxbDafg2m
4+XjvnYyZjznf40sjruoDn2qQSrlZn1tG8q1VW/cp5VVcOoU0j1y25WWepCPktqzCtCvjpVKTqq+
pPnVh1eBkRkEZ6K/e+ZgBYhZWkUwQ1dKXj39Jfv4h2dEhco4bCcrlVLOnVg2aRK5hVgaewGU5E3m
q913q9D13zHPk2X2W3Cr1Y2T8QvAyYhJl6Fon5r+1EMu5o6W6Mhm6YzWVRBsQYZXnBC5DgnPDFGB
i2NRodGpMxSDP/H9UZtv1cdseInqkfHcjS909jbx+GEFS9xbktHFOVOJtpJQM2K3iaXoMJqDeGgK
z9qJvfqMnBlBi2RBYxIV2sYBX87OzLcWMBUOFtzRnNktgiUB9k497aLEVcA2SYJ6BKN0EHLz2yDX
V11e/GTA8C6G+1kts1t5Cw94/hVnMOssyMYVwNMvXKM4KonZUjBxxcd6YNATOazDR8/+OwvLTn0m
i6la6FiANlF7asoy+z7Ecrd1UFYXAnsGpGO4X6rc770R8z+eEkh+7g7DIfsxtD918/HjC2HvgXtT
/ZTPBta71krKqcoKV2VAHaI9tdqJRV/sL1tZOQ9ge0CKwGdKffVsFFEZZDhrpapwxSS590RoweQA
bNGLEj1TPr6l+rYLJB3lMWvXN1uR4Jm7hRgEEjj+Mxd3zzB+Y68zrRVJk1vXnXVVRzAoWzBtbtSu
5m/xJgVk5Pe9lcXLIUS5L6XmNLlo2IYjBLFwPKajuS/TKxRNVJQMeDwvb+uZH8GkCeqVvtvMF7Sc
PSonH7ojGMZdA1rI20zJJjcdPKgxE3gNLaWKNg7Lqj3Q6HM8Q89l2TK2rKyeosqb3KFKQxhltb2R
pbdWEf3bpltFurOjP6/tja3Fdlo5Q2meFYiuUEyuqdTHrhqe9GlLhnrdDE8k4jPIky5h6ULhVwrK
d5MLWSNU+hUSIwM5XVn1G4HFyt6BiaG4oZGWzJfg/VVWgcRMI3NCrgIxWPElru6V5nsdBbvLR0KS
z48h6BUOBKAsesrLEQ6lbOKyhebJFXP5yYBWcIqnvTXdzLKDkIQ6UYdECXNd2m0gePWpK5N2b3aw
SF/+O86eHsrqiMmqc4+OXV0+cQLoaDVJU8GdWskW/b2f7+H0tgXvUxZ3NiQsl82tfEbMESqgCo+W
wvImUGMT4GFh1SHUp+a17D2D3f1/mVgCGawyFDTVawXikXsh/irrx1rdeK9XHNXbVSiLM5JA5qyp
VS+4SXLos0Mcb3SGNnZJmc/Om+DWDHPubMUudbNuJqBqCzJQuX+5vFFrn56ghmqFBaSBKZz3VlQx
T4VUMD23Uf4NzAQi4Ie+uZKEG2uE8Nrfmo1c2zR02FAD4sGni7dIhbMokBXfkj23n16Zj+Hqdhvb
Jq3d3bcm5hW/2bdR6IpWjjAB9MC81VPlJe6z6z7SAldIivRUjzOjdpNXUJGAE4HdGuGmdvwO2moH
YYPjecpTDnGcPZltsXHh176pxNqB2DAZfUYCNJNpqr7neW4y3eTGLczltgHDxeVPurYB+Pvf7UQG
hJa17bhK1LEeRdMdKTVcffZulGqjzEVIwyYu3k8Qg/9n42xSN8hh3gc158qDKbkj5MBO1omjU/QU
nGsT/oJ0KP4tIgMGVlPpv+Z6me/rQTGuOl0vdmRbr1IEQ0UY+T9qwsKdVEvUX/1cd7TSgjw81brr
HBPXcpQWpxJW4ys/61B9iLsK+mpoSI+CWOdIFnDD/S6mZWOKrQ5tvR9caSHvaqmgxjGmXWVTv5VO
6KeWjqwyBwQl9zej06X90HbZDpE7fVeXop3oSr+rW1PYqaHKVJJTSkgSik+9rgPI7XLHryDOLiaL
WYekuodrXLBHP0f3DO5rO+p6+V4JVYiVZam2C0kp7LQdqts+ktJbuTf6kziE4jGy9Pw2bGCxR0RL
uBOy8GuZGTXjzuaQfq27oRHhAE3yXeJLY2PXYyUc4Ztr9p0CKrCJgSJEvqScFFKFL6kfKEdLk5Ud
gOHmuq+88DrL9eROaoXmGv2PyBZhc7upDbF2g8CQHKmDq2BsmXoMBeMlCBPl2usNbz/KRnatTnV0
ii2tOrapiD5XUNb3AdWdXa2E+iFP67l5ZXlO6GnwhJfwTsspsgAZfOCOF3fKvtKV7NCD8Do0hjDs
JhNRFJig+9u8CSBrVyB69lspPg2yV+yHuJWvpoCCdtPm1lWaDPJutNTAGYsBKFLVavBvG+NtMUI0
XPNM3npmDBGU2utHcRLbz6YgFLYeGZ5bGZF36KlLubWB8p2GrgQiOkWJBp4q7VRRMA+q5iEGh445
ugGVXSG+4UBgIj5fvnpn9Y+ZfEBCYFRncpmu4nz/3/ieRLfKOjQr3R1Q9gIov4u98SgY3m3nod+R
xNLWy73iUDDIHQdfzUO67F1KUuMPzdToboTkCtyqn1VBvBss7dflda2aoXpJI46K3Hlduxgj8hJP
d2UVxmRBkr+2stIcc1krTpctrTov4gLoDXiWzoBCiRqEXePppssQpGPQp4FWPd0BUn6JWvnLZVtr
bx9t/hn5CnIYvOP7rxWaWkGk53uuNWSmjSu9AYJ7B7oEIRMzP8YjKinJh7VVibVgHaLaQ5uAovDi
wS2SsI076Ixc+RuSN9n+8pJW/fKbX18EDZWCsLWQ8+t6njhyFO20dqOSuXLE2S/a2EzRsILlEYcb
IoHOePBcKU2ufSU4Qhi/yywoRAOCViHUNw7E2orIRSm/KBoxwzKNYaA2mpip5iNN6c+2CPZVFP7F
kma1TOaveNHOxgRHylVtp/Sem4We06jirZHHtiH9KLVmHwjWxuO5cpdMgHCA3Yi5qAgvTh0qo16U
5jMZqjztUBG7j7XokEzjxknYMrMIg6Ko75Kxmyx3MtxQLmnWXhGXbYQaa4fh7VoWJQ8kr3uzHTEi
pW7eX6WFrQy3Rb+T6w1AztpVfWPIXACTizaaUBjAkNIee+Oxz58YImbMULGn4letbZTRN/Zu2cab
dIh3w3rEWmc9K0J0bPTxxuMxu3xZV83Qhp7FiWc+l0XdrUbPSTaSwXJHMEDRQ6rsBGEjSVlzpwxH
gByn9ktFZ+Ftgr4tVHOSWQmzPp3ooSNxbeaRI0tPl9eyUlChX/8bszxTty37hp5WMjNq+JYryLdN
/yskzlLC68rbW6icpeI+7rZwzFsW56W/eWtlD7UwD1CYa9XlocgLxygeB+1ba9HHy0+BXOx6Bk4u
r3L1GL5Z5eLu6j2xbDVis1RTJ85SwqsX3YrtFrG8Gg6eflA30pnVD0gxbB4BgkdOX5yREUZ80Ufk
wSUCm6R456NA1nuvUfjv5ZWt2pmnmOYiLMOEC3cBAtaPaVBZrlzrMx0ekzrffKs+eM3GTV7z5/Pr
wWmEHl1eIhIloYsFRfQst6hEG8kdSOE3tuy8fjmjBHmaDPCCdEOXZ9HQ1ESBdk93Ietys1I9pqb+
uewHPpOGMtK4t0wrAUARlHYZBkcrUn5c3syVi03DgzjQBMZC/L24dULc+8DeU+CKo1HbaeejKzZF
/c4sEey6bGrFA2OKITFwZUxVLCHqcVyLKJzFuqsLX6bh5PdkErF+CuV/mCjc2NjVZeGoGEqQocDW
FsFFL5ZxnY+y7tZRYxuecrBG49CXfxPTMlbD0BX9CFKzxZFnqqcucjPQXWQT3VqUO1tRfPXQoaRz
vLx5YFnO81gOigLvHtTh5tlRUaw2FkMNhH1leqDyBKN15MGT7NCvnMoEWto5xfAk0CsIympf6iDr
dAtebKEqfjJsnn8JY8Y3bbmppFNmAbIstbSKnEpSH0t0PW4IKoeDUObhTo/S3vGTvkDhQ2MMUlNz
bcdf9XOMpf6ulqruk48cyi4eg+yqL9viitFonanhSj/qqm/dBiWcIqrW1Q64Ji9AtyQr733BUh5k
L2idzE9HRw8NZLah1jh6chO4COrE+7Fv/L2MsjGxYN7t/XTqHB8Qy1NaefpVmVW6XYlqtytyUEi6
lmfOpLbTnR/1/2Qpf4EZGv51P6tT1jyJT0hZeadeRbdFoTzmFFI42b1fWceiFJW7pqvN27DsPvu9
OByHnDfN1yLzxgTHeQx8L3eQ8Rpu/CRuCH79Xv4S+adJPUTACHKpvNGozoS4hTbbh4rQkZyaxnVB
Q+wEYqM7RmI2Mmoxie5oqONjymDcZzou8k0No8heYPbLjmQk59QBxYIUbc2fmceC4kqZroMMjQ2k
VZPrsmerjNiyPsdVQ/FnTOpjgurIwSzR/zG6Qrrif6E2Fre+0xZhu0uUBvWzWvFtkjnfVswaBVJf
0e2oQTaoU5k/hlQo3jE81TpcHvRV86jZSVPZ/WoHQ0C2C0EjUQnN6xRo/F1Xaup1WSX9vT4gfeCX
inFbVlXieGoknGLAZC9xIDYcLGUY7LAzpecMnbQNV7zymtFx1EAIg0mxuNLvX9BeMws1rXXN9YJp
nyXPQvuzG4qdF8d20f9TIPi2cd0WwLu56/LO4OLJVgIUrgSTyYCucqv0dVD+ybx7KCA15ZFyp12L
CLePG52eNaf1dpGLJ5uoDVFPFDXddDohy1JptqYfLq9r5UmbtSLniSoa28BV3u9jCDxZp75gEPsg
kkiC7BUbjmptERqpAr9DPeoMQRT7sjIh4mK4nfJD8pS9MSH/qm/Nzi1ZKH5/HyB/9Pxm3g9wnu8X
MsgtjyrUr26cacLB64r8VBXQMght/s/QtuqN5SnKl0TVI2eEJNPRerHaJVWUHabYKHasoH6MUiSW
Lu/v6urB6dKJQZIEhMH7P0vrY8QkPfZXM6HT65wSL91sMQ6sGYHeTDTZXerTy4qm0CbI39Sd5vrl
r27WXdxZ5c/L61g7J29NLMKCokgaBR1szdVuawRaw2EL/zUftEVVFtwNK5gF5uWz6co+8toEQm2N
xm3+qqPc43g5Y91eKL5oVU1EHvm7y0ta2zVkPcieAYRByzK/r2+C8CLWkgwpQU5MafwCA+ffQiKE
cFmcb2HB1DVvpaGmQ2BF+eFsENunlhwH02S6vhmVSKpN/aHtyi9im8gOlJc/6jFPd56cGnuz7BXH
LKP42CDVZnehjFSdpfr3equlNl2OyJnCPDxU0iTchgSK9LzkYd+NsXVAVEm8EkwmvY2yokgfoSE3
DNbg5GEqXeUFxOxUK/UbX6/1oxUOPhqIYvYSTkGx1wWhPaj+SUxhoIXbtrF2LTxNJ5GMi7JoPDw2
0ZBeUUwdKEoO6p5XRTx0ogGyIjAFnoGOt7geKtuslC3nu7F9y6ksfZCVMfGYBGKecIdw3pe+g3RN
hy0cwNCxGjtHyuBg+4vjwdA3BPczyn4J68yVXG96X8VoN96ORf4CxO6zH1nGhp21m6W9sbPIXixf
LIds0ky3pyowhqGtTtbG47WSIDEz+2cpi5MuW4kZZhRB3bp4kZMbhGz3ivopIBz7f23ZkpWX8WI/
UyuW4pcvrS4RnUA5vTGW+zuEXjqKN4tZJiilKjEWiSdxi5wSYZh9TnQB0YH6vq3DH3Gmf2K1pR2V
6ilWwjtILmwNneoRMbS/WSzvAvgBOBSWmZpQZyP5Zm26nZA4QgH0Lap3KELsL5tZopr/87DNhN5Q
gjC0sqRY0SBejROhR/sPPVQvK68hmbc7ST2po/JaaeoPlMFP+dRfGVN4ddn2moecSQFn2DFVv2Wz
uxEzpSuSZP6ejiA6kPSrT39jAbwv1ACgIpbhh1zlU5pbhenq2b2IXlwaPWX1Bu3P2gUj9tApDjCT
wwTeez8vetBUENwabuXZQXdo/I1dWjKO/f5Cbw0sbrAmWEVlNiO1yvI+El5Ts7Xr4aQZt2LMlMS+
pdLXW6e+7exWu2uLuyFu7Lb/cXknV8/J279iccnLVBBQVGOZYnovDkghB6YjqPs4/663ppMFPyXv
2AW/Llvd2NulkFs8yICteAVcI82ZV9Bf6mRLD2N9YQC2Zz5HANXLnLpMAxhGgshwoyF2y3K8MdGA
RxOtcLXK+woTwHfS7k+I5v4byebGrv4+4ktvM3eOjLlRpTNN+/7wBIbo1ZqUEx+3Sik6yAUyNj15
9ZXZqu1JL1GQ0U0/e07C0XPrgJy1nZpsr4sNhUqEmG2hEP6toT90gKN0u9D3gpPUycbBnAbE20cE
wwtL/j6OlU4f2bL2rYWOSlCK4kuHNO/eB/Z/iEFU2l6mVClShYCvL39DZfWa0xgBygiQ50zGJTNr
MEuBYbhyjKNsf+m1kN12vS6fDLmQDjlUbU6b6wGqtjmxe1OZhyKVc3Lt0eI8C+mjQWHsmAZt99iX
nk4DczKEVzEOtX2ExEftjF5q2TQqvJNPeIQj0UVkdr3qKFFtcABWCg54hvKaJF29tVIkfuE5tR48
r0X/WiiV21KjkZroY/liVRvu4feDsfzEM3UdeKl5Mmzp5fym0eI2qSnGQlcvl9Y/1Sh9nTSAzE3+
ZDQx/UnvUTQbl9LHoyRUgNKUe0uakGxOJsogytdUjK8aJersUi1vA/NX0IUA1ZWtm7B62SinEocT
59PxeX8WhwiZ+ooAxA2nfK9o7V5XTpePwvpJ+GNh/gvehMRhgwK0JpGtwHezg+NyJ8zy9NnHGFr/
4y+htmTTYW44A3loQSCA9ZYN1yzKz3KaX0+GvGFi3Wn8sbFMiYpekiuE+ww3b4XrpNWpmerTT7No
UFaIO1eVov0wCNdZl+2nIHy9vI1r8RYqbP9doLVIltRGtdKIS+4Oqo/gxldDf8yprEFY8v+zsyhq
wmvtjVLCIkvT6QLbaO5R7JHNjRLB/5B2XcuR48j2ixgBErSvJMvJFSW12r0wpO4egt6D5uvvoXb3
dhWKUQhpYl8mVjPMgkskMk+es/YyW+rneLvjDQOCivNNYbVMyZS6sI/9V/BD+CZq27VLjcJPJMHA
6v4+MbRM68nuAzrc5D2Q8cdZ9yjWSabOI/u+EAiwxmx53OH733tQqgL/Igmz176/iF3glY8XpSEC
GkJ7RndTWoKwoAl7N3e6h05JPxF1om0JuBggsFCDFbaWqo+MRilOaNH6JH+Kvncy0qvVUSwiSRBQ
RUFZpDlayAqYyamFTLnmmiXPXYVr8WemCvUNCD/Bu1+QNAMS0y6diDDCi/1MO9Dp+dfPxuowlqZD
pPxRyxC5iLSUxVqeOngmROWWtq9hZEvGsHYulnhygc0sT3sh4CI1iYu6ZM4xIntHe0McvUnSG72Z
92kkcWdrfvnE1Lu3OzkZbKJKiioXqq0RekHBx9m7HX3+xIShSgeU9+KhL8Ish5R2UaYOKBEgYhGF
kJiUUemsrgkYjZGJAzD5Aj/itOYUqQaYNhhBYq5x51hWWJVZ0M5dSJrMVtZEeCxVuddCXFviClfX
AZlMVP9QbrygpmBzP6R5iDwOEi0j/9PEe63eXV+G1V0FFi20faA36AKjElaQFjfzECZqAt7BDOSD
xZARX81L4jVNr+0sLVU/ce9jTPC9S/n7gjybGx2oXDK8qdMJLEDGbclvR5l+ycXcoeoGSb0lvlzo
C0S0LtyAQVrdqQLUU3zudF7RdTsAYiRLdDF/ixn0MAMRs4xIbMnhSRXaehrXQWhC5KU/2uxRd26a
yfL0DyqZIs8MkD2soNIH1j5kic43m2WGYAg0sjqYbFRXNJoeCgYhaLR+sCx6vL4tljfkWZC62IJL
RmIUjbgXeC/8/6yKAVsMoDerAh6Qoxjmgo6Ko2chluSsLw7Ruy2kG4D1AcGPmLNG3b7mepTWgd29
kBo8bvQTa7TQxP3PwPIDTtzZzBJNAQlWHYyt4tvgRkl+6GRrgAyJfvQ0CUMRYhcw4ZYkJJg24zkd
/ArVw3Ib9tBq+HJ9edZ2HRoulj4E4BnRK3M+ojrkUx5NrA4i2mRuN5B9nIW+GRWQ6NNunZlJ7C2h
0MV2wHsYnUCgP73wpIrJMlJyjIvRXwX5pZISSNQ3Nfp1fVgXuw7hHqgAlhQXaNsv+vpAIYX5rasM
8rb2nQVZVjLv2zB7HsJ+xzLlNpG+cRD+i0ODTQhra6gV4dEP3Mj5VKKhDnKTGF8AGVV1q4Ju3ytb
qu9L08p3NY/MjQJaXo/1ITQxJysDh0VTfrPzkN8OyZD4Sj87N4w68VbPo9nneGzi7a23HnWyZKvN
E2h8CcdfHe6ZYwEtoDb7hnp3B9Aw3qFJZHM3iRXqE5pozxzAoE07tyA2hqj5hutDfQMoBPEscCy7
/Tipu8lE6nvuWHE3zYqygb5f/9AlaF3PSKZsktI4Tl2neQwbvUq3rZp5rd25TfZcjnfqkD41pXX4
xvAMMQ+2BT2JJ+WgZMOjqWiHmGvZhjJr3lQzAjF4osq1wOnq9ZqRezGpMmDIysxPGX4v0MqJD/hw
6NlZ2btjC+3QpJqAVNEy1WN5iRZgxaa7ZEIJmc8D0GFK5+N1bfog/ay2LZ97jCjSvLhrDK9GL9NO
S6IvaTGbICuD0GnZtbZf9eHgETX6Y0FF3K+hwrYBarNwq5wqXt6z0O3isNmC8x3F8BF/MHol8Vu2
hNy0oS6wzY07mnm2L4nzB90KaILKJ31LxyoE/F5nhyExq20ThbpPU6q5NRit3DhTp101ZM2W6Kjq
gQND80aDxR7hnO2UOobeZjFn+6qfQzxOMEJUPzQvNTMQReInfweqlYGBEAqIDVj+tzGl6FxSLeAG
ELd/A9l4gpAE1Y1d63TNhowmv3VaVuFomdRNklnfJ1PTbtCBhC6BMkvioK3pr2k0yA+7M7pDDdSi
xyD57Y6ocUnuZ/3Cv6BDbaHXRq81TgZeY+eHYg6zKuQqLwLWNnfGgtpgzmPFf7SGeYecsZuUymNl
0lsreaisXTbnuy7snqZ6R8jsa0O2yWNIHCCzZCnhfd44fgKa+hp4rIIN2EKxOwMBAAlm9BsQ1x5/
9PnvQQVdiz56M9xLcVPxaNOj8Keo91H6EA0GHFwG4rovKPxswvqoMcPV212M7olKN57UsZVMweoM
oEi9qJ+hVVvEXhVTFjdzMhZBW/2mXefleLmH81vEHpRSVm+6CFWW2T6xJdxPVhfV2BpDAaUl9AwT
d8KRgOLkdd+6fOTMhQtGhKuJKXqYgHwKAzK+WdlzK6O6kH1/uUJOLlnSqTHcHL6fAyvWx6+O7M6T
GVhW7MSAyfI21AasCINTmt2q969P0MUdJ0yQsOdBOaZHFscAxgZBwhMgR2bzpTUk+0q21kIQhxKw
2UAXtgh6K/SqBdlDCGi73q6PRWJFfMBVBRg6cgVjSWuvrZ94/TWUiTlKpusdWXiyHLQzBtOaYaL+
R7XdtLxTenkuSGZEeF/ZVloa2YQ1z0I3pls1PmYNZAH/5WwJIcCcA9/oDH0RKL1nJEj1AwHuXV+Q
y6LN+e4SBUprBy2QDOXvIAGCbJPqSuEhsoHAVmVTcB62EHeywDGSWwRo2VExfNLh8i2LLNsUbfta
p/kvldnfndGSOYZlx104BuBxoFINQkoEyefnqlAnBzCVFguZWy9RE1Doco36D8QXfCHZSJhHB0ki
cXV7LoLBSPhoYI0Uwtepn8HsFqVFYKJcpW1jvsv+SOZ7WTNhVOjGR3cMJKXRRCJW+nhd2502mmlg
TfXB7m61aDtEd4AyeEW8J2WxbZvvRvMyJHd5f2uOvaRzYc1ZQZB7gX8upI8X1Xx7KKBHo+VBaAU9
jcE/LusnkFkQlq1PRxbOfM6DjIJs2QMA7voMyr4vOCrEeSGy8/g+Sbg/zwqo1nbXLawd7pM5Esv3
o112QPmQPIi0G+Yg8GJAahLql7STuPa1/XZqSdhvLbTTRor8XMAAKi41c6Mb4A7WBsmUrQ8IKQcL
9zlK9MINlRC7NjiY+oO+3db8MTKgbYdeSYkrWbUC2nP0IL9rDQmDIX3epUpkZUGCypdWvoI+oCS/
++np+uqsrv97fQoH1ABe+twtTFYxdGnu4C32XUk8LmsPWP38QhUEJDEygO9dsyfXhx5GbTtbFeYq
ek6KB3hPyWKsrflpCCssBtEHtXHCDuGCsxvszYRYupFs4FUTEBQCiwlaAS4SMlCf08KCqUUwMA+k
6pC7KMkndu5CNo4AFCnSizwMyFjsynIQLkThw5w/VoBgaJIU/9pKnJoQHAm6aCdke5dYP/ZTCLbL
SCpXZwk7Fdh+oC4u0jt5ObNed6IiqMwU/RiVq6PtBGTOkvVeHQaqeHC26Ey7SMB3td6nlpIUQWyz
TTUeqFlIDt47xYRwp6C35K8J4Ui0fYTbs4+LALk3NEI35nSwW113G63rgbLDw5BOxctQ4Lx0czWA
B2jM98YEzhItQSe2PUEGfVbZTystHHc2kB6qW0a8KosyoOzUypvqMd4gH2FurKGHzIwdTr416OAz
sPFWClUg1j9+yE9HtNyiJ6dw1Jkew3oRlA3Wpj32raRfcHXxUehGjwJkTS6KFijUZ2Nq2XmQGK/d
lKLAcyCajE1ofen/34gY7fKazC2y5DnSRqnqmoqK7nhdRpawbsQxoacHvhO0QZxPVdH0iCeg8IaM
KHePpJNdHst/f7m5/n5fOIZJGHZJ1SImwus4KnajvQ39ob9Rf3xmxf+aEa51QsOh7CMMo8/fwuTO
cP65/v1LnpYl0AV25b/zJLYfFmk51FCrzYM0LG/jPPRTfd7MNHnKa9U3xmxjhZC1D9EPoc3jhpnI
g+nl5vqPWN91f3+DcEVatO9A/hkiNqqPJkvcKXwZAGe9bmR1QzgUCg2QWYRo7vIjTs5OGClzM5lF
ERghsntIRFDjw+09y1yemFhCgRMTaLHW4JqbIiBIbo0QgAmtG/g4yUBWZ+vEirCzrYRxiChiIFBi
95oi9yCfuIvG7b+bLmF/a9CHCDVWYbpmH4ELlPCuf38tLDqdK2FjO6A4akOzLIJi/JY6GVKnN075
JWWS8yMxI2KDC/A0VIOFYaRIBY0lqJWixNW1t5F+4gVxMh5D2MOoZyj1oGM8DQ2xGvFdPSu/rk+Z
ZOHFJrU4RCtGW2EsjboI2yFcbQDDSeyPVpPfd/HfB6ZwyeQwk2sDHphqeT8DxpRpX9T48fpQ1pfl
r43lsJ6cFDMdOhrOdRFwbek0ulcgNBdl00YH/fN1S+vH/q8l4djHnRmhzwOjCecfCVG+dTNyuv/O
xDLYk8FEltNMSg8T5TQPS//cU1fKlBTX1/7vE1wTbJAZXdsqDn2bb8bfrNl24ycOJHodQH0DUlob
eL9zC2ExRmWqYQOn6i5EHyBopJ1iE2UynqS1pUdLJ/QnQMuE0pHgvipngNpFYWMkqJr0fe51JndL
kKHEEij42sqfGhI8WK0rXW9UJjwYuWssCH5BCurjC39qQZiycUIiYihhwTFu0IySmZ84iSffF1/c
YUMGrdDw/c76RbRvtL5t+P76EJZJEMOYUxOC29JisAyhGIXjUW55jqxW7dy18Pe98gOvTK/uf1+3
t7ooKp4VwOhDGcYWzsqM2gW3UJsLOP9mLKRGhQSvuRaXIXxFJ80iPXihk+fwTolzJy8hb9q4pQFM
8yvjqd87bwXQqdcHszp5qOmCTx68fdAfPT8yw6DaaWLgQalZt0D3G7GrvEY7+qppn9nKJ4aWWT3x
MDROKmhDwRBEhBEfSVXrVwcCiZDlAQ7Mpdgdh+pMPTulmQcqLf2QghC9CoribbIGTxn2yge1P9GJ
BnQPSH1AswKsByAf58NBzTpVy8JBfgf1vujFyiSbbHUPnHxf2GRpbtIYXCSIJ1G5UjyESKOzTesj
JG2ub4A1r3w6EMGX6f1AQWyLgZTx5JbRE1EKMHdI8BYyI8vinSy+FtuOgu7BPGim5oXz9iGbDE9V
ZQ+mxVldeAIL7ALo90QW9iI+1kqi1jRH7n5KtinKrOVvMudg9C5dBk6v1ig2UxpKPOjqZXBiVFgp
ZiZNo/Els+wEbMr9KfKhbeYbtPU/sVJoIQEVCeQzLwhJGsfhIV92eKc+GC2Kgru4lxzS1bGANR6S
VFADBiLifJ1GHWJoFVHzoEBhIHTumrpz4/xo21+uD2U57BcLdWJH2A9oAECkVE55UCnet1TG47f+
dTAuQHEHR1PsaCDRFPZ21OPrtXo36tMXxZ4kofLqhgY29X8mhEUfYmtWa9bh/f9dY89Gd5eYkqWQ
WRCWgvCpNsAsh0ctdO+MgPd3tqzDfN0ERgHQFUCeIg4Fsk2xXio8D7jzRpKvA9/F3bfPLPRfE8tS
nRz8bMjLUFGHPBjUmzR/rbgk2bN24tHvpBPTAQjggq9kkexDcwri1qkjB7MdXNAd+Y76dTL+KYcX
Vj8Y/WdefacmhRsTKWSlg/o5sn5RfafWjQ9uPH+01ZtmlOkFrS3Q0vSMniAN2UwRfheV0AmzrBnB
Gfrvp/qVgsICNc+PLxFg7wSYJODuLoixbdpOZltiCheODVKZh8gGdc4nbKAqBjgchFkvlEbNqO/T
LKyzACrQ806Ktls78BApR7cFWXpARb/f5YBvd6jWB4bzxeiPmuSwr31+ybigPRBtUgjIzjcxz23O
+wLnpF2IM91UVjeQfV9wJspYZUkWwRsa2RaEyYALfWz2QRIOyREUWhcZNcgFCQ8vRJFqy8yhu0eb
g2vZbyWXCQyK94ZoQTgTNBkHW63G7j4d9qR6MJ2X5i6VMuGL8wQreGwhtMMiAFgvAt5HxZkcOsTd
fT2oR62KtlMYfVFpscvS1zx6tlkSZAsTL86ionw16A/AvSAKgN6u6/N5kXBcfsjCtYAfgzLSRb9I
FrelOlp2fx/WzmNOnNeuQDtEGoe626fJDqLeh1HX93kS7ayavFGWMteYzV6SgRCd3/vPQCmb4sVh
ga1QmHUIGNaA8OBnqBHfOpaz463O/G4aXsaKAbqUouxvGzlz6WxLqQWWV9XpFY7DAM4HtM2idRBM
wWKbRkRDoKlp39zPwCrvQt7nN1Zb3DezDfaWONwppvIVjQn2fTW1N9BM/9lQ/kePmt/q2L+Ac6lw
QVb6TOw4d0ELQB5CtWu2Deqzm3AanrJKBWmLOhRA6s1+EysHhqZ9Bu7+0ppvwKP4gOvMs9rQz3pA
7MOx2PVmt/wDtEYn5xZ9fKUbV9YfmwI+Br0pv4+BM7ejeDtDoiEG0JKnKD21dbQlCTk4Gq4K0j/n
msU8xcreIrVP/evb5nL7IhhBZAUILVqnwERy7kacPpypDdnK+/ZrHt3QSIJwEM4gGkEWfnAofAJl
vjTPCbuhSKY64p2jHw3KJ7+jNX0Aoe60g3peccfGvv6g2/qPQQgqQG4IYlQX4cPsADFZG5Z+1DLf
hA6BniqbD83Yu4VFKXORJNZRNBIcb4rXXhTNtX6sGH0E4e7TDAzLdRMiHdl/bOBaggWqEvSFnK8K
B51gWHcGPYL5Z3YzCMr8KvPC2A1JAbIgyEvfGukQ7xmrtR+pnjLfCCGVEtmGjBjtvbnx5EThlwA9
Apw9GDvwFAdB9PkvCVMbYhtO0wYxV9xSw0UwAjgaJhs2fgO70Bzt1PA7N3+GFYiDo/1gJ56aPNv8
BchcV7VyL2stb9D/GbPxkA+NW9X3uoybYIk6z38j2gEAMMGJBz+8JmbYGMhEsioyQCpdQl+PuY3T
+yXgww4oMz6++DAFJ4P5cJZlOp+OFvRw7Ux19UjNQ2Y+qrLq1zvKSBgLaHBsCKCDB+7ymQAqnBLF
gUY9NiTNb0gCTXqj5/wxNDt1w82MTm7f5jGIyMeS7Fu0C98kk61u2zLSICo+GXfG7HTbJlHpw5hP
zaY0WPQlMq14W9UdCNqv79RlvOc/92x7iP2erV3yzuy7NqhadAz7SM+iFfvfmRAyaSyjeWUCRBT0
2bcyDmidgPXp5d/ZEM6bBZ1d1lAMwygetfJnTjuXF9vrNoRc0H9PEghpkQmCbIMhPC+VaUp4Xydt
QHI2PEw5UY5JD3hw7wyZl8wlkORceZnyrNlfN3y5RmBggGaEAbo6Fdoe4hFup5Y2YGE66gbumZtp
3k6y7h/hFnn3V2geIGj/WRTCxSc6ivaOnrUmPULDvGQ+kOLXhyAGN4uB9+gGoIMFji26oTobpqZS
LX5kYdhuUQqqX2jWIZ5wyip9oinTvqB74dc0vadbR3XHKt49JCYUKtzSCflB8nuEQGP5PcC7AKyM
hjQMWoy+CcjKh7ZWhmOipz2w+QTwRJsji9iUow2Ndkhsak7DfJs5/TOytoo7dK3hRiFUnyVzs7K8
Zz9FCNSNNMq1mqTjcW4OirON6B39YAfv+2ghN0LRioL2kAuATzKhjWBoYGIqHuiEbCx/uz6fK2EC
nPf/GxDlltIZBPWQUx6PxrODRgZ9b82eM0jOwcomPTMiOBINDRHDCO7Fo+K4SeMmMhDJ2kKcDkJw
IiZYE1stLcajTX7mcWCyXVE+XZ+n5aieu1tI5GGa8CpeToLY6szCbnbUgXTHJpsG3U2rPB+gGUCK
3zX6I36ZLcLOpnJmb7RKbQaX/fRBFBO2AloIQduFd/9SzhK7b+k8MBZ3tD+Og9Z7ThSh69p6CGcQ
TV4f6uVsnhkSwSzTPM9GGmr9UVF9dN5N2XaUIQgv4wZEgACs4f2GAV1UzAw9hzKAnXZHiBJzqFHk
kDzadvpjL5OWWYnnzi0Jvr8a5q6cadwdHe2rOm8MdtuOL1qxNdjOBt1DbSLJdQM5HckcXu74c7OC
51fA95e3Bswm1JgPOTONmynve4kzXLECQnwQ9IIPXbvsXCcqi3Wu1v0xBGJ8TiAx4V/fCpfewTwz
IHi4HCoac5O1/XFKldpLK4V7MS/yFyVPh20aUr69bu/ylCG8V0HGi4MG7UPxSW/bipqmaYcBvYQv
au7Z0w7EN4WHR30zSHKFK5MH0mEAQB0Io5ILopsYwpvKbKXasUS6tt4x5+NzhyoaOljxmMAVKqZT
KzROl5ZeacehvUsSPMg9td1Ob9cnbOWsQtkdbKBoWoRGj5gSVEo1mgvck8eJ7OvkNtd8K/lY5nnx
O6cmxBuijUiJpqtQPaYZ3hlerLmqLjktklFYwv0wtXmH2hlM0PE2/cmTQyN7bK9YeC/NI0RCa+cF
BNTOCqWkNVTcUrRk+0WGzmUNfasmAPgfXhCoMePVtiiELc+i82cKyC8VJ0knNCk31WHWtFse5bGb
AKYlmbMVFwpDkN2DtuAK8XJvQHM8bCBKm8bjxp5fWhJ6Wlzc62hOGp3N9VEtXvL89sOjC8lgUNOj
meAikGUha4eSOmVgJgn4Xf4xwsex+272h7gMQY5iS8Z2uVpn5kSIE+/B95PXMNfPP83sUJbclbLD
y2wIe26eijEzNAVVdeU+K/b68Mzot+uzdulhzoehne+FEe2aBdjgy0AxDoM9gSPt7d8ZEHI8ianW
naZCZWjiya7ttmj8ltwwlxcAPNiSfNDhY1DmELbzrHFw2ud4/FnjgLZAg+2jiA5uVFnbECp0knVf
mbAza8JlrXfh2PKmjoPYHDaWnTwwA72n1+dsZSsvKlFgNsOLzLwABfEebbpRbLEAtdnSDnj7iIYr
tDzW7eMUfdgZWOhURy4J/ZvQdBCJ+Hr0TfU1s+IA1BeuZd40VeRaMte2NmmLC1i0cUDsKtJM6Jz1
rd7wOOjo4dkI99ena+WYIDX59+vCHiZqm7aJiq+D0uZxQuFULRXIjIayZp+1ZUEKmVjg+tFVcI2c
n5UintpyHNQ4UNluTMA5fkiKxE2V22byG0uCQpIZE84+qzntrZbgpaD/AJ08QW8R5Hy9NALlo/En
bJkkq7g+iX8HJ0xiVTpDqZgYXMpNPwQneYL0XCzjzFnfCIiqKWJrZOKFs5q3VhKZGnZbZjbpS5XU
DaC6vSrZ02tW0JUNpBsBC9AFQ0IMvT4G/uw4MMbnfvQc6/v1DSf7vhByztD9yos4hsKKRh61/EeX
aV+vW1hbjdMRCPNESgppOyhRB1F+IMm+Iru4lMSWyyeE+3JRXgD5C55qoJgRHLPF43rMORa86b50
xe1C0p7rIJeK0XvSthKPtj5jf40tfz8pqtuGghd8jN1MzMGfStubfl2fsLXjcjqaZUJPDAAIbA1R
rMVBqDxDdzFKRheCtS5gdj5eINA2+Fg/ECJOVC5Qvwc1D8SZ8UA8t6eB463A+5MF4c30I5N5mrXp
Ov26sME00kGCI+MsoIruPlS1LJhdW/vT7wvbq5vzaVAd/Pq4R6zUb5DVTMkrj44fz3qcT9OybCfL
MutFbleLoeOg/IIGePZ6fdllEyW8YROlsOJEx/cLKGWAOmRz/fNrxxApPDBQgmPvUjnEKgtjonbG
grm1fMomv4CwIto0dtfNrC0HHrHIM0AKCKGMsJmGKYrsiDMWJPbOcW5U8kTVYado1BuT39dNrZwT
1A1QlMbOBZ2CmO4tUfZmIZ2ioKgghxgO26nTbsjYvqhVsbcoOeRp88HWieWsoN4KQQ8kRJeKlTA8
NSxIXTtOFCiRr7zZ7c6I9tdHtbINjKWWuDT/LUGGcFmmuQ38KbIAgWpELzk9qGSWvDBXLCx9pLi4
QDwLRIhwIkFMMiiAHkUBFDGjG2eUOOPLjYa4aCENWvYaMFrCgdTG2FZMXemDSjVdJRprz7aheaLl
Ere1/Mxzpw87gOUDPwU48AVtr57n5qBZDQ/K1KYP+VhwH3nsGkXoEpztGh8k9t4TcZcGsQHQ6Qs0
ii2EFcZMOGnGiAexZbshBapR3djdr9i666pjE40bpUNbtrr96H7AAxA0hsBYAZWMUuy528l6XKC6
MfCgsOZ9UxbQKs03102sZO0WG6axvDygIijWxm1tsuIpHnmQFdyFdCsQFp5a7UtU8bOi80DUD9Ef
G9qrFpS3FUm09l4zEed1kQgBpzpA3Rc6bI6to5cTuVbQgZn3Y8z8tLF91SxAE5DcmKwvXacp3ZrS
zVSQ0Y3QmOeC7GIDFjbXqqo/VazjXyd+XXOJh1nbygBiIhW9lCrxFj+fe6Wd0Mxq1F0QkYV7yEiM
W8Zs223DxpHMwtpuXkrPyJDh3Y9w8txUYlMwBFtWGyToh2dQTZu3merz6fv1pb48++hlhAuDgDsq
7pAeODfDbIhgKInWBhAAOpSZ+qQqmSTaX5s0U3svp0MzTROzCcziDQEarMMzfKOCvIK3qZvJGv7W
xnFqRBiHzawGOaysC5zsjmv3vWQ1LhOjSxkR6wACURz4i4UHuQ2K01qP3k/b7dmfMWMgk3wtdWtX
k0c1Cxpb9lBeHdGJSSG8yGfLmQD+7QNaqaCLUr/ktP+EKzkdlRBhoLs/LOMMoyLzvWrcFI1k1iRD
MIVHZRX2emgm+H5U/Mnpr0r7zO9H1hWnEWjDCy2hDoe01UnKA24PXpKlfsElnnB1BFhvpHcRD0No
9/x4ZBkxanOyepC2PDoQiJEA8S8jFsh+IYYANynueCIGR2rbWDqraY+8XrzPdag7Nz1e4Pwuz8IX
RpPXVKX+9QO/emshVIECDRw7paJjiSMwO7a5A5vpzhm/Z+xB1SDEHenuEEebuPuR1s1elzElrE3k
IskEhl9r+Z8wkWAKYiqQXT1AlUf2Ok6P10cl+/zy95NYnIFEPOmdGecz85PuNW0lmNM1H4bYaKF5
QL4XAcb59zt0ntl0xmHUmq9xX0BXYXQrmfrW6tKcWhECClAL9+qkYpJCe8peM0XXD3kYGV/qulEe
ylktPNMcwYM0sx8xuOKOUKnJJbC1tYkELhgVVjycrQuqdL0wq7kDNjJIde5mW0OR4XzWZ/L/DYi4
GfRqlVaU6X1Qmn6i+Zq9+9ReOxmDyIauWFFMxhGnSu/ijQbGz+rPx3fbqQFhnZDsi1kKugl00b0Z
byH9zOchxonbEvkdPJzONxsoajsFqtFwm3tVw81vy/K8a7HFEr2Ao2ahLtGEMMYy0lgFeheHkf2I
pmiT2+nO1A5UpnSwupkg2Esd0MigVCLcL+Zgqkbdw3sSKNfdkOoT3hOA0f99ngrXC9Xm/3pPYuc3
/ZDtWmj3mqm2IdX0EBnakYFC4xMrTwFPMyBRg1ypYNLJCiDUCjhPZx+3OYIy2a1/+VxGXnyhTyAA
zqPwtxyfE0dG5jJsMhOkxalFvIE/Js2hr+sD6UN3Lj6DYYPSBkpleC9hOMI+aKt5UHjY1oFT6puh
4oBKj3dFJcvIrPk1ZOH/AsCEfaBVjmKYXdwGVp540EnSKzQCQy4809xED6xum1bBzD4e2YKMBeGN
vUSdF1ksltVNoRowqhcARkII8/f1rbByiIAatgANQmuzgerc+UoNHFeO1mtVkGStF9c/WyhcjsqW
x//SjrAjuki1h0ilVaDrW2KCU/MO5AxqLHnMLl8R3lxgCYXk04I3u+T3ragR5nU9VEEDucDqkM3g
2Nxcn7CVYAcZBoBOoL30zvt2PmEKup6aNsTWhqyKa6hPdnlMuT82X1l5iGWYwxXXc2ZMiDfChGRk
tmFMn1xIZaWaxBGsndPTwQirr09xGsU9vq9Wj07+Y6r3Ufu71RgKGJLn09o+A3oBnQ14CC5h4vm0
OQ0wDKFD2oCyVytG0znqZQnUcJtf15dnbcZw59t46ADdfbGftWoc7WFs2yDsFBeNEx9sbUeUi2oF
GPkcgnwZsLPCjKU50efSSaaAf9fU27g8fPjnIwsHwPbyFoD6pXAnp9h4Q2GWU5DdMfOnpX/7xOff
U+KAWUPsU3CVcYe4tkqcMYjib3UMQpn5MwZwTRpgSQIgSwzLR2RibHXWxoDrUHdTNmMrdcOLmxXO
OMhqwOhrg2UdOX7BDdtqBjqq1kSCrHfUbaw3z3XYfqNoyxu5hS4RDpmH5i6cwPTH41tS2L8nJLbs
ES+Dct4nqeNpmXkT583vSjeDMuEfD+JPf5+o7cUiAsFzRnmgI5dGqsqVQYJWtjjyZmCkQPV5qdcI
UbzeWeY4VhMPLMVyU2BWu1Syiss2EKcYKdQlvAWs6SKdktRlPvSNwgNznlVvMupnu8/3Nfp2LYbG
2qkd/ev7csU7vPM0o5sMGWjEi+feodW0InPAuhuETQ9Gsn5+G+za8uImPYzt8M91Y2vz955bXXRt
UVYXNlAEYey0N5HJtdxmunNKiadbuYNQrl90DdDCb1PxRqWhUSV6a/fBXG0KiIAqvi7LeKxNl6aR
pX0QUE4ctPPporTq7FzNeDBN6tFi+WMPEu1xzp6gvi257lZNmdBpcZCNRtJIuIGSVrFbc855kOjJ
93qO/S7Jvtijve96KVv3yq5D5wSoFB0LtXvRtUZIS4YTmTmoqjN3A+lc9/q6rwVwdGmyhRGA2ZA1
OJ82R4cDCPthCNJSV13SD/cjqe9VGu1rps0HdGRsuZo+GAndTVn+CbcAlTgL1y0QI7g7zo2nZTZA
/6gfA117NI0nWQPx2q5DHQAlQ0TA6N0TPHtmJaTJh2kIWgjElOyV6McwkZRA1g4OOh/Q7wkvjhtW
2Ha8gXYn3vA8iDrTf1OQzr6+QGt77fT7wuVXzchdOQTf15rkMKNLvejS1yHlXxzUiq+bWh0K0PAO
Kl9oCLIEU2XVZ9E8J0NgKK883Wtsd/37q8uBRPRSMULjhnhJxaE6ErRS4oSCCr25pTEoCT+xoZZc
939NiPeMwprGgXwxKigOmLsYZA4kweHacgB1Shy0PwO9KaJCy0lRlbEzJxDDbe38YdIehn5P9h+f
KNDOoUYCNAj4ApaFOnkpRqnZj2PXT0GvPWr1YxvvGhn4aG2t4eWhxIHpAsmFcLmozVSXsdFOgRK/
KF4/Pl8fwVqZCc8n+OP/tNqJ6c+RtoTPWU2C2arz7wMgqH6mW9Euimvqkm4uNsh7TzfdDLLNgReV
nxdN/diMjio5PysDhUgUAFyQ7wFSTOziKSo6QeJdmwN1Qo4N7KR5I7kNVmKvMwuCExv7drAhKz0H
dbNtGy9SnkP1LkWIA9229G6QscaudNMBaXsyIuGqZgrwcGjznQMetV43fSM53VrGg52GrsG2IWNQ
MXmKumnbQ9qkppuYtV5khi4xdhEfd0UWlESGOFg5FnjFLFy2KJaiZUrwtBbUvnRIiOBG1Mq73Cr3
nfm9DiEuNmZfr++stfVElA54Ie5eSBUJlrCviJHrIRJ0DfeMfKPHvcQNrrgpDAVd18j8gtdEvN2Z
Q9F4iZ7zIFJsr9buM+WBNOXHtyUIjfCmAVAeisUiomygLYKlFvWNMXnN3JJ///AsnX1e2JPQtrAS
K4s5cEWR1+6gMSLxgyvLABKQRUBqCbkvsB/NyEcjLp0uaKGOslWnf/n5Zb+deEArmWhcV/h8xCaX
HDlkST4+Qae/X9hGWWXGVpWFXRDPtjv9mBNZgWxlFy0UH0CNgvDDApHQ+QiIjhTVMLIBLVPg+nWT
4rYbJQn9VROQJkM238J9KiYUp5GWw5Ti0ddU8a6AX52HTfmJjDWq9YgPQXtgAnf/f6RdaW+suLb9
RUjMw1egplQSUic5U76gMxoMBoOZf/1bpN99r8qFClXfK3XrSlGzy/b29h7Xkh4KkMg7qZWS4aWy
AlC8rE2FL+nR+ecl94k0Zg4gGaV/0UhYFsG/uWaoHeuAWkVR/4pkL++cFrB4GRzMhoca/lnxN5aO
AIl2IDMAE2fmu7s8ZScpJzSKWcNL0QUARRAsmO4f/p8jTkQbgEGbMziSiC4Z4szpJ6QnLM0Hnu7a
8NvCCdgInAFrMZsi9NlcLqFzidl2djO86EPQgnIuWdHS2dRIcTOG3lBvAlHCDEc9yz+7yggJbTqA
dP4lJk9g5/S5UQdG+uSWR4qhqmxYKectvEQX4qTtQr54GkQc97jYwU/1B7g3uH2/7cAIGgBwTBw7
et8knc27ulOtCSKafAt2pOTzbdO04E/g87htGNbyEBdJ73vTFRh8LSoc+KApRyQOnX2WuOKPPnHQ
XWuuAnIpMMQdyVTamymrkrsjGqTZEM9AuoGYUI7VMwDIxWCG7V769I+q+YN1f5vopQDpiFgLlmww
niEZdBr1YzIcbu/ftULj86CcnbP3eJzkGmGhafA+M4QxTo/KivlVt1Y0ev59lxp9KUCKk9qOWX3s
IjFj1tuh29Q0GvTdv1mDDQ997g+8ykn2aQKKk9rtwPHzTJTICm9/fmkFoGdBnDTDqmH2/PJOKqbV
9Kwruxdmpo9Dh9F2uOsp8mbD3Xkf5BRmVQaItgMzI12VukaDqlWL9oWp5cZh6U7FP8O4lpBZOHIw
dQIFB4ElTI0juQveKNLCTLTmpYlsTGjp6lpyaU2A9JoDhkwtzNyAgN4Jezf2E2NFqT6COkmr4Ccg
wQ2/CmSMssPQkSapWw8iaJlsRuvErbdc/LX6b2zcq6AJIGCBGZss4MDGasc6HON6k9/fdgOPBd0q
GrK1czeE9BggAVUoo8vdCPjUvutWgW2tVHYXVG9GwEN344d9k50W3WnF0LaNA1gpwzfaelOU+icr
L1Y0fOHAkNb6ANzDw4ap10sNV0GxYPK8ciJmAf+SgQoReEW3L9GiCKTaUVmbERzl/jozdkUSe9SN
GNhhS2YEubpSuVuSgMQczBgGnNDMJ90eI/V6VdFSb57lnsdC1jD91r4vGTJHKWPL66gXmWPQ5KH4
ev8Gnf986QxSFYxrY4PP9zwYGACm3LUq9+ICHEADa8ChRtfT/Pcz36IiTc9zYMNENXgsGUP/3tos
6JoE6a2q6xGUBzokJMVp+oIw+/YWXTtHeGNnZK/Zh0SGV9qiSueicGPwfic1fRpNJfOr1OtAc2H/
St12X3vKQTP/zZrOhUq7hh5jzB3XYOceKhrk4B8t1iYDli75uQRp15pMr0fPgoQp3xIapOKQ3u+2
ogYzjxmCARx9tPLdGBKaCYESfjQaqm+Bs9a7O9GAc5lxgeHmAfFQBp/2jBLeURs7UR+Uw1tDXm+f
/LWfevl56UXhVj9ZeofPF8AeocM+sYBldMjW5n0X9BfDcRj5n9E1wGYhXfGUGEbemyyO1BIzzM9W
8eP2Mta+LylwORXoY0V2L5qMwKu2xv3xISIadBgj1YPEzlV3nllMeImmOo6c4RP1GT3d/vkLinrx
eWl7KEEWo+jweSC0gBnWnULjfm/0QoK0QXln5ebUQgJmI9pNfv/IAPYHbgNyDVBWzItdWsAOmTJa
OE2Md071DwAiXHnkFtQU5VR4ifPIHVgKpSfITRUVYP+1AvtX1H5BrJAB9V80BmhzpxVncVEWegjm
1xS1SBkPSbPTHEhkPdxd76dov1vGa6d/V9baYZY0Fo/2f6TICQ2dKk4vGKSAVCi0Ow/l6H9x5HiP
cOlg2xGJSPZ1wNxEarR9HIU2awMXBLO3lXZ5Bf//fcm6jjyxVDBAx0BASXxyNKZ/8UCAgw4BFPqG
ZvWSIlCME4GZBlMSUaH8cJMfaXj79y9durPPyyxCpjBF3Gcw3dpwzK2fxPqpKyve9NIWoaqBvCT6
odESIW2RyBsujI7HUZ6UW21Sn4Dw+3Z7FbOBlvx1VC6B2YAOcmyVPf+EM99Dz51KLxLPi6oMU0GT
QwJmaxur9HYO+CiBLshWjn3peuAZQk4RMT/+kU5lsFqLdBrWpClmIPrMd40M8C0vVbLidi6u7P8F
ybWhiQ1524FBO1LST3p/SkoRGiCzVXovUuI1A7+8Ks/6QPTABJm0Kt1WytHUoMxGs7E33T6fjqPz
+/ZRLWkDfGgUmNXZrMjhbhWTNhZIM8IdocjY+BwIj7clLGwZBuvhjsxp0utxhTY2QBeTl3ZkuJ9p
ta+A0JYk36iS+tYas+bCYiAKDJEzJJ1jyy3EZZu5pC46O2qfXP3Var/fXsnCeaB6iq1CW5oNMCz5
5lSuQmhNHYCbamHKfrGifHD7F6/jKy/LhxpJF8iezcuMaPoxiyZdIKcxcpf3djR05egXEz1mSfHQ
2naYZMPPoe/VA/b1s271YW8Xm/uXiaFO5PBcBw2sMkstKfIRSNaJE3VD8ZCY++TZK7eEeffbIVDb
I/08u1/X+WH0SJt1W0JMq+1Aet6uqN3iHp5/fz7NMyNk9QMyLDFOq9aLTTbsLHHo1Rd1fCgr7hPG
/a7dx2vIJQv2+2JR82U4EzoJu6RxjUUpke19QRtZ/+X24SzcpgsBklODfNigdAYEDO0YqBnaVpGc
SsCdh/ZG/P+329IWLpQNaF3ULWFbMYgruTjUruNEs3GhlDSylfcqXct3Li0H2BEmCgWg3rhCNS8K
sOFinlIBUJrt8/izRXrfsoatlhfbLKu2t5ezdDrn0iSVyGjsNggqlYjoWuvnBOPlJDsCPnZl25bk
wCNESykoIOGcS9vGiiRW89hSIl5Ph5aLxxSD5lm+Vl1f2jx0l2I8D28sZnSkVGUFHPKJ1FiOnuZ+
jLnRCGmQHtjTTbpikBb0AN3eSHHBYUA8LndCKXaf5cJUAF9jVsi2BZm3YloXdgyIaICswUA2eqVl
8PzWy520NJkXkTy0PL8YN9q4u334S2s4FyEdvlNUupXyAhmdU2IDWXlFtxY+D8CaeQIfdaJrHBR1
qhSzLV03AvLfoS75hrE1Apv5vZdeBZTrUOiCa4VmdfkUJrieQ5cgoPFMJfDMz9w+lfbW8DD+9R6L
Z7E6lrG0pnOB89/PrFlaToNnGhDYfBPgasUbsKJXC8cOQgaYJrSOGqANn/9+JoAg0OdqUwAmARAl
yt7LfMV4vfvY0XkPzDKU18C4LDtRXU/7ojcMjPk/TA76Pva3P79wB4GABz8XHge6bOWOCER9bCKN
Rl6GujCCtnFB5z3sefdbMfg8MDe93Za3dCRzFn8eLgJwgWxaKm0QA1qGkpfePQ4B1Q//4vMzPcbc
F4iLKFkuFIXTwWzr5MVx/gwN9b2Vn7904Pju/31fvzzwMWaMdDFPXjLejYE98jCNu43amGIlIlgT
ZFwKKgvgR1QMC0FhsMkDlgdijehpAaQY40PIslloq10g+dUn200dAZCPciBb4fBHllX7djBC5uqP
eeHkPsphIUaRKr9A8SLRQP8EiO415NSPTKhsF85+hxyUUEJaY+pi8mI6ioiEkVnlhhv6yfNiYBXn
VrZB0YEfzQFOuNtY33JiN8cJ6LU+r0f9t1qt4QcvGarzHyRpUZWRKXNKbAwer61aJX6TvwE7mZAX
fQa7Qqt/P60EZh9d2FebMHdRgw1jgae4hDdZODYuhoeTB/rFO9qLfEerXgcM+/sm78TO6UseaC7Y
FtrM4+CQT51gatvOr2o2hKrgVZiSNg0R0JohpWl+RGGp3nrm2pDW9YkBwRkofR+cFeiO8OYNPLN7
dewRQ6nHOIobXqMvQtNOceL8ARFSsRNj7W3TOq9BfE3KUHXqv51SfMfAGtlPzmhFpZEMn++69hiE
Q4Z9rmrBzwPPs9yjZttNS+F2IYgdt6r5Mrqn29+XK3gfAuYqjQ10jbmALl1HlWu80RPhRQDdrbWg
x4mYh2oMMvPVNMLqu1puUfNq0kDVN1OzUleTbOaV8PnvZ7vtNiPAxI3Gi2g5VT+9Cr0JFXXXTKdU
r7iSIr1lzHRLg1pYopWAgWVyfK198aZ9kT9r1Pa9ZOVdk+Obf+RZiJ6AMgQHWo5Ge1TGMSHdu5Ed
61UwmV7iz+9FmFhOE9ZZrfluLsSx8Cax0/TKPTA1q1fMufT6Xf0GyafKU1u4ade6kdV0gU6nxK9M
L+gS3a8y/ZRbVXhbjySr/r/yYGsxQosgW0a37UoAIig8dyOzEhiWqPw0jsOajCtuyfLeoi8e1wJd
fFdxT6NqcwECcgZSYKZ2RIdoXR4btD/6CL5e2tL5UZbDexNbgSnYyqbO6nhmyf5Z5Jlw6Y1UGwxW
lF7qRmDMeUK+4eDRtXl3+en6kAG3CFqDsAFzb9J9zEDqWmS1Y0eW+uIVZTjFD/1w0oHrWk5+zzZ6
229i3Qs0m+zg3QS3j3FWC3mFQNjRZ5os5CHlsBIWWqjVAOmsq7fGxP6C+Xc7WTFYzKqX26IWj/Jc
lrSbmT16atl5dlRPogL0rrpriPmmF9Nb01DkiIfywHm7dQZ1NzXGnSh5/+zzjCqErD3WKrtrwGGN
G6TV7SgZjuKz0ayUBZZUxTv7vLQ4Nc7riSb4vFll/tbCv27v3vV9A8A3zAsaxHFMpowtVuHrfTz0
TlTy30WDmSG2t5Q/t2VcrwEy4DvPGDlI3snNHfVoNaPjIMeQ+dQ66OaKg36ta5eflxIm9qiXBFMP
SD8myvdCb55JVT4qujhW9p3FDRw2RKGmgQPByBAYpy7fGWpMul6R0Y7AyOJTYOVkv29v1bW5hQAP
47AI9m3MjM1/P3vIFGS2rcJs7chmO5LA2E7vA57Njh8Nd83ULh7LmSxp36pySikab+xIL8i2ZGDl
vRPe+Z/tOpMgOUGJqJshsbEaKk6JExYoBgnvqUXHld3+cfXN7b1bWo82z3SAzgBOolytm3IHKc2B
2lFHtccq9nZT/3ZbAmYqr+waaoEgScDzAHgevFCX50PQHzQ0JqD47FKtnC0A2Yo903kbNnitRTCX
KQ4E9Fsb8MLXb73TJSEdKnJAQWbwO49ML4NSWQe1yjHLVPBkS9zM/EpTOryWRTPuYMH6r62rWJ8K
I8/2nRbne27YnT9NXhxUqqBgKcsAxR2j7LPJwEO7yZxmfBWFwBnGiblD92L8WDUVaFucHBWFArRZ
LkAKIkMk7gZYiHRrdFnvT2qWPGR5VieBM7TZA3W673Vt/3Ug/Si0XH1pAPe6ZXrmbbTc+z5VarOr
c9qFSZ3xR6U1py2ac81jW1ZW58dVB+8OuewoH2wSWUxkAai78qBCfgGsCPTnMAIfCzGDFhButKFZ
xcqzNxb9Y+al2aZ2m+6o8Yxv0fZjhlPal6GNwepXg5q5X+Wo4JcDwCL0NEk2XkyN7ejo/FPcJiwA
a7XzJVbschvThu1JW2XbqhL9kVfUBhHPoB8qx/zGrSEJ5jjfH8uJnBw17gKF6E2gCWTX3FpjR6VS
f5JeS4AZqbwmXTv9QRRxW4eWbjhgz5DbAWqgA7N7qUFOY6em2SOdEHfW1suzI8oRfqabn91R7Aqt
W3k/luw7Erx4QtBUhwKTpLCNIzSrB8Lii5MkW6YU21iQY+6sTc8tigGoFxJ8KChctYORBkho6mQj
QB2Qdy2L5BGHH/WtfV8O7sOiAKRk9oeBTXEF8kRjiqFQC/fPAUtf7ANAa+V4lh4Tc65qosEGXeFy
nNR2ZawmtSAvNG78Up18xyUBB7PzOs/k/Fhc+kiwJcDw8IDigRKQ7Dl4ZTxgiqEhLzrV9hho3OHm
HrnLQ8RwvkLVEIX6U22bP7KGPcW5uhIzLR3ZuXjJs2hBlpoO6QBTNrrf0Y7zxUqaXd/pKxu6ZJWB
+oK6LSCyUHKSnsyOJsxwyjiOSrf8hdZb5jdafF+h6UMrMK4EKcg0XlPY1A2YHVtPIE2OGX/doH6d
ryUflgz/mYgPJ/TsYdZaZsKPaZWos9FSTzj61EqW7Unjfdar9mTXTtiK8WAPMG+KtSJ9SSnRsjH7
A6gGXDWmZnRyLUzsxNHg5Fua/+CgZMvHH3Ra2cdFOZg5Rs7LQvJEft3SBuBSKpvQrlOMfiY+eyq6
bZ1PZvHttg1c0omPlkUUNeYuVUn1+JhzgfkvJEfyjZE93c/MjbgDtGgI7mCQrqdGcK/TDiFRHLXs
k+sX7NPtny/Pd876hu/P/Q/opbGviiXgd/HcIk6VCMZch0Z0RlAoYNqc6oI8tQbQX1SBfswkacQe
lM1aWPSYj0dpZK2ZZGEjMQg4d8jiPbkexuinSbSFnkErReg8WcNKFKfPLqBkolAMQgfxPBE40+dc
PlalWfcANTfiaGwSvtFTewpKNM0GFgrW8H+1/NvYF0WoF5W7QwKVB3UX0x1PVQtvbJz8buBkbIeM
cHCoot2Sa22+M/j03a2JG2ZaDM8gy0aflQrZ5Lz9m3rWMe2sP23Wmk+T0NuwoykLHGu8E67tnyNE
wQs5BmzgFayKWWlFSlUXbR5I4sapsSG5c1KLcn9bVRYPCI8JLCC6Fa5YIeClAsyrgaYYaJufBxGr
FQH6gmGa+2f/I0FGIe0Jz/tcSZQIYz9hkVX+YOrwlQznhU0W+q+KYysUHxXyMJu0nQnQss5yj2Pv
7YldHGyrDTA3vnOH/klzxSZj6V5j6YoeLTw1gPWFWwC+DxSDrnrbrKoCHRzKmB1/st0Q5EJ+Na44
Ogt+FQhcgUoxzxGgIivZlLy2+hlWVInG9lOsfi7yPNTVyp88a8vGFQOwdC2AZobOW4B/IbKVojQ7
M3urSHPyknKcavVLcee2jV2b7kZFD+zmcL8Sgb0KJWDge6A0JN1C2haVQDVHiYbxmdJ99fv25xdV
CMH5PFWM0FaTHREk+ErR6WgK7AdLOyqxrQaJZYiAclr4dELPEGs8/TSVNX2MHbfZmZOTh6SJvyGK
JeHUGvGGodX21Y7z+NeQO1rAGWAWe1DYb42qc45mXa21EC/pFIrvs1eBxqYr0voKvqXe59iUxv1M
bBIYeu7X8Ro18MKLOIOt/UeKXIC3RiXLeIo6vwoqrDag721/pHQlg7UoBDVGNEzO+XP5fBuQ/IKD
t4CREJYXIsRkYZOC/TeuGYC3q5qsuBNLVwVpBhh15Hxmp/3Sqk856REFlUqk2BTtYInfe3/z7LlB
GadVV67Ksqy5+QNIMfBfpKtiGAnzRIm1KXOg1hJfY6DynWy8BYrvdGsdu0s3EwgA/ydu/vuZm5ab
pc6tHEubKLg5tZ03AqHI+9Lop7TW/Xqtf29RHMrCM/gbgHfkRiqj1zwq+Ox4FjuMImqun3n+zrQS
X10b5l3YSHgdDhJQCH7mdN3lyqy2S+pKg2/WJv1eIel7Fxs74NtvaiBk8HytHXnh4ToXJyt+3aes
TNwBL//kT81zy77dNjpr35d0MHcEc0aAvkYT4OUT9Lb7t78vVwvnBx7/Q6OojuFnYInM9uNME5xG
NYRWtFiAMH/rTkjAZLizOjgnG5hpAI+nPZ6+3t6ozHvVafWusg7ofTmcDecL+u8eK873MdhPbv+u
BY3Bz0JLOewsCjvyQLA9DrqalvCopnjbKY2fVw9K1/pZkuwHAmLCem1ed1FvzgRK+6CBoxjdxmoc
uUr3hKmUhwKE4wr4tLtxDCdFW3nq5cLnP/s+J8IxsQBENrlRF6OCcZFN6P8eO2v0naJ9Qov2VhUg
XHsFuH1gjP3OiLs9n8xdpuPcCV/D41jc45m3dZ4kvk6ijkqTuKYyhzFpjKaT53bYdXxrg6vT+5oX
r7cPdL53kosMNUN7G+J4wJvKLnLN0RObzbEZOFtDM7c2rvZIht9ABPFj2AHmBrG9EqaZi2cKyz23
jqIXWoZ10TpXHdsSYxWJ/akcMgx5o1sVUwkT5uOd5uQM30BwqZiJj/9207We34kCsM5pILQyUAoR
ZIwAEgox3vSUOWrooSev1sxn6tq7ctg3dR0wjLQIS/eHeK/0ekDNo1MdU3XEW4EJ7CYqQdKmxjvX
eqaIuUn/nKY/QBJmZQdb/6F4X0frMFWHZOjD29stA8B86BfUCyYX9RZsgKTPIukRbHRpHJHhXXQb
NkaYGAcK3eRr0y97REeOttcBC6FYz0VP/TJLkEcZN7oHYOte9W2V+o3j7m//qg9kYVkL5p8EqAUb
jpqc5QBn3WhrTPMimzwNehMO7VcPHn+m1UEFFJoRTGCjtuXTseTvho43aWx9s/quqFNgWdPGpD+J
qAIz5cE0nLrGDQFYHYgRTC9/YwpEOjOMq7XMjLHgQgGfHT4stBb9LbJb3sSV01JqeVGGX1NQvkmg
MhX5W/RTqGsPSv+lMBsEfF8b/lQyZ5MZmw75G0BjGeqWmeAezQ2gPrxbIKGM4yMYFnZ5/Tw5b0Dc
7cxIlCfhfenN/TS8d01+sIvfrBqQ2nX3PFlxkRfKnZhUmyfGkeacGSyk59F1p6JJRGyiTq35XfKs
iAeWHcf6ZEHlKf/SVH/M9IBCR1at5T4XnrIZa1oHfgTeBlCXXL40ogaTdkdcE2X6l5Y/8dNt3Vo4
JcCzwzVHHxJSM7LCm8DJSVpeWRG1zSdvSHaAHN71050DvfO9gph5AXNCEpw8l6twBHKVvKqtyNVp
2MSPjbbWCby4T2cS5r+fvcgDaacOxIXgxTNPxBI+vZMX82MJmEbB0CKkoA1FNg2mXQA5zLIivWO+
72BU/PZJLC1gxlXAQSAmuEqPGQXQpgWy0xETfrNnv/67r0vbU9fCMzAabkW8eiv0Z1es1eQXnkVk
tpFwQz5n3itpe7x2NDpSVHbEO/PJHNqIDpjXGPgb1eNwdMh+sFbHdpaUF6kPgLnZwNK4SiA5vd5r
HYXydlTgURRO/Vp2A9kUnbkGFXMlChcfDVdzugovP3LNl+pFbSRB0qrNT6rxUBdf7G47tSvgIGsi
9EsRul0qXcer/JQUY3dodQN1qzbJo1J319oKrp54rAbpyzm/gNGJKxyUiZQFJQlEqT0Jq77ZqZQ6
vmeXaLWjxu+WFLvb6ncVhM4CPThMSNHMXNmSdmh9ZRkAsc5OWfo1sR+05EeNC5Su5auW1gU8Y7RP
48kB9tH89zMjQBj4sdrWy07o2qi3TcK23BVHTML8Qti2txrn7+1lLR2ZAaQ0ZM2RfLrqoaomoyex
Z2cnMdqNrybZmyBmxHXz3moKtm8GK0RsBpJHUM9frivXGaLtacpOOVqcawGH81fVfL29lqsLLMmQ
1I+SNDFprGYnRIi/TZN8nQz7AZ0PqK03v3RSPmO2aQ0qbFmmCaxE6AQwPqXHbULdYywHM8M7mvoi
ebV7HjbGOwohZnd0xVp1dPG4MN71v+Lk+VQlH7uEW0Z26jsSMsSGalcF5N8ohTkPqgG0Gz3jsv/c
KRnJ2rzOT7meBcXgnKzRO039Wtpz6UqhpQatt3iOZmbQS50ANXOsGZTzUyac5JNJJusrrZJd176l
MUzubeVYFIbuWHRbodyLUZ5LYaNVkBzpgfI01nVYmihNlenB65k/KmsTskuiAJeLggBwklB9kETl
JjfSlgl+agWsUf9lBH2amH4hVLi9pCXdQ2cSsGVh069pHJiFcT+Q+JWnKifaVsnAEg/+kK1Ltd+2
Tl/htT6ir7xZ2cirVx63DGhpeCcBcAp0dckQJgoVqkMhtdEfNeXRW0kArH1+3twzA8gz0OykFeGn
yu9piEbO23u2dIHOf71kX21aCkUv8evd97JC3NYNgb1i6tZWMB/b2QqoVeetPa9gSjeK2Br/5QbJ
t4aaNasZPt+qewUcTrvbGzT/5xeRGo7Xc5CemDlg0aYsbZCK7o4OUHD8BC6aXckehn7L2TdafiqG
vaXvqnFN4MJtwYOH6AT91/DevXk7z7arrQejaGldnMCoiWbdhiiPTlaPvlfqSkhGcAXdXuCivBlU
Go8RSuKy1RlqUK1U7QB53pa+ovz5p1jr/v+IOaRNxFsH38RGmwQKEtImWqOW2oC0L07MZhS9MwNV
gh53KkCTkuuAbCNRNrTsAyX3PjdgMKytNMoz0LwHaALqqxfdQtWQpxpgij29fSunaTi2bpIRX+8I
f8URapM/urlxgJzBt0FH6/OOqY/csNKQV7a64UVa+zb+k0NcmL1vizY9koTGwVD32YuobOI3xIgd
jNF29GtRJzjmEtOAZpgjYQoYe2AvDRm4oPIhR/xNvH2iqtMjIjnlgJa7OMT5UAyrsULbGr2BxDV6
T3zUIWLq6xV7791Wi9RKe3fL+DtPlVFsKWvQfJhm6qZXMAaP1hGwzvvMAYaNQd2/mtHFXwxF1X1v
IJiWR8T/ZnORfcq5SU+qlnjg+LJT5I2mpD5QzRhBvEm0B8zrxT+8TNc7vyXUC5Qs1YPcLKwHljt9
aAut9jWuMFCDjkbYl1n/DEQgB/vS1yu6tXD10ZeIasicw0S1Tb76TjfkBgIrPJjt4x8mtJUi3oLu
YoIcLboo3BtQLsmLshq3YJllshMxwcQ5vWvZU9o/dKsgQAtWEhlKXH5UzeEByKEQ7WdQkiYtTvkI
zunskQO5vBUrZZaFzcLjj1BkRt/U0cd/efETzYh7ldfsxJJD/Oqssaotfd7CKcxlO8SkctWoHK1J
aJWSnxzyuQf8scGNzW1LsigBwYCOdvSFxIbHuZoqgD45pVVgtV/stTLqyvfl0jVnKfD9O3zf9Dbe
BrnH/+rnyyBJxMtiSx3xeeeIru+Ghrc/P9s4yQZi3BAzzcbcLnZlA8WYkxrcF/kJrHKB4O3BMCL4
5jB1B1VZ68RY2qpzYdLFc/vcYplX5qdRO7owJ/rr7cUsXby5nQ75AczqI8lxqatmxgbbRSvBqSGb
MhN+S0ufaWG5vS1m4d4BTAdTQnC+AY4ux+gYbTVQ9mG4EhMJDa2IzNrax4P+/m/EoDkHlA7gt5Sf
JziIlWKZKTslRntCkcHve33PrXFlNQuuxAwgOUMce2iulHsrCeZumKGS+jSCTVD32o3d042pPSVT
ZNPGj7vej/OVFMSCIsxHBB8f+VoQWEreEQXpV8a1sj4lLworNnV5J+EsrOIHKRP6zHBIYO6UNIE5
tHadsqxOBkeizrfW6iUL1waQ8wD2BGYTLo0hmXjAZhtZ1uj8ZOkh+/Rp+FIP4Ro+94I2A8oAlVJg
ksB6edIawGCo5TSPwWCVj68d34wpRS+q4vpTdr+JhCSAFEKr8W85FHIKzazogNUMjAct/jnd1uSl
48b0DMDLQImAvjVpt0aBIypUChVL8mAMh3FtqxYFYOZcRxcFAA3k41YVWHj0RdcnFIKqELA+4f0L
wHuOQBHmC++6tIBcKz2nZzU2yNH3bZNsDe1wW8LSYZ9LkJ7Zxqk0kBR3CEdI7hNHD+E0bZTuZ3kn
mtzHzZihemYGUWR55OuepNNYj4NZnciPKtl7fMWaLJ2EB78dtZi5j1qVfGpH6Yg62nZ1EuWXsQp0
Z23UZ02AdCton/E2MSDAZDtN3cUraI4Ln0e9FYkbjPg4qIRIWQGzrZhpVwoHY0f91xDw6vVirfB5
/eTC8wel91wGgf2QlMnN+YQ2pZ6fjBY92eh08+9WpYvvS6okQFGbNDm+3yfikCn9ZyRvtnac7pHe
u/+0L0RJu2UMAsmhBKLG2ld7X/t8eyULD+3F5+fDOgs6y3bSS/Dy8JNT72H3YpSl+vtNHzLGpgGA
xRmvQj5vJa1Z0hCvPJl2iTI7WnpAvcqD2+tYuNzIq6L/FKPLIP6Q04/MaZXSjkuciFltJiHeBdgi
24ZtYs7uf1mR+JnHTtE0gpygdP+0wUnQzevyE80ep32brYQ2iydy9nnp9tkYktcB74TPi+zgqBuh
bXqQmd3eroU7eLEGyTvQbNYNSILzU8G2br7t9//V52XsOkQDfZVTh5/sIshKX1lr3Fg6beRKgBMC
F2duULvUWh2z8llSQqWqokufB6H/UVJA/zYZUQ8moHBWHtd5yyUPHv4HwOyhx2i7kzW4FGM3GIg0
T31eaE9T4ySBDug/n42tE2h4rMI4S9333Ej1tT41aaWwXzMvrQtLhnoi6nHS9W8oxV3pZ2AJtz9Z
ef8pn9KIWFnoefw+xbsSJZkCrSN2pmAQ9qVyDOQ/fiQgzImzlXsqKd6HkBnDF5D9czj90WpwZm+c
cVJJL9ByIwo9sPJ9WawN5qxJmHf0TIISD1bMQTwQdehgHjfU/XKXbl+tQNK9ps5oktv4vvqH0dDq
7rs6V5+Xrv+o2qwpany+iAGnG5h85WlcUqjzA5Buvi2oqjJXi6PePop83DVmHGT0lJv5ijrN+3B2
af5ZCG4osvJIj2PK4vIciphypruY57HiJ8U79BoNkQkDGkAUm+2KVi3KgkYhv2G4GOyU3uPUGFTg
05poTLaTJy8Bjyc/8WZOnWob3Vmx/4s7iBo1gnnEVYgaLheGsq7qAUpFiUo6bDhlG27GX5NS+d2T
andb1xZFoUSDxmJMLF0BdKZdhRqAiZ48JtLAII+6QIMSeczTtZr4mqD572eXprdSYCBPEKTnD6le
+HlzKK0mGJyVVJf0uH0oBWrHiBY/curyuD83m970OjT9TUpy4Iw+kdHai5GsHJE8eHMlR1KIvsVE
R+yhqdMZvLckS3/0KdhOW93bGGx6UpAXLR2xLYWxbVTAABhrXatLColzgzcCABrEe5IDSiwlL4BE
DHwuZI4L3vsKz/xe+fwxaPt6W0k+XlP5pp0LkxZb2kNT6qONTrfCbrc5Cr6A+nF+c+q2D+igTHcV
b+zAqFI1UAwNtLJFTYa9V8/mCxqFVHpT+j0yGBsHI/K/08T5qmDG1Y3trVpN4hEjxMz3xlx/tDQA
4NeA8dw2uWL5neowbKSKVDNB0dyaGi9kwBfyM16QT3aWxZhnrr0jG9Gk5rGi8z2ATQZFJuJ9rcYt
QJHM+DkpkKuOR807eoT94NlQHyeQn4RTM9FdP5hukA1Zf6gKs3we7U5s4qLRA5fZ8VOd5X+HNt22
adsy30L8GKjU7p6VRmDEKBsdX+jArB4L0Rx0tDeqoH4zkcll+ZFOGE9KvNEIMH9kbYlNkdAyCdtn
Xfpt7gwNgbaCH2xPPwGlhOx8OmJ0pkjV7QSAFTRK9gnGGxiotY2h/2ul7loD49U7hsQXOgRROAUD
Gtqt1MsryfXEIh5j/0Pal+1GjjPNPhEB7cutpFpcttuye/XcCNObRG2kdkpP/4f64HxdxRKKsAcz
mBsPlMUtmcyMjCjicgxM+7m23lY+A7ICXNiajawUSPZwHa9H9ezIV2zJ6qXwi9g6NMPTUiheeVce
Zf08qGQdtC5v8EXwLmtQvTDKuLX/tVg47X0DL6RPt7f+9TlfrazajNB+BZpCjszKYgLjzQwrKxth
+1HkkZPflyna6iJC9GDqUR0iYW+qusK2Fgf5ejxiQSiH0oB0vqFDpdvFtMAujsenqX1beP5nbSAE
A5TiSit2pWaVlDX6PNqpjPMU0nd7Sr/fnreNnw8vjFwUFh6/Vd5bc2r3i2dSGifDi/XaNG8r/K4/
/+Lz0uygUw+IWh+fB/9AbtEoE0N0ewBX98ilBdm/sqru9bWbLXYS69S12kcx5Xlgt0wRWGzaQWoY
lRnAxAFOuzwkBkQOu9qqaKx1bdR5v/rxgaq4QlQ21rvk/CDmo1svJcPzRbSBNdaBA3RvMSpu3s0l
B4AXAwFcDCm8Syu8deik6zmNmwa0PuSTpupgvDrw2KuAkwDaiHz6ipm5NNAA1p7nBI2S44hH/vM+
HN+YrV+3lQY1JgAu8HK4lgExE1wjQw837JF4Gv/h/Fc1KO7SjVm6MLH+/WwtiAdNjk5fyFNZhqA/
4sVbo3tpCJLTtWZw3VMb3ycfxT17u0dfm5nRHox0+TVFT59bZDb9BD1oNBsC0Jw8Eq9VTJB+tczr
CAA3REHf2oBELUlngDYefskS1RQ0blbvcc0kJ28AzntJJxDhowgVgM+fh6zK5z3AsO2hACoxtHVO
f2i81yOTVv7OXtaWXtL4Ku3Xq+BL+onSE8oca6MGJjGNR7/50eRdv2uG+dkleLo3bUjrQfHS2dw0
Z1MiPQgcTSSLXlBwTdBsZ3lZSKcft93d5ohsdDMgwQ+gkXzNGRy8UTwjYJJ2voLEKuyrextSkAt/
8cW326Y2B+MiIkAyDYURQxoMOv5otXgTaEfy+XNZWR8bMu1vm9hweGtT/P83IRPN5+CAsAcHzCZ2
9uDXX4gTlvQ9E3ZmQrqBaNK0+cQ0bAGvCKru55ANkTvGJf1GLTd4x3BwPaCKtCakrko7vTMkWg8m
EKbnoV6fjPl3n/y+bWNzA5zZkPwSh0qwbbIhxR1BomoeA336zloedOO9MFVQzs31WUuigBPDkcjB
jQFJXMQMOOJktqPU+GeqjH2jJe+YNh1tpehnBbwXwcilqzVn6lXgNII318khFXd2cUAR/XB73raG
cm7EvDSyrEjY1S9C+ioNQdb1vaPiX02oukpUZqTlIXRcuNYgJcC9z3MRs+VD9Y4oYT2NAIgBjIqA
WjqXI7JzBhegRx/5mIczGY66GNGVqwTybjkA0ClqYPnGJYKn+uWUWWYqUJOFlo1zEPaXWleU3Lfu
D/Qur1l6tPmChfny83wi4Jga4MrG2f+AwvwxpeaJzlmkTVb4jsVH6Rg3Orpur9g34EwdMSbO2pP9
6mQ/E/eYCUWiYXPhQSSGhxoAdFcAggyyHH1mtLgNi0NCI8vYpXz3jlGA+0qHCjbw6XJlt2l0C2VX
kzx1PM/u5rQVB2cUyaHuGlVydr0YLxIJiNrBVob7GkEWgFvSaSlB7mD0bNaf9GH+WPiVHQws/bbU
9CM89q92QWINLCWVwhFsWl3ZCiBDA5oUOZ9Wo+S82EWvP6HquEu1Q16LwG6+5MmuWe4XNODens8N
V2ogow6OiZV/FnCMyw1oe0lKRuZrTwn7ndZu0KL3cwJs0HTvGzBF3Ta2nsqrGQUCGvKeKIBd0Xok
2jw7Q17rT0U9JfeuiTTeTMdy3+oNII0k3821a++syqGBlYMi4bb1jd2J+siaEMW84oksHWVRZoA4
prn+NOo96HS/te1LkhHFEGVazTUsB7cC+qjWGsXKpXM5oWnOM592uo6GsOdsMYJhOhlMC9Jxn6Ob
OtkhiPaL77dH9mfXSxMLpABSF4hBwWcj1xH6BEm1skS/kMWKZidcBiYsk2Q72vTasdI6Mxoq/XOx
VO0YuC14b8e+r8Nl6btfXuuJyKFM/+DzrA187qKtWkOvnNFm7etodv3Hum2XwGzm4nFqIFiNW8p4
MRq0J+spImttrrBRG0Gf29l5FXNTHYUrjFDThnGPdBh4aPg8lhErKds5rZbtyVKIXddArj0o/TEN
BVzJU7IQ5+PQuuB60blKd2nDzV7Mz/r3s4dM2pta1lk9mgF1M+r0fQZIa4XwxH+7j8Vj0sQ/K+UI
qvqXdsrB8ploddD+ekem3zO8BrL97bXeGMqFCSmc5wiJq5LBBBI6JnQ6xCmb78jPdxjBIQFoAPID
mP7LceQLL4qJjt6TV3y09GPehKzA1sgUh2XDH6Bo/NeMFCiAOWMZtBJmANOLkC3VzV/ZFInmiXOw
GzWvHlOkYuR+1/V0XliUfEBpEMI61nug0PLDpfdCN4f+VkJ3vc+CpLo35j14qAJD/y6q3eDc3Z7W
DQ9kgScGVBR4LPrYIZfTKho35QYBe3JD7XvROPcJ7T5NnoreassHoWlQB1XiSrZzRSuYtbNVuASK
vEXDQl/skqYLSIZ7hDBgv/81ilNt2QGU1N8xvDOzxuXwqmLJ22JqvSeXfRrbQ56FvkpnfHMGz0xI
G5MulNBhaaCfm7If5lx8HwXdiUr1iNk6ZOcTKG1MdOkwV08xgab4yspjsybLtcOkQgpvjQZtt3hY
gojsugXapZBy5bPhPoEROuDGy0g/leDZvL0qW2MBPxGcBvJd169lDW7czQSEkazR3NWzH4KNF0RD
/3Z0d9uQtWkJPas6miiADJC3t83Moc61FOqnXdXvRe65IV+W8bNZ+VCndmj7zbUo2Sc6+BB6Qae9
nSTpMa8b/zB3VYY2AV/P9gkh5mmidYO2cw50oOnmO25noFpty/rkUNDtTMQywsUw51fbYejUabgW
QJhrigbROfu88ewc1ZipBluDnbcv/bg4v/KSNffCLr09nojFvuMWMhRubkfdkHgPGToRItuj7T5n
rvigLzm9m/0cdxMaJD70M9T5IFrKAhDwEVCPD57i6GxMHfwgut3W3hP7iu4xdTMrLRMTes32gijh
d9E3e4vctyjc3F6kLUNI1AOsg9j2uo8nt/uGDbpN4yp9yszfZPjdCze0ZhVTvMqOdE0ZrYvNsGBA
pv69Lk+M/mhHtG2p1EzWgygFPn+iSVBI/MFUSf5AG9q0shadxpMxRwk4NlilUhHZHImBqBE4gZU/
VfJqi162mlPMGVjLsKEcjR+9vP5suuRIuEqbeiP4R/D29wRJs2YtLVkIwVltps9We7C6hxY0t0N3
4svzpMLSbQxs1RYDoy76Wx3UXy/dNSvE5CC8W4mf0TVSHSv2L/Z5MOkvt7fcxhqBxgrQAMT8a+OI
FBEDF9rmeWeB/dtmYab/gzKewsVtWVj7UlatIfRxyktU2eDjmIfUe8pCNJZDUkL1Stpy1GtPCqDd
aJW/okiokgHAEBA7PTXQ5yiivDhq3v72LG2txrmJ9e9nIarpF5xYq4lOf0ZDl6uFYDBJv902sjlR
oGEHEzBa666yGXaZz9aSa5D+s19IEueqG+D6NKILfgWirf9ehb+TQXHTjR22r4lAo/gA3m/FSm88
Vy/0YaQIamx7Nwe8BrRM3hjycfwJb3rHOi8wM7wmWt4rVkVlTzqQPZrnhs4CQoOUwweztQ51OhxT
A5X4xD+xvleUpbb2GRhR0IUIRTlgyyV3lmt5Z4OLAygh/2kiv8bhQYxvz9FY5ybWLXK2zzLSjW6l
rdJl/qOpv5T9C/MUoKqtXbYiPdakORymnNSycgq9MZBIPVHR/JMTlCI9lx5v7+StygsaNdGpgNw5
5kqueQJs3i012gqfRm/RA6tC098RdUInC/I6P5KWnboSW4Pmh0QvQj77dw7pd4ObfC1L63D7x2wO
GAWJP8lb9JJL2cipNrXRZCUQEZmegRKo/Np1Ks68ra2BdjVQsznwQLjvLteN9OCCtGoDO9EmbcB4
s28GSwRqKrJNQ9BBRqIYSB08ZC8NZb3gHgVL+FPvVo+Dbu71ovzgLKp3LLCiG97COzMk3QvodNHT
P+BHfzTpfcNzZ294FGRIU/IVyd1lrwFOkpPWfBQmafbLbCZ3/YC+lCWxnX0NmYSdZzddtOhjEwy8
wHvYsn+YQMwcyrlJT/XiQmAgAVqHGEm1Q5+Ftcso2rPmxB+RzGtX4iXu+K/2xNy4rP0qyjoGuA2i
6UPpanTH56EN2r5so8agXViC/RZgGUB4an8c70vwgN/5vS9Y0HoAXLgJcyJAOttwpLO9rzmrT+il
9fcWWiD2ohFlYA52HRABRffOd5xDweAg07ybjlq20pTY2gI+exdh6zgVB9FS+5jrehI6GrA7U9dr
L5aLdPeCOiJ4oAOXa/MHLUmNO9NePlf4vz50o1/vFndZDl1lvbpO+X0pLHdvCOLcp2X+YGnVocQL
d5fbLIUwYsNP0yTK0GymOkD/rhb0S4qq/pyT+3Qp57D0UivwhnR+0RpE3hzde2HL8yRy3AV/QE57
V2coJw1Gxj7bddZGg860aHBYeYCKrRUSZooQzJP9BwicOweLDM5u8LT0aAsmItrafuCM/JNfeJMe
LNj4O2RQKiOc+sEJUbkCfKrjSO+nNH10QSoaNVQsgYDwU1Cay69mdhdc+jqah5nRQC217YO6wOMB
QMzhw1gzbWeJuYxmMyt3BuhV77uJ6pDdHkb8yOSfoXWMz0k+6ie/dSc/nAsy/tvXqW5H4KaG5maZ
fPb7og50RO77yh9+V+MoAvA8VL/TgfwLvYr6cSnxeOn9mr4MM8mDbpimEFhPF+9f7u50m/svnr/P
9NOUfBS158cZqZzDYvcJfuvs3vPaHqI0baAk6QPsFaEPwX4oalo9VpAHCMeB+8Hc8R6M0RX/nBlu
Ey9eic2IrVTfCZwaNEMIDQkMiieKDs1Il7Tol3ZGV99rVIPWXlu8WmX/223b6oM3DGa49g38tprU
21tVmh5sw5oe/NxEQ29r8b2wGI/KHnzmpeV2T2UDyUNipHwPTt3xROsSOHaA4eodGshJ5OImvu/s
yTmhWoaBiopGpVb+mtpkOIxTRp9JTmlYd1362XAmvQ/8fEThNk1H7c5lxXyoeNsEZqpnJz0n/tHQ
ejt0lyy7qxLdO7BOF6A/nsZdw1sLAN0uCZd6yu6o2fHDuPweByPMsG9BBOtEpsXfSGG1po3QtI8e
I4h+rnl5ySe6i5u0xtLlcWvtgBexFHHThsu9+LzkCbUBpABa0uZ4xSRQ1cvBKKjdGaamuJc3HO6F
GekKSbKx66e0z+NuCbzkH073Gd8niSLGVFmRYhg6Y7X8pMnjhZxsfkesT6zbgRv59pWrmjIpjNGt
zOW9jxWh6OHmDVAG1kPnK6K/rXThStaA19Gq8oS+yMu7kHUAk6LrLI9njtbIgNTeT4MifVbay/w4
MORfcWCKdO9XVhXmQ6VFlvDzqEoLFfRqI8S4+CXSFvFbcL1DBCaP3SQy5x3RFENVfV/aG32WAa3k
anlszDsnmlUMCBtxNLqdgMJB28iavpaWa5oKYuQTlkt0z1XxaIBsvIhNetenKibVzYGcWVo3zll8
a9WLjmttzGOL/AIyYKn/vb3xVN9ft//Z99uKONCWxiHy2xpKlJZVQKtR1dS4kRjHdKFW5aCkg0en
tNrzSIakG7HaFUg2hAgz8n0Zkt3aMdCl4LOofnYqmeaNFVrhj7YLFwnuNLllTJtGd3IYg+CIwxDl
8KEJujrb43/+zZL+wWnHn7cncsNPIGBGuxKoinC05GwheA3NNm070M0K/2g20BNgojuCnhWBj6FK
4mysGoyh4xjw83VKJafEZtNjhg9QeJZGuHi4qlto8/sonwJADK1QdLte7oqhzY06p+gjqaxhZ7T6
czfXqizHhsuDBPj6LERlCRV2aWe7deG1fkehB1ceNHqo8x2Z3l6guDAhbW40WBTEnmFiYHuvNgIj
JUH95p4eZDpdvNzwIvAgci1zOZeIk3UzozhBYOA9tbniDb2xFFjgtRllVffAVr5citHAW28ubJwd
L3QipdLR1ucBjQEn0R8qF0dylETTF155Cy4e0FlOLiqm86fbB2PTgo55MYAMwRjWv595mEonmZOB
KigGlSVkxrxh/9++L+0jofO+g+Ohsfs1t/aCKPbQhiMBOBg5bGxUkC3LsAmetqD9oADwcts/Uf9L
Ib7niwh7F6Xn/sc7hnJmS5oqxPP2KuNKY7GfrY/aG1n417APXbq4s2wo4yHDLM+UR8AgM7M8HqFy
gv4P/NeibI/sVlSrXP7mtJ3ZkrYtrU2HT3iixWZVZaFI82/LCIbmqndKtFfWdsBz6+vt2dtwKOgX
XUE0az7hChFEtDk1+xm6DFlND1ryMFN2osnrbSNbu3nVcwaTJNwWNsXlbk5cc9ZGBEWx5X+wq6BU
9VCt8yJVAMAkgs4QXF2AQ8t5IMOnZo48VB4nLVrb8YbstR96ApFW/+1QrQtD0sEHeba3dtJjgfSf
nvetJlaQtJ9spoDPbuyDCzPSTVXVLSR2wF0Rg8eJoYOHdy46a7PATp87QxHLbGyAC1vS8SEez4pC
N/J44LGZHEYe0+lwe/k3TQAG+qcVESdISqBaEHOyDI7lL+i33trliC41xTbe3AGAaEHMduVGkbvo
7LlyarwGcEqLcjaDrMqzT5mZZy9NR7WoMbn29hQqik5/K0LSEhlzQ4sWa4JeJMMP/CZNkF8kSWTY
ybK7PX1bLxDQjHtQalnVK64qD6TM097OxixGBBP5CMgoW355HTkZECe2s+y30Wk7gapLkLj+bky0
X4WVvGe8Z79Bck01KP+groLxjvrohC148TpwgCFZ8I5n9sVg17NxdvMt3ZJ7CdOyuKaE77rlX7Pz
VNI0G/7IB00a7qdVXA/mLm3UXVn1S29lcQv6qRAIkNsLpvq8dKRcKFWkaeKgWuhFOi7v7+/4PGIm
oF6x469674EQplCibLEUxJ/QwEcfdAHo+20jGwfKh0TA/4xIYxhqKKZM05DFWhOb5r+ZYx4Mowp1
FXvWhm/ApbCq93hAZ11RPEJJobK71Y7v3s39AUkc5IVUUI6tBQF4EysN2B+y2tJgXOr5dd8U6Ccy
fwMhkGqKzr6tQSAVA/0sVO+MK0W0afB5V+YeFrzesTLy2a5UOYHNIZyZkLZsVldL2Zcw4Te7NI3c
6PZyb48AMfPaugfogXTqkPMzeAqup5hD16iy9WDudxVTZIXWB5B0TUO89a8R6R5gWjnkk4NYAwkA
u4s1eiLkgfBjUf47NN/7UQH0Uo1p/TlnnqQvmi7NU5hj2qcko4GrH2xTkU7bXpb/DUmObMCDWRUa
Sttx6dwV7oEolkUxYzKQtCJL7bERywJ1sWgm4jhTcWy0YeeVw2NnVS/tBE6XdFY4sHUhbiyUXGfi
DSDVnShglvyTmkOQJ7FvxHk9HUTXBAAK/6fNZ0h725/mwdEqTGI6kwMjUNWyuJGgT3JQPAsVO8JY
V/NsR0xDInB9wpDDfibZswOZEVDX3h7MluM82+Tye8FNDb1t9Qxp4nRH6bHhj34TNCqkwOa+A1x/
rbKDIlvGMYPPnDquwKuEVPSQFJCdeEfrnA/m3f9ZkC58nZioMwDLFbuMB9MrukWC2xOlGoLkcpy5
LTyPYJP1xVN9HN8ocre+2/D7LQeF4RVQZUtr3bo1stwOASrIsgIqnpv5a528PU6/sLHut7P9BIbb
qhceaHZ0n4X1+GuxP3XDXlvQb/379mStk3F1Is9GI62G6XbphGodXgTTrl/agINrwNBHyLP0UZct
+9vWtpfm79xJS+PnvWOmHeaOuEdHD8Qb2d2v1ka6CAAitkudeHiy6w958t3Lv7DCC8bix+1hrJNy
NWk2sAe4dYC4dSS/0gyD17iLQD678uMpY/eMGkFDljAvLMUratMUlH/XLndgbeWMUNqkje2OPo2X
ygEoZTb6Byi+DgdrqKfYqyai8NCbK4Q+dRB8Aex0lWssWG/lGmr0sZdBzqZaWTStWvWs3jSCB/uq
Du2DQEzaBqJExz2yaDS2mu95UiMLqIhkN/3xmQFpH6CxmTl5a9CYpu6RecAq+85HO0t3t/fB9jjQ
KAZ10/WFKO0DWpYtCFXgafJpr6GKWt/9t++v9s/cQEsXi80JrpXiS4OSpYqJZvPng3IdWiYGSpBy
IaCDRAVtuwoFqOKr1R8Qmb3j5599X0pqCFQ2i57g7VwsYTo+Yxz/7fvS9Bui446XNXnsTZFf7VSv
rc2jBzG3lVUJmHqZsXaxR5eBEwip5OWnYc+hqAECc77Wi6aYp83dihgf7wjIPcGfXC6z35kpx52D
G1F3ggqID8BNQnuaotvTtTWeVVoM2TjcXWDcvzTDBzElRTUh9et6ayKrAgvNYoNjWyVi9keOQfaP
UFxB+ge8mYB/SpZWfQ0jFXBabTYesqT+RDp0Y40kr4JEB8CCQXe6yMaozg5TuUSDPwdN5T4WiTiw
xjq42bfbI9/a6OD6X8HPSHzDL1yOPE2R/Kw9lO3m6fjav5GB78+lc/51aZubddOOY4LboP9mzpGp
avra2h3nn5d2uTUT3qbFjNRgtq+7aK6fzP719vxs7QxUT6GQg/qVAUKJy/lZvLmapgbhhl9YAf/k
3g8VKPtV8MrV6cq7Aq15PgSG0CtwxVpRME30vYvzlKRFMNgfejSJFseJvXDfB4WCqqK1uehn5qQ7
oHVaMYM/Lo91+hlvT71/uT1p66RcDWeVSzIdlBivSH38zHEKmnhpvGjmkzlMc5QlQLp35nTivRX5
SHumyfA6jKr9thWygaMMjgmHGOmNdcOc3QoT0Uju6yAPxO26ryYRmczYC8M9Gkb/sZ18hXdSmZO8
02JUwuM1zGXAb/NJ7AuHRCgthTZ0HgHme4eXArMJ4NAQo0KNZ13Ws9EVI6fJuNAMcJX8tTELgFQL
FEVIYA+1wtTWyQIIEeSbK806WrcuTVHSTnY/dllcONHYHECBBbjR7U2iMPGnmepsNBqHRHHvIqXG
61edfenSH8L/edvEOiHyPlwZmXwA1IFXlZ1tX9iV7UNYKJ6b+6L7lvlfbn9/awioOiN7s/LAoLPj
cpYEzarUs2kR1w2eBpa4t/QX7qkQqFujQCVHs5Cpg0qKLBWPXYYEkVcUsZ18r9NvYj7cHoXq+5IX
rTnJsV9B8WW1eyCUilaRxt5yoee/f7V/ttAlFNETE3oAced/BIBRy35r2g9HRVirGsW6VmdW0P/p
pX1WF/HUPc0Pdq8YxJaHPh+EdNTTocgrVAgxiP4BMtZBk/8qGUCkwz2aUjhRPdRVcybtLDLz0TV6
mBNDOBUBS17s+aDMaKisSPeAZnmznvTrzrKgb9m9ZhY459nBLb78tx0meRPHHbKWdhiNx3+3S41G
99fbBv5kk+WTfrY8sjOBVhFvLVYWceH6x368L/x7ktyR5DOjP3NNhGP90rc/TP9ugDyOTk6j6hAp
plImjtdduvQg8S/ihIeziNLsmC7o0767Pc7NTQ5BT7gzXK6WLEGSla4BeWMGCJd9sIB5UXx+6z4D
w+f/Pi8Fg1Xnt40BXGiMlqTc3he/2mKX6AeaKZbrehiA9IF5F6CnledKxu1ns19W44LaMd7UgYXk
5hjcnqfr1UCzL6rPNphdQHegSS4N/gb02F5fxuj0DCb6DeRLrXYSpUqF9voCAB8z6MZgCNC3q+iQ
zTkqdC4I+Dh/HeeX1jwZtsLxbJmAXjeYMJDlQNpR8p4W4JaT1o40riG/zkCbqerN3lqMcwOS45ys
uTYZCKxjVvUBQA+9srtuw8Kq8gcal3XbOvJq5Lo39ktWVfH9zD+306fba70xQcCJoFgC3AteiTIz
CdKyk98QgrUuIZsD9cARQqB+raqRXl8A2FDgvYFYIShJrqo1Tto4S2FnJardz1WyA+L7uaSQiThm
VXey+je/3y+tSZ6Z1E5rtx6sFUf7A1X1/28siAkFphWAArQ5KPEv70ph+JVoUspjknuBePH6SXH+
VAakn482CoAaexjw8giUhWLY3V7zjfN9MQD/cgA1Ea62cHy/5t+EfZqqsBen3P74divQEUWzJiCK
6A+VTgbNRd/4LG9ixC38OJp3bXos+PG2ka2pwrMbzhD/QYAnrQVv9UT3KUTo7B+N/8UyPt/+/Mbp
wM//+3lpJYaJakzoDo95OYasC6sh8pIlfIcRB1G2B45KwPUlrJHrkoVCFI7H7nBqMz8Y0AxKZ0Xi
f3Mk4AUC//3/k+O9XHPmUmi/MIPFLmRNjgUtx1eL5sNna2r86PZ4ttYE1FCGA8w0sKtyh27FG9vO
acFjVtzHBnlzRQzAkrOvr5v7LFKtnKV07AJf7+1TS3lgajxoJ0WRdOuEAHQLBD169MBGIZ2QQi8z
VnEsCUsF4J538xwztMksikXZmCnU9jFH8L7AFMgSCzaZE9cFa0Nsac+8jou3L8TF56WAhODiJV2J
zyc4HzxWuamNLQXwAHKL6JqEZKucLgApjus2wmRAdaDlpwEm3kYhMfIXvVdEVpuWbFD1ImO6mpIC
ElvLK9vMFxZjzwUFiNP1kYYTaEFub9x1VS/D4BVi89fMulxnWytBFDomJswU/EvTCsAZ/cCwnxLt
npDYJH04zT9uW9wcmL9WK/DAttDbfGmx6WpIhC4Wll5UgTCjmT2RSuGHNzfZmQ1p8voRPqxabdD2
J/jho977dXsQG4dlzYYB26OBPvaqsusRpy7KaUljgz8sywuphwMd2FGbVDLpWyM5NyQdfbfKPQJA
KIjaQlqgYU6oAt+N5bBX4Wuwp6HdHDHE5XKMbsnRyrqS0xqvmrvvzTtLBYXamCyILAIDhZQx3Ivs
HMF9Dm2sfiRPhv/RysHb7nyHqFWwvFGwB7ljBLxndqS5QtOnXw0d7FjOFLDytVFR2l2/dmDABKQc
rdIraaZ0NdYpnYGCSlPgLBqcFC/kqRF0nR4C4heY7dsZQC7NSR4Z1cOkqDl4cYvia2s/+smuyw61
pfCYGxxE6zsBNasVSABOBmkH9KyztMbIwNGpg+u/RQ9rtdchddHzz8L95oKVvKg/JVwoPM/GzoZZ
BJMrBxcwi9IZLQD6QXqXpzG6R6tXkf/Hz6/mzxzbYgyV3/gFmFSLLqTG2hCr8NDrakuu82IA68k6
s9DZWuH7LTgU0TRXRg47EPpVy9DfvEvC295m84zaaJVAUyNqCjJyGlFMkZcUbKBlpb3oxM/uwHjY
3en1O4qk2AtnliTnbLoMjaqrIInXgl4rLLkiktlcdDgaG5QW4OeQEWwmaBgHewJFa/tDEwfKFXt5
a6LwZEQC2kPO+4rWcp5allkFyMJFOr72PdsVpn+Pnf/2GAZX8l8zkh/oq8nql3HlJCfG60itj/Pw
ntMBgJKGWxLBK8gCLzdX4tpdO9Q9jVN2P7dHcbi9o7Y8meEj+EZwjGSHHOx1g5kzZtrA77orn6MR
tbkf5ezEMnqnm4rbeHNV/hqTWfstjXG/Zi5QqpCnzFL7K6Q+gnGyft0e09beQkrdAJkFgmVX9s5g
KNBZ6cLM2J9+5ZritG9/HfOFSwZwJbmnC9qxJnqbgUaenagbH8nblQFW8tq/35cuL0P0Nd5dQFRb
/Yvvtgcwc4SgLVB4xa2lOLcivR3r1PYaS8MobPZpT7KvjqswsLWxwH7rGGD8QF/XVRlIo+PYMRwN
10C/dwu+76R66TVxl/tklxFoqb990UFgYyOTg7QaIqXLczLVPjddKF3HCNeCDwOekre/vzUeqH3h
y6s85lVBSKu00qJoT4hFf3LGRw8c8Ogm8SP687adrYWBU1wD8fVSkVE89rCU1mA0sONVeeAM2dEg
/NGzVVS5W9vYtpHoRE4KOQpZ3YqAfacVDeaLPxSjF9DBUUzYtgHHtsFDANcl09Qyf6zQgi3Aj9Zm
kLzejbmKHnkrnESCYmX5Wh8RMlBooV7uzp6A72pJlE9JMFjPw5RFICFQjGXbEmI9aMEgOJYxPWmn
e53Xz4j3oJbjVsEYFGBsEI7ieleZMS738GKVReq5MJNOqDsA+9QA2s267uCJL7d32cZrD1UAvLoR
KgO4IqNwuA7MjFj6NYANevNoT3tLf0AnmzPgxR8mreK235C5QTBxZk+6xVgCmmkwUqTxjEC5BlDF
bPfoiq0Dui9BlhZRwPzYOzIMF0alsFlzmizPAMWMzTLkZUS4YldsHVUXhPkr6w5kf+WbQAf7l6kz
KA34/iMd56hu7jOv+Y9G1j1zFlyO2uzkJTgg4qX5NLotxJ7u3Fn1+N86q0gjAp2MHnYPkcClEdM3
xFS4eFwy57UfX2breHu7bc6U76KzFDkGaHtIG3vwTYP5kKSKB5M+DWK+W3GWI/RPbpvZaL1CCkOD
iwbzO55njjRZZDYar+cABgycdEHaJ6e0SfYmKeLFFuE8r9U8K2TjEEDKIxySKXLKtzOqXf4G6WZ1
DGrnzG6gWu7vPe1+HlUF3q2b6HyQ0lnKLJv6rbk2FE33OXslVr13FyeCQklgqdQ7tzaGp0N/eJUP
RYgoPQkHwV0+JS7C9P64QM1VEUtt7QsQNEJGE9w115C29bb1kNtK41qvnifhPBJjeu7QLHF7X2yO
Ai8BkHBpyHJZ6884O0PNgrBcB+gQ4hNzty9y4v42WpuqXppbThU0aXibIbVxnY+HoIkAeQJi6dZC
yMb0Q83v/DILUjCcZfYU2ezjYKvirK0749yotBtIb1S90etZ7K3UWXUG+N9rkyVhpqn2wtZiIdO1
DhBu4kqhuKuSGnwmAPZMHnvMCEpmPqMh9Ycfb1+tMzu+VBJAg/cymCN6zCDlEqVCjzIV9cPmdeSD
NgGpdB18aXLlxNaJSIxuyWKhOfd84R+TynuqBxJoYxqDIeBT0jXAijpxUQwRyZvd7RFuziQy3whe
cKgA2rvcj5o3zolWJOuaZR9Qe4zHJD0knvmeCwpcne6KQkSBRXaH6H4WwMBOWWzyGWWu36L/5XJV
YnJjMNjVID0A5gslc/nuYHk6WkZboqvCgHypTe6WbjqQQihcxcY+hxkH6sUI90AaKrnVFAxYlWlg
zqhwUcwWYA9ywpQ8p8PPNy8O2FRAEQRtPGstzV8uzsizibIeimlGm9+lo3nodTs0OkdRZdnwSQi6
gQEAAcmqjyyZqXQLnA7g1IiJd0yzg6o0v7kqfz8vUwIamch7Y8bzixOwzs09+Bx/jIb+9uDkfBBy
H3cNfGtKC+jkdXaHyMSHUDZ422pVDLSVmQQ7P2hKoXgBqIRsh7TgUxPIusb58NUn5b4Zk7C0/o+0
L2uSEwe2/kVEsAp4BWrr6q6u7rbbbb8QXtkEYhEC8eu/g+PecZWarwj7zsR4HhxRibZUKvPkOXWU
O1MgwK1oFC+G2QR29nR7LyxctVd2lbglYf7gOByL5KCRLmUp+Oc+xuxQTaCzS9euj6UdYWFwYF7A
Tn/3woRE96Q1YtAeUe75Qssq7LLh49+PBwBXdFjhTzRSK4eo52QwiQ31NoO/tX270QF4878BVx5p
dKXJduG8umhHm1/MSJC56nlt3JYBG94kUIBElO9B7iveTD067KZ/KCHPTpQA9AkmAfTXXR9YO7GR
i2dIZZSy2xSTse8BpvEbZ3N77n7noZU075Ud5aatCO9rllhAnUrtIdacsGnL7ah3u6x5BsHMzjJo
aMd9KNDghbLTvvPqcGRrbQCzX7j1FYrf4DmUtEAGiNuRW4HNWVgWqJiPx2L65MdDUOjgm5qebw99
HtkNmyp2LO+MEpArBDYu6ZApOCVeHo49f+hbc+ew4Uz4SqJw4Si4iDJAOATn+F4IcKjyhlc12qex
w6Ki7qJu7QG8YkEdUt/klrC4j2AmewCIOSD85z/MGWANgKmBAxYvn+tdKQurHpDlSc5GBS7GSEJw
xYj84kMz7IZ/AHqhGPDH1jzYi/i2HnyoE1oQi4vlJrGOLn2xx5VM94InhAmkUyGthGBCrQ2NJkoP
qe/gGTocjXxLiwewqtuP7loRanFdLuwo06b1RmLHc5nT8p+mGqIH324vy9o4lKmC8DgDpxp+v802
rrlvSQjaX/HT/3tKpbnnA//N0DIUtZSHU6O1GqSnSrxsiJvsPRm/1qP9MRM2DwbJ7UMObsCVy3hp
aHjiQMcRVyQWSzE56JVXuyMCWN+pkpMn/SRK4bNm0tsmzMXkb/2hYL9uz+dCnOHiPvEh9QvuqHfR
UtvZZgdNGBiFRF3dfkNp8VucrNwli0aQQEIqHzE7/rje350B/RdQwiZnvfvGfS3Ix49gW1qZvqWd
B0qiuS8NyS9cW9dGnGrkpJN43sR5F4xOHay9nxbXBw/amZoKYbIaxFSe22kAGKZnFrjjMfOPdoNK
y6e/jyuRZQHYEKTWAIuobwuXoS2D5RXeFvrnvL1Lm79vOEIy4I8BlVgVzsYeJr1E+oH8yNxNUoZW
AZqbwKTh6ES3d9fimsB5otCOEYGv43pN+oJ2fs8TvKi1O23jeYfbP7+0r9ClDf+O+tf74heH8kRf
NZ722BAQ48ga/TBgJbrvh3itbWopGrqwpFa+IFVu8YShgj+37E3dkyh5CLHbgDp/j/500dgMsjtU
vtBQr4YHUo+JkLgKvAT6T2Dz947pZFQrcfFSQHBhRb09S4f6fTnnbVyPfjYtcWK9szdt5yUpvD1i
z9Avfvz9UhEUk+YklIcnk3I6G5M3rSSzAAzflSkPEjO07JW5W1okdNEhc2ihKvJOtJxMrADQC/gH
s58CQz+VBuIptws8Y3N7MEuGUEVAXeS3JqIaGwiNDvnIYCh26ruYJXGQ2toOvLVRwqZ/KIzh2p5T
HdgUEA9RnGfiEwHmA7SNMsMMIQXn/j1961xm/WNgHu1F9OGjfcEROprbBwf80GB9Fv/gBmABjFo2
0OZQKVAyQlOdxBpLbHS+5iDQ1qtgZXMtrAdgAkDzzTouaOVVRpA4E+eemHHsqaQBxxFlphu6ifjZ
dl9vL/3SUxagyvllhO2MCrJyQMspL/qYoI4Yi/jea9lPp+nDFDz3aHbcJ8l0Fm1+59f2hjOx9lyf
f1uJ4y9tq16I0DGzEwbbE8ot1nhfAuc36EeuDZvK+dy0WWgNK55iwYPDJFLIc6vbnIG93hwU6QM/
oUi9Nhk48uVu1PPw9owuOHFwMGJvIO2OOVUPU1cN/ujHLTr1XCdE0BPYgxNRf61eumgGzRqz6Cai
HTWHjJrgmOnFhDSXRe6M3gg9L96ntr8SZy/NF6oXyLjPmpsQyr2eLwA0CNNmpk/L3XcJaOVXopwF
z427Diw0vxNP754lZSPqDrsSBZGiDJ1mF4s9eMIE8QIG4pjScVdWZyHo8ZAUxPsc7zk0QitH1yqb
Tu8qq8BzlYUyL1DRBveKuXfTZN+6m9tbYfFwoVdk7khHWe4dPSbjcdvkflOcdZYEGqTIUuoHqTDg
lobABNO+30NE5WfprD2Pfje7q0cLpeE52eGjpqoeayQl3bQz0UMIrJl7BOiJBmnb2kdOxzFAuqeM
iFV7KEcxFsbIL0LGoi8C4QzyziMliOdIdR9nbd4GPHXzZ1CSdGh2Jv6mYd7P1JX1XT/Y46ZG/LoS
MC5t7BnqPbOtwcuqEUNler3jdXWBW6/4wGwJLJONa4KtAZmW8idoEPvPkBo0kILVEixfxbkh/hgw
PTt0TXbv4iXJIA0s9siI3rdDFY3Q5DASttUceuig4nZ7jywdMKCokBSfqeXQr3Z9wEjVJAJ0PCVY
C/huSLV9+g8FQDAB/7FgXltwx7qfehcWKAs6/divSdcsLRgiIISTHv7Bq+j69622sSiOW3nuy+mu
pR880EEk5vd/mCY8H2ygysGdofJi1YZZlJYXl2dHzCQ8EV3DuSw5IpB6/2dAuXOzxrbSuoABoFC2
Pe03g4QEB07LL9Rt7oZWLwNZaml0e1hLFWJkF9AEOSs2oUin+KMRGOTGy30K7lkWWrkfJgR8U8VP
J6sC7t5Bs9kXj4TQrdv8yAD1uW1+aekurSubr6eicpzYRcNZfR+3/qa0kq3XrYEt5lhY9UWgukYV
A0leKLjNX3ERkAH36EH6ICmRQ+kCUBrtoWF6iNMGPCHUPAzICxRz5dv27iZTfKqkefTG/IH1yc/b
o10KqzxvxkjPjaFwjdffwSFn3JdFhY3aoEnY9tt6oyW83oALrQ/SxGIrR3thdiH6MfPJAjqF+22e
l4txa1Vp8c5nFcq8VQjsXpi5z4b48NeDgntHxmMWb4bjVk63r1flKEdcoF0OwBFwegEn0KOFRnYA
ncnbthZ81ZUtZUDQXHbKOPaKs1FubT8ozPD27y+cQQwDLBtzjhVqf0osavVotHNGtArm1nNmOJu4
vuf0V0Mf+vILhDZXrBkL4eelOTUWiPsWIOkY5jzzyYBSZnMwQOaa0gdHh4D1+JBJKKl8rb0+kPKF
J89yHKMKsr7DVxH/qshW83/dHv/i/P4Zv5qks3prEmj1pedRbKcnQxxu//zK9P72RRf70bag+NNq
BQWliBb60xP3oMj0JNhzEr9S/cttYwv0QIgYLwajbBa3MjpB/AzWMvSRT29tcqzlF137WXvHLuaB
Fh8p64KYmyHLHyk/oDwTVPZKvL90Bi+/Yp7yizE3BsIXXO30rHUvfR3QJJjWqDMW3AoGOqeEyFxy
dudpvzAhXQKJ2g6rVjj9xpm0raPTfeGbj0Dv7W9P6vJo/phSDkgPiStHL2FKp8cy70IJ+ZM1mqCF
CBnJBsAkUb9CwVlNbgJCVmeVA29de1AzI1/8wYvkPQ275PPtwSztdsTh+EEbDXfArV/PWzG6uNA8
XH0039YQx9rc/vmlZbn8ecUxpjbnrWlhHE2+z2ike2A8Behgd9vK0ooALoTrW5+7rtQKJjaFzy1u
Fuc6jXR6GFooPa/cn2smlP1F/W6qGYMJltkRTR7YHMv/gwAqckzoHACCHJ1Kutr9pjdE2oPh4sEQ
ZO59Qv/h6pgxVbh58RhC6ud6sTUv79GGKhFs130wnkBns/KQXJwlvBmAfcQr8l0DpN13udPoA54N
SQk9JT2k4t4mK95kKVxDjIi2RDy7UQlUO8Z0wxSySjBLde3d90Z2YDqw184U1pAOQB4tNBsNmruJ
EeRN9dKSKjShL3l7yy1tbNADQEoJDIcE5+d6Kht7YPUwlBSaC72+hUCas4GCQbkvSqigcSKql3+w
h6gbQEw8T0DVcW1P2H5ltzUtzxlmVCIzsxPpGwpVt60YS7cTgAb/mZmHfeFG5zYNyx9BrZAP7v1Q
ksBLyhMt0k1lu8cUdC56WkQV0kOpO91ZtXkQFdjqbfHV4flnbtJTn9Wb2iIPpPE+rHzb7IqUCBad
O+jWRiMaKDrVbO+cIjN1GdMzsr7fScM5Ild0vvbQKLlLCnB+iMIugkaX0NQx8nvSNTvwYYuV3be4
8Bdfodxlhh5PJnQT4TAl1H1fJ51Bu7MLOvvjPw0X23tuhMWqK4c1xfVcW41Dz5bMHzSt2unU2Fkp
Lu28qiGumZ7IaD+3rnwsyuojkWuByvJA/7OvIu5oKsHdksC+P75Y43NiBXoLBZOVHbfkMVBYwy3n
zmdJdd0ZK5uG20WFUTahxU8V+pn1bHt7LteMKM67syHJqNOsOgvnW8X3mvg+mSuudenCnjlcUScG
rOVdnbXppO8mCSnPJsrtenMvNT/UybjX6F3TkpXxLEEVASX9Y025VsGkNtpN5ZZnN/2C0g7apdIQ
SfJAWOg2z9MwaUEvXN7Z9gOaa1dWbMlFXNq2rl1E3di1XpqwnfdOUNovwk9DEMwGBIevyz+iNrdy
qSwl8K5Gqxw5FzkAPW298gwF4O3YgbRTfzHGatP3T97cIt5sDBtqjv2atO3StnGI6c/UQjrak5Wc
imhZ4tKJI2eDpg7PupP0q9GvQXWXNg4S/tgzyNzMjB3X0znUblfLBB63mdqXyfGPZWXccZ2gmjW6
hyxew1Is7p1Lg/OoL1x8B9ZmNoAY/Ny326wJQBg7WVHn7bICZKiBMJ8o2fM1POg8CtV3z1f1XO5E
P7xagLbI1A/gEQDYWguLHTM3tw/44s8DazBfT4b5rhXHp3bSmQRtRQxsYGX90HT72waWtsIMavyd
mkKyX1klSrjPpwyYRuE8C3bQuuc4X4kolsbw2wuC0NFAgmT2xxfrwhkfc8+CwIVZHUvxyc1WItil
c4tAZb5LfithKpF+PGYmSwWGUIFMjHlOVPfaExI06HaYzlYrNuVUPt+etd8tHOqyX9pU/FROwTrX
ZIDNgsh9S6siBAvPLpl1hbtiU4CCN0GWuy9phA6nLWvSbUyyCClhJILx1vGqc0OnMMPfeZzdlzy9
BwXJoXLqCKMJU57+yO1ik5n9kYMmTSubyOs5ZOT9oxW7h8YmG72cottjWtwJFrwBwcsafTHKMgGl
PYFvd24pFIeebVy2K/+eixrMEciu4tkCjwDE0PVOQASbO15Wo7u3j5Dh0cjKaVl0ARcG1NKpic6r
RACieyaOFzjWQYKA1uF0S7Qn6m667olr31uQm+ne2uwtbsI/Q1OzfxY0l9BEAARyr4EDvwla90My
nuvuHDMe0jXW0cUjdWFN2X5lPBAzMYFCL7l44amMRFGsPXkWUyyXk6nch2QEMNEvUcyMSbGvOhKI
1gkK0gZZZh8IOPWaanoD/OGjbTbbvPSeqINOI8cK0xHcgQN5vb0/18Y8//2FGxEF6kXeXFt1M7BW
ctSVppX7ePEEXMzq/PcXFtgYC3Rj4FAb3RDIeD/xZ2sN3L22T5RTRriWmW6PlcuZCGP7gwRRXUIP
shDbgn03/JWYZm3SlJu+K7hTuzEOhNYfLahk5M1KIm6pFIgzjVc3+GB+V72vJy3JQes7QVn8nEDH
XrRvcf4ByQQ9Po3GUyVOnvOsTV3QFB9F/amkTUDZxoY6tm3xgIodo28G+8ZHyHavlJaNeSbfueiL
D1OcTSbdMmkkPqwgJ8HyyANkPmnPujyYnYxqC6B2du7Nb1P9Q6++imabxr/y7lCJz7f37f/nHP3v
DIHQ8XqG0PlfGRmF16OTETYaOY2A9wWZUW0dxCUT14MOXD2J3UbayHcT70Ibnwve6b0R63fgdfpx
+4MWJwaCVg7Aeajuqy8TIaFiVks0EneyDyx+QKvBfoA6XOesXPyL5+nC0HwWLs7TNPT2ZIxoyLFN
eVehLt1V7bFflQhYOlLASqKDHCRkAOcox3bMtThNKe5/6TghOus6MoS1kwQQcwKlZbKj8VqD9OLe
ujSpnOJJpkk7tfD2tBNh1m9978uIPDT3n4pMD0cdfRpFGo3d25ht0S0Umtq4IcOpYwi3/TUJhsVn
BMS9HFArA2f1DkVh+JpF67knqZo+yXoHLcugHPZ9/eiILBD1V5u/jcX59iZaciyXNpUZIGZKDTE7
FsfP9nWQTun+toHFVb0YlOK5KtbFxlRgUM5Qb9DuFVb1Z59owdTxyLBf+mR3297ScwUhJMjlLRQT
3zGU8q7PR1diF7V1thPNGA2xgwLN8EDmtpHCXBne8vz9Z06NVCxT5L1tYgeBa6wGtlysDGfp7Lkg
dsf5BloI/CDXZ68qwPjv6nA6JvC9jtg56ALOqu3tOVs+BxdWlBABe9nue+AazrVA9UM+2+RYlcUO
DDRj+1KJZzt/jM17yJ8Gbv2hBodt3D2PfFuWh9sfsrhZLr5jnu0LTwMuDFOLOb5DTPflq5+Hogt0
a9N698RdG/PazCruput1c8hz2ErTrxp9Es4P+M8seytkDXXA18Y5c7kj+Rev2Qm3DubGW3uNGXEx
0IWyFlYYyW6A7pWJn3g1aQzkSGeretL5R112Yc73ee4EoBIO/RiCcq4dEPKUr53LJWALHvVzoxMA
JRbqz9dz7U31lIHIDg1IdGg23Da8Zy7kl9ypywCt9T8JaehGT4146xCeAyid/8qk2b70WfVtyLu1
JMri0mOXo6owKyCrCBd3GEGrODettXa7aRL9nELYUsMrLGuLLW2LqBdrr78FEm0DU/DHpnK44IVb
v3bRoAf45glAp40ozA2t2o2ny63GRWSX+WNXdl/HPN7rLIvgKqOaZ/fCMqN/2PkXn6KsBvGEWQ3z
S8CWbgBy7TCbtf7agGR0M3h7vf50297i7r+wp5w0QxOVJky4Sb2D30d/OdRzfkmXfr1tZm1VlUPm
iXTQ836OW9t9ZfkR7V9rDg8WN2Gio9CGvXbb4BwNqtHi5ZIq95lTNRzM/vDHWVK9xE31oxzHQxqz
oJIg/bVrO+wrsUHhZOUeWLSLJLhuodsX4YuSvPA0a6AQNEH+KO0fDNrdV3r9GQIHm5IWR12rDlkx
Ra74h35FH09800JuCTIgKqqKucBdGhX6i02/2GcTOzTA7HFgZWrHWZnZxR1zYWpe6gvfzFKDxXaK
w2JRuRGG9mxMfSTycgVsNC/QuwVEN4vr6Oj0fFdHKkee2Y0OM0XFgy47moBSlJt2DeWzeG9fmFH2
SSV7s9Z8mDFj/rXQ7F85c1dGsrwl/oxkjlQuJ8xK4nKY4NFAtfiQWum9Wfc00KQjALBDgyBtP02F
3DAJ2dDbh2BpcBgbmptMsFgBdXdtOQG7pxg6yAQ5bRFCtCOIm5WwZMmCb8+pH4BjoXqruKuh7nND
2AD8utWBn+r8//jzinfyWy1HcgI/r5VfZPY1XgP1LH7+TLYJHAYeG2pxlA8aPn8CpByN4KcsaZ9w
hFbii6Xjglr/fyaUIaCvjVq9AYC37UWZE5YiTNdmaWmDXZp4t8yMZ73TI2rj8dEHq5dbC6hzy8dS
9qFhFz9xjT5qSRve3l1LJxRSl3MRFlSLoPi73l0smZK2SifkkzJk5Sa+saz+1abJCeDmlUl8bwq5
cmDi0D0BSBn+vTZVQasDxNFQpcMWBO4x+9IgEuli94kxj0S3h7UQi82JeYTZlgUeWVOt2mtZOfn5
rKUEvu1wmn4A/hBMMg80tuuGT7pR4xgh10OyTa6tvUQXBwq+RIJA0J/Ve64H6vZ8Mu24hrASGdA/
ChxzqA+1tUOE1hoBAZ/NmsX3+xOjRbEeenYABJpq7WgcgJeuTTzqm0H7CFJoKOEWSPSspA4WxzVz
pHsuoKvo5LkeVzxMcQPJCJCdSaiX9k67oYZ9R3v/3pRrxGrvjwNGdGFLOXGEaJPvtLgLCzcHN752
LEozEtLf1m0cZWW50Xnz1JZipc1zcYi4e+cdA80iddtMBakJmB7QINnbUVuN6FdNhsDP+F3RQL/v
9iZdWjXopREHMGBk39WczxSPtcMq8OaY9Q9fAsWJk+5qK7HMe+8IyiSkH36TIOrvelPMNjaatENi
yZHTiKRWg8Jbs8YHtWTEnGH1s5QF9qByO7pmLwebI2Bi3gs6LQKnXOMcWJqrSwtKwDIMThG7M1fJ
BFqciqF6j+gvi63N3y8JJMoA3iXgH34nwZaYMdohelQOp/iu0Q4VCcZhxeMuuqZLG/MevAglQM6V
6C1HVCtZHow+JCZey1ZGJN/F/RAM5lPMT3LsAsP+cHtw8xxdR2OIIC4Gp6wSaB0NOll4luRWu6lL
O0j1zykaTuupQBlTgIBgbV8sr9qf6VRWTeNG0goHFuvM+dCX7a4RNMpBkbZykhZyHtdDU66x1O2A
85YwVJa7Jvmg51Xos71h/krTby0tooYeB/sVDYSBbd2VoOS2exFa/cFNX27P8ZIDuZhjFcfCIAkH
GTSUK1y9TQN9cJ7Nqr8rWrrtG/Nw29bKevrKPZM1ieejto4sv38y5D3S+75eBDFynmT67K61v67t
W9+83rdZJxKbOXj+Tf5jkf3UzRYNRdiw9fceCmJxBQ6Qasb2fzeGp9sDXTWt3DwZ5E1Mc5hntYl0
9glY6az+Ofhn4eFGjz9b0wOUNwIy0P+bO1DhEgZahYpUw5B9vinFU20cxn5lbPOhu3Eo1W67Jvvf
Q4mo6LWwzUPSpvs8hYZ2T6Pe1VZOyrKn/u9E+orzmfzRim0PMymMX+DtDqR4u71WSxf35QFQnIyX
ak7ut/CgmkWCVAMzEgdRrcg4aCjSY6d5p97m56H/B5zm7ALwgEYKDuNTAXtjy3KtpIhOLC/dFUYa
TEa564QIh4qFU70tzDuaZBEvt7l19IaVytbiMoIhwAQDBbL9KrJ5MozOGUs4IF8/jXFE4iJk8oVo
HySAobdneNnUXN5z5h5KFapXJXktRI2XwgDiODPkLGLJLiWRs1bDWPQvYLD8H0OqL7PdTB/zGRkQ
g9DFeK2ZCGYAYpncm/Yvlz3fHtZCxQQLeGFOcWeNU+aFU816l/4LrYBrKxkkyj+S+k63fnTuQ5nv
h2blWb/ori9sKj4tYej3Z8iagYTW3TXevdk4QccfHH8lrlw8dhd2FAcmrVRPoSeMKraDDOBrM/64
PXlrSzXbv4gp7Bxv48bEONqx3fS1GViNu3GFH0nQyrQmi9IWNe3bNhcv94sxzX9/YTORvldVUBo/
O2SfQiedhqUV3TaxuicUd1U1dq9nJebNmabHysuipHKeOiu7A4lgVOItWev6DiXwvTHKFduLjgzU
Saigz8Ab9U1VoU1WB/ciHFnVhW51nwAXBKGY9CXOxdaLv7G/l4jC/kf5DlzIKAGjce56PoF/NlOg
lzLwZhhbVvpfhzKPkKf7eXtO563w7sJBrWBug4XCklqEAimfLbwKnormdTj4X2t3Bfq1ZkAZR20w
MZEElybXyk/jAOVzkny7PYbF7X4xhvkTLraep+VDV1Yw4TgysLJnb/J2iWgCxp+M/NUe1+LLRTdx
YU/Z6nnhTknHMGeNiezSh3TQgsHfrgusL04dUnGgciaoBamZgzQWPKtHsEDkfQh5pdjb3Z63xSN7
8fuKu9N0nkvoVQIQ5YXJ8AxVqrWIf2kEyLrMAcbMh6AyQHUpGDJ96WIEGdkwFFj0Lvr7MVxaUMbQ
S61PC+nhVgJrhY+B2Fa9Q1nztpWlSxZtqzp6Yzx/Roxf77Cpr92cVxouWXB9mG2/kcNnLemCybbC
olsJ5Jcn7Y+x+WMutjPDqz03OxhDG/62zR41b01ycNEC0gBoxUXm5h1gnDe131KPIOzL/aDsgfJr
g9sTtmZBWZY6o7xsRic7f/Cnj7n7evvXlw4gMAAgd0Xx3AfJwfUMxS44URNgYs9dwLS9HEIUVMe1
HoQlrwKaSBMZGdRf3uXBJ1sQSMuDtyorf9YlnGOWhaBbDAqc+CoJrHwFrrG4xzyUmJBpQDuZetr9
Jhkyd4A9iY0VN19qww5z740Z9k6Sz7cncHF5kB6fZQ7naowSXDEAop2xQhqoMd448D4/bv/84vqg
zRrpd2i4QDjien2a2NIoLfDzZHA2Gh+jyXZBbp6FzbBiaWmRwJqAGN+caXjVML9B1drsdUQEpnDC
bsjDXHuo2LFuh7kIeUrT4h82NqSh0M6t29CpUGk1eumJBoSXyG1VkQioHt6eOXNxQEjP/RZ2mGV2
rqfOZzSOS5YX51z2OtoLKKrWyYQ8seWgtjkOU1RnYJpD6fWTAVD7F1GBlyB14mZDJ4hrl4mYQsjd
G7uhy4eNBvK1AH24NbhH5PCYkXoIpgQ9sLFv/LCZZGiUq+sI5MjoItL8EaViS4+o1nufRR1PKztc
uW9spOCRBcf/kIJ3AWBWvGgzWDzWyn449U0WVvqptb/YU7Myg0qg9tsIcrXIfs8apNAnup5ADyCH
nuZMnvJWq3GzQTBbtnpLgbYwh7uUM+1TYdvJs0XK5miDkmUtEF46W6j+klnJYoZpK9FBnfPeISAh
PmsppFJ06K/hFKyVAZWphKAcCKEvjChTyUaqNRPFNoH/a4o88JAwHqx/uIgujSgXkXTbDHwYMKIF
lbcd1zpnFycK70kAAvGmfFcYsSofbP5pW4A2hHR3euNAwGTS8pX4c8kX2R6otGZ5MhfZ6Ov9YMvW
TgCfRN+pnt/pVAtKUW3QKBVMtb3iGxYXBYRdaMJCbRY8UtemXK9LBid18rNu13I/EsrAxBu7ge7W
2f62n/idXlPjdsAbcZbAP03AnHxty6IuKahmoweUow3JmXDOy9G1Hh27gqZE6g1e4FnVCJRh3G+6
KUYCeey8N0z1Z13yKtSFzaIO7EsHVxM29o6YAt2pLWSB/faEO7eNLF0D5Q9vhzeaQTw2a1t5h17u
NkhQPf4eS13EoLZq7ceG8s+6kOnRH0UZIbFjbzyaoV/T7r0HD4WocEo991wiqgmJZG/gyxifW72a
do7VvyEB9VXqsng2EvR65gBTHaVHig1H+xHon/C4k8U3XTbJjk/5TMoDHFslJyT4zPFFpG0ONePe
vB9dJw64njkB9IpOoAEn+4G5TsAHhrNPyyzggn7WffklBdFLCAzJtE2L13L84E1PDBhJsK3sQLkm
t0XbQ/qlmoI0zodoAEYLMqedAG2TDFnihDGDRphreLvaL8uo6dDraTELndk2kp7MoizsTO7deQC7
hQ3qcNu8Zs2/OABgAAAdRO/5e86dntGpLwSevBN4Psy2DCf7ExMrDnspJLk0Ml9Wl5FoT82OJmkO
4LgeQiv51aT+ZiohLDMkW6z4yvlZgGHPmm9QsDWB8kQ3lWKPcoyVU56fc5OLoMri4eynGjsw4sdH
hk0dGqkcN65m+kej19OXrkEtLaz1cXhAPy7ZWk1O70akCHY8odZKdmjpeKNUTfASQ2bv3fEmFnpv
pN/k59GfQqqzKNPRUFR8XDnZmFP1YPvIG6JZDbKK79gXaBXXud3iQZPZhM4NZcMHhIbfqTexoOU2
eUzKXuwM3DD3hFTOyu2pjHG+PaGvjegTcCfQyajtPzh8nRcPCT/1pNr3rnxpfTccQLu0stRLvh9Y
rnmcSNHiEXi9s2rqFTbnhJ4N+QldefHKJC5FURc/r0J3qYGyy5Ti52V214x3gAm7zlbUGyv7XmX/
sC08gPQdtN9i1dTHSDcyHTRK6ManJD4nbvJAQK3d0zWM1tI9hgo40GAAPuPUK5dxn7PE6H2OluwZ
N1+hl9iOUuZstX7lavldnlV34KUl5RQS6Duj7tnDEkke837Qg14zDzH0Vx2ZhUBER0VHA78b9pY7
bQafn1LT+kTSMbRkvee0jLTBjIZh7SZX9ubvmAesC3MLISJIxODXeyY19S4e4oGeW/e7bX/x+5/O
ml7TksO7NKGEVZVlyKbOJQVz/1fevST+o1lv4+I5AWvf7WO+NhhlkinIQ1OzwWAcWwZ+eeDj3L28
cpqX9wwmbI580P6jBAndlIG9terAFoO0eTyK0EWGJ3MPqEuuWFKi7v9Zmz+WlKhbI3qbxQyW0FCi
hyAsacM8m6w7M86zbWzhfsoYlG6TGrejLlFtvT2bC+sGqDPiYfDIIGGqDhScVDWowMv51QSIt1N6
91OcH+LK2Tc5+VTZ2ua2vQXmKBB7IRsMkirwUsBTXu/F2ALJrC+SEQgzyMcV45GknzTX2ObdCWAY
LS43XfrW+G3gNr8Gewgz/a5uv3vWC14MAaYR7c7Zo+GtURq+93uIBCFIg6fw/BpW606Q1dPSJInl
qTI+iaLekOZNZhaAYz+nzr6r/efb0/B+2jHd83vOxY04czxfz8LYkELTbF2e6ux5KL815WcK3u3S
KCLd+Hrb1PsNdmXKUd7FIMxuGZGTPBVlDATO1s83BRDGnvuxT86NjMDZd9vg+xsKdz36xZFhAucH
yq3XYzOoZqZQmJhOpbXNRZSu3BqLP49AFwyxqNu9yy7VVFpSOnQ6tQmNmPHLil9uf/9ClRwD8GYe
J5Qgka5QFodC8g05WU2e+vHR5tDcMQ+a/NR6p4JvO/tc2j/p8CQdvuLYFgf2x+zvGs5FzFhPQAXU
RT6dgHMj/nP6D3g6EGIDkgWEIsB875SURebQtM6B3i94G9rNMcvmVsWd1r6uTODvm/v6Iry2pPho
QmSfZkWOBpkKTcoW6v9bZ9C/WUnrfSyhAAr+AkbeWs/NDyWt7UNhkzrqQTL4pYqn9pvrNmgydvB5
+uh2W45mN/SdWHJb6t0rXorOCVgtMCBkBdkA1u5+TOLkR9G7Th9mkxN/n3xdgoh57LYebfo3K3M/
5D0zw7oj1S5xbPGhNMZ83CS5nz22zDR/ZUMiuj3Bc+CI5pPmoybaJqx7At2/Ifbus7Ien5uybJEN
0vhT6mmvqVv4T9DSKDc+ZfqOyhHJoaQq0tOQkHaHiq9TBNBUsDZuCcajUGSeOIiuABk1STU8MXug
F6mZJIEAFHdniQK9Db0GOYnEtrZ1F/fHMh3rQ244eDc2YrqzyZAcbIZ7IJ94utOwYUA6j3b5DhQI
W0EbM0q4GZ8NRPUoq6APybQlol7edaFpZYkf9I7uvQ1VqT2meSubwBkc8W3wBnqnT1uv7X/FfvvV
BvJ6yLT9lFuRC6aX5zQn7bHTxVOqcXtXjU1/yAkbNykD9AnNKTpeco38f6RdWW/cOLP9RQIkan+V
1Kvdbbcd20leBCdxtFAbJZJafv098lzg61YLLXgGE2AeDKiaZJEsVp06x5eVwX0blEoPoazqo0Ax
8IdJEuVPiTaWddKl8tlwFeVucNng9zq3fzJrLM8kPH8w677eUKtPscLa0Ptab8Y/a6E5pxL3Iyiv
kj8D2DbXzYC8oWMZyTqvWLMibmyvh8QsfdcO2z2qPlDm0/Nw28ZuhUcsNA0AdwHusCSdr2k03aFh
x8JXWunXHfklSqcA6UA/BIPpxAECM+4rBdAi/ouaaD5VOvqkcjt/GcraeaKkTA8xOKy8EhWnu8KO
tAcZZuDgCOscOBCIMFVaVL2xXIhN72S2n4GHfmNnoXnQ9AjdK2iDABk9cgs9aaBZCelsdM/b3NPM
zN5nZqG/q72u/NU44ig3BQmChSbXXZ1TsZKlWmwSoWKy2xyyGU6brpCig5JCX/K1rWgyIGYjdlZY
antFF/XGjkBam4R4jSu9xnzWhNInaUo2lsEQVOSOuXDuX8dMl5t+cmwaoVLZdU3TB7R1rYn7nSUb
Fxzyofv79vFiz9xoSPKDbQNdocZI9X55wSC5FnW06JKHTo+td2baaQ7ZJLPZh7olsAeQphJG6Kxs
lQ9bXCSWN7TEDSqL1Xtbo67X5VSB4PdP5Bh9Eyokh65Oc5+IH5WhQtLW5iuRoAG/HfjwGOdq+8tp
4DHEStYNb4kPoRTiM7U1Hgq8lDZQE+5WaYvG3FTkTcDqrDzwkOtPqBOxjUKGcC1DCIR0ZGgfE6Eo
QdVkb73b1NvERGZEMVI7kEKCxxU00Zs0r8QvwbNinVvu776Ayl/EkGu1h8T1SzfUDz1DUqp2nTUx
RfOk9kO7clyHActJLfnMdJptdbxUVzXlf/NGhzpJDeICvVfFRlp5jShAqWM/z+AQHWhfgHNQ8RIJ
denZTcL/8kQzPDWV7SZsoAwUU+iqsqxJHnJNVH7RxOzUFv1S/n7iPf+8n6HKjSgU9y5wApeLqmD8
ttsLfmRuXHmiLO8QC64LAtETtbYXeJ8mHvRpbBRvQbZxJESeRr1uSt18QAX/aOdm0JnKAWTVj9Cn
zP3QcShazcgaEjx/SKkshNszdzz2rIqMOVoFUHSZxkZJmSmm1OIHnHIlaNnQUVeAkWxhg2Cqprcv
mm9xNhDIEV4VkUgYASvfD/EDaQNdgltzNaQBCvypCG4bmh3NmaHx72cRS5ikyoDTE4bkQ2gkXpEv
xK5zoRhydIBXoKyDpv4po2YRaz10SpX4genDMe7jl0y0Ejzf7d8haU9hbCJjSw5o6bhv4vajYt3L
wgjH6Hgyl0iyYCaN8chBRfNyiBBhSg3QL4ZHeyj7xIut3N00IB94MUmuewzKH4HFm2wrU7MPGmGz
+zrPmlVbtZAC7Vj6A+372gHS0+Eqg4ijP1hV9FJqdh64Eh5QQ2h2HYaqu61DZ1jjgviL7hl2YG7W
7CIeVTWQOlq2piaTT0U2WKcYfS2+1mT9fRuj8ZSg8S6wErsLkNJGqnZwafejx6qcwl7aJxCRRn/D
2im/RSoiqduTM0UV/bON8H4xoH6Bp+M0F0W10OQ9cZuj4T6ryhYRm5fURRAqFMqRQay81W2EI2ch
tzp5qv1j1QATJmA+6NO9KiRSltmRozYQdakCBB0Sj2PQEBQK0juZ6W5KO483XbiESJ55slljahXo
+ZFTatp20+ROI4GgSh4y3T6UYQz5kpC89jbbu0W2ieLwtDC740t44noW6N9GCRs0pCC/eOl6tGN5
Uag2zorKLu+thHf3DBmuVWsKshoKM91jFlSJs5K4Dzq33DsxxMoeZeVwSVBr9PJbP4VMfopAR5Mm
rfhhJIIo82bv6tXToHdfrjhBMtNGGQgQDhsvu+npKMzUltSMH2xN83FTeY31wnoUXtuF5/fcwXVu
aPI+YZQpPWRb4wfhvqUgNMoANb29enMWzFG2HDJ70CGaFs965lZW6QikKrTOU0wVskALp/xkGyBx
5KIxChvPAFM0DqfJZLmDWzapCn8cFESQzgBWv8KrFcVD7SsA7b1PlpQx5iyCQxNQWXTaoJ93chbm
PbLSSVNheTLHvsPD374fTHVYaQVzj3Fl4eZUsyZ+HjhZkg2auwjA0qgiVQI2tzFTdemBWS+p6oSD
fiQa6zdpq5OXHHxfTzYZ8p3LgPCyUG+BQJZVraMUV2rMEndNBi36++WFRckVSCIklD9ZIy9/iOb0
ehuJXj9WWbZP8nK/lEWe8ZxR3GlsRAMxMtK1lwYIKyiN+sg+Fvea+VAsNUcvfX66iK3SJY0Ooh4u
91m2Rc3z9vzMHBUXP3+M885iglIamQaUn31E/reQf0D03ixpbpOZSxn4BHg9NhhOvCnWH9A7Q+vz
xDpWdkZD0AEoNliYEgjAgSGgtdnKhiLBacw/9huWANiNemy1V0IgG5s6eoKUp4dmR31NpV2eUkVT
VxKFsHfKiv4HSxBYeQg7kbDXzCUA5GT2/7m7sHtcAOxV9IlOZp+66dAqDHeX7GsvptYzoBi/bi/A
xMR4LlxMzmQBQCyaZhQNeEfbfqK7uv4aAhsjgO49fBMoHkg1AYRwub5OAVBAaAjtKCj0wdLmHg/4
t9sjmLjQaMJE/zTAQsi96VfQpF4vtd7tc/voxER4LlfiVzUOWzzApFgwNZms0RRgnAgkRtGzUZb6
cjTgD1BahFUSKYbIzb0sNsSvREFi5csjwumFtmQTdPd4sE7OaklQ8MbbUAK/A6RRmfhCvsXa159Q
n0+KMSYaKdWnzpUwJB3Mom+PYaevMlDXiXhlqfdcLDVcji50Fg58zhoqdgYe4GNz8BTUqdU8bNWB
t0dNE8WugojyKq7Bo9c48Q8NWy/4+uydm5vMHittNAJbMMdY6iEjEHRDtDLMP7etXL8JMWd4nCEx
iorkVe8lEYUtiOq0R9mO8uPWxumPhtF6afreAOnpGjXwcXR92+iMqyO0wwt0VESHEMIkELHBqdIV
dQejXe115NGqmZfoCwHznJPbwKyCPgwFeNSmL50c24zrDQBsRyOxveE1bL7YVPrpD+cGJrvI6pkw
4OPtUX2FWL1nrA1tSfpwXOOpy52bGMd4dq1AaKfPsgEmoq0KBjDljz+ESMQtnJ1zjg1oIsiDUU2C
8NgkhVWo3AlLASuD9BR300EQZm39q9kac1dAEANEqk/WPLJt0bQxlce4cdeoZXg93hKG9XHbs2Ye
Z8CDQHfOGdMMYKad7BqLOzWjGjq7iwYbc52gxVAiMRoD0nNHTRCpvfZLNGNzjnZucjKyRAHaV49K
eewPerlqi+3tIS19frI6LR7ijDiYuCY68eEBYulf/z4w6iPjMc5ooAUufaxySqKh/VUcK4d78ViQ
WCJUntvuo1CWAdQtVmZaiK/BaBQB2y2OcfpCIivI5M88+/4vRjGW30YAIvx4shkHaveGaVJxbDyE
6b5RLeWwZgdhoUCGChyKZNNrhrdhAyZxVR5zgpT7jrprXmz+xRjOTExiGFFbtpYKTR55s5f9ln8t
RsV5NVb1kLHAfyNmfDJFlVSpk9aWOLq83Fe8OVjNEzB1Xx2DBhltiMogmEcldHrnd2h60AredceK
71HKR3bn9vevT0R8/5N9HBGwAcKAS2/V2p4KAczi0QD/lrT+CtRI4mEfGnKVGdlC0XXWmI3r0UVL
FdIR49/Pjl8HoraJGuXd0dWKXd4fXHSp9Wriqdz01OZfzNyoloH7EIEyWpIvjVUAt7o46vtj9F7p
W8dZmLiZkxHYYoCcR6EebBNn8n0y6EVGa6U7oh72qBMBSiWn8kEL8oTObNDI1u6LQemzIqM919uX
28t2vXuQkNVGbVoUwFAfnxxinawjQ+hCHIVGXrNK/YYGmQ+9CRcGeX1WXpiZ4rgMqx7Q39OKY5vb
f9UerErIFN0eybgJL69kmIDcEfLZ6BpHQu5ymajGJIdwjDhGw0+uO2vkPMAs0gQgUQn+hSWkOxCr
I6dyJbceNU6jaE4ljlTv72wmI1+azI9rhIJZ1yx0IE9RXOPpMGIVLdT4VRd3wbiCZ74eumHFdLtr
jlXZlmtYan01Z/Wp1SL7zm1JtxKW6hv0ARjg1KudItqnllmh2lrT5x5CvKuYJK5XVdawKoVleKGU
fHd7Rmb248VvHNfm7DcaQ6llhZTNsc7UFY3B95u1xX4AV46hFW99Xq1u25tba3TSIcEDHqCRQvTS
HtJ/jkSRtjlGjJQeiZQtYXKFpsQDzxY5h8aTa+pYYDdCvn2UzQXx66WxWpiFysqqOWrkY2g/EuW7
rb/I/lEDwW6BfPJepcrOrJE9Z386feF9Ozez58bHjXU2szVRFDcWrDk2RYOiGWnfmd2+dFR1/aGw
trpc6iOdCiN9+psNsUPkepFZglzwpcWOjtpyetMcM7VoxvKjtmV6AuFjghxB3on0rsr09EEQsEMk
tRn5bg3olFlrwsfdYy6s9Nz5hNQKYm3VGFOLk13NWZZnMh74sW7RGdFUygOV2UcXL+He5jzq3M4k
VoQCM1JfKgqPBTtoIg2UTPHTLPZ58UU++X/mF/E8QpWxiDStITlRVjlhWAOZGyvRL5DFNB6lafzn
9g6ZnTdUBoCxtPDUnwLILNkMndVr/Mhd9tgX/dauulXSxAvcUVOk9+doHFQDxksfGLppl05Tcz3O
iI6ayyCHldsWwyrUgEUKuaJ7BaL+IAIYwo/0Kvsmiyxf9YY9BMCzaOglqEyPEQ3MRQWCklyoX4RN
jj8OxEUAYCAnAFm66ZUA8HDH+4Q2xwI0IqiReHq0V8hemm+3J3vmdgOSCS8bkELrKvJQl1umMVEC
TyTsSPWtyz+0uli42+ZihAsLkxihR2N02mY5QIndukLvlw35bpnkAO8+1xr6RNpXvN09iwz+7ZHN
HD8XdidnX56jQp9bsNtUr8yIfKcBB8a2oU9p+Pp1S6C9GEluEdddH+lhUbjNeNCZ9B3aHnF3lMVH
gzf88HTb0NxinRmaNuYJEhpgxxS4qwh0se+XZKKWPj/xBVdt4tQIMY4OMBDDlcBCLOW7Zr3hfAgT
b0DRI891ZbwUqmOPu90uQ/QK0nXOXwdSBPAUn2rpurcXpm7mUEFDAbaTi5PrmveTmKECRe+4AQ9v
3q9EafDVyE5xH+lQTrm9SnOmQPZijpAICA1Ny5tol8/cUkNm2nXpvR0b2zi8r82Fy3XJyGQei7wl
EO1um2PIB6jIvDX2e4K2qNsjmdtC5yOZbCHLbtCa7yA2ip1dNKIsrK1BXkz9m+EG/83S6JpnsQID
aymvMgxniIPE9vHSbkw/ag4pXzj153z8fEjjvJ4ZkvoATK06oOQd9ndqZD7ZVP91eywz9zHo8/63
/uPfz0x0GfSJdQWzZuEtFBW/El3zCUB5S+wcs0OxbeQ/kOKHwUl8QTizY5ZhK9G0N/eRZapBpwzl
6vZo5nwA6Ts0LgKJPJaDLkeTUzTeWMkYr2a5+yRrVHNqqpZAY+lOwJOC7bkc6rfbRuem8NzoxLvj
No27sMAW0rJ7IFRiHaCLe6V4uW1lZmjoM7KRpQYmBbKSk1C8jqkTQd9RHJO+HE5kYN1WzUpn54Av
KpBOz0+pK5a6m+aCVBtxDRAQaDnFnE42lVSxk3oN7jEoJ6t5r23rrk7aFVSgfHScbZglAzM+hHF6
CMMuqIeF987MwQE6dpQbwCaNy2rqNaVwAQxOeX1s9MJrIwMya69kqWt3ZmZhBP9wKxpor5qMEZoM
KstZXh9jzd0nESByVX0vOgj0ZftKLoYYow9OnjkgEvgEmaMPAPXGSx81kpbnNErrY52nJzMLVY+k
NQRC6bvZjNB2ShMvksZLLmuvtmK/y1m6vu1LM5txzEGgBwG1L+OqMU9mcVj3uctQzE5/uuxH0oql
dssxjr8a5f9MTNsP8EABOVRjsyPVtsirHtLeglDPMxlSr7L4k2H8C0+BYsa4hODmgajt5azqGTpK
I8Ngx6So3i3RvUjRPCsdwrfbUzez2bH38H2E4SMQY7J6ojNJPXCLHbXUwCvtkItvgp+s5MdtM3Mr
hOwKwlygHpAxnhzL0kV3kB3V7BieuHlwlrSF50aBN94Y/gFCcuXyfSFarATDbCmrlt1J+d7YgIUv
nMYzuxdABoDn8KpEh+Q0o4J+9UrtAYs75pm5b5TGHwS0gGi3YGbG1UZOkxGiBUAMVIYvlx5Qalqw
LFJRTOs+qtj4EXL3DxfOfZ4rodcjr+Np+JN/e4WurY5lahSNAISzr2Faic3dvqt69WiCFzkYxOAE
jCieFRnQh6CR34dohdb6pezbtWOMZpGAR05GAwp6xEic3ddZN7RMKTL1WGmB8SK1ze1RfU7W5b69
/P7kBsXDEvd3he+DDjTzQCMMJXrI2Aaiy47QAlzR3NiIlv8mSfkdL5r3uh7WlYIkjTYUvpI1YTBo
5rrrneMgFM+NCejGjMc01Lep050q6WKvkOaQDUwGqi5ewOz8rYsin0TVpnTkSiPsmRYVgFMSbXFR
twqRh+PA8evCeq3BS4+3doJaOn8tamtLW9O3FN3XuHZHpdzg5lzIgE9BJ3jboqlk5PZGahAn5bSu
4haWk1q0xYRXMX0YqCP2bdmQQ9FpchvFRHuC7GciPTQWlA+uof5WFF4/9xF1Lc8Sm9A6DD/bWFRZ
oCQOPbihVQRW5fyuqxo5Uy76hd1w7SCfP3NkurdRqZmmlRRDlDYgodahd9Bp8z0KbjsIONuvTnYL
JSBAE5GTRS+9PV6nZx5oM9rHfdmYh8Kxcp8lzspM+++NGHxda1eQcEk8jUUBC1FDLfQ1ugz3Zq2D
OZIVO/BYvqPVwWs6DmhyHZ4U29l1RrotinqHzwUlxEZUWvqgQ0Do1nPwM4IPqXCoCPoOD/DaiR5U
zuke7YTQhcmMD9I7d1FJUOEm9aOoovs8c0+srKO7rqwPIi6RNU7YyirRN5Imm1Tvxd9IZ0C0h2kT
1BCk9iobRMVF2G66ynkrUp4CTtQd465oPao1K0XL7sgYfCQ60702hnSucIdmxxJojeWtQTzpZO2q
g6R4kFAaEFv561Sp36E9x0kKtO2UkL9UmGdLUM+AySjxaJ/wdYh8MfPCOPvROda9LPhbYrpBWzg7
o2IPptYczDQNdD1+4jzedaG6M7h7F4JAP0mbPYiK39BjvYsNa4v+IVD0imBohoC22VqzyCHvmm1a
sm92WO8GM7of4mxdIjc18B9lqQVtY66krRygLINzuXVXZltB+LPflr39TbPCpyyWqBu7tRrQwbqP
ahVZSNa+G4X6VuptgHzp0crJirUuGlyyY0HbeJcrEshzp1uRGJ7gkFWcmL8gebVXIy78wk0jvxjc
yOv6LF6XWpSgJSE5DnqKjGObPiVdE+jc+KUUpr02oD0UAKsPmpa2+KlHdr1nSbqxBETdkM+yKnT/
6H1ARWZszCjfGXaO5g4QbPpo0wIY2Qnf0ySu91ntaoHNVCBI7DZwgPf20HYW+yKqfnYchGFWaC7g
WWe2IGjPAFQG+xmSddNGwrwotbah0jwYivtTK8u3WC5s8s9y0eUxbZ2b+MxcnG1CvGQy3nTCPKhu
ox5Dg0SgPGzJW6+URe+jRw1nk6kHmroOkcDugwdZk52apOqqzv/qqrMpwI6rgO24+2As4HCqQyka
VEV1Zh1ztUb/jhUUei9X0PweAjDFD6801Zp7CkWZhTvnOhhBYtMEQEXHWYvHxiQlnISxCmiE1h0s
q/Kb7thAXaqunp0oXpi165Pr0tDkCQW8tGlzfUDQNmxL5QOVsfjrmY5zE4BJXR6Owmylgid0d0gg
m5B+q9ia8S8nUy5NTG7oqkDPYTVOF81XA9QmlZ/qUnjoTJCWuPTgXkiZq3iwj00rk5lCu0oVAhJs
HqzaLoCTHuoNccRzAUynFuu+i5Yk3RU0GNShXbtaQtakGnhQq8pv0vSrShdBSON8FUF1fJASfDKu
NV6OO6nQJ8UqvouuDtCk1u6GLstwwkbxfcqhbt13nK2qBt2NdGAvHbSvd5aS+nWo/FBZdWoVFU3g
7VM+6CelL8D8ZtwnbUsPHZE59Nj6J8stVlIYG4ILQFTG95BmP908fsui3PTQY6X5Wl0jaHC79yKV
P02N3xO1OvSGFiSyOthZtYvawaexq3sOuG16nvxE8QahjGneJyjurfsoKtHBSe45WKZpY3xTexN3
GfMNqftqXa+NWCLRBexYLLU7bM1tkg7PWqabXpu690jMPt++kq/fr1gsAAGgmAYU6FX2Pc4ctDEl
0jqYXEa4zFjlVaJ/EiR5KlXFCy1r4Q10HfqO0HPU6EyU6dA0P0l40J6WuaSDdnCHAowrceyE+77o
+HNLXeiRor8YOyvu+aFo+nJ9e7DW+PHLkw9ntIUueiR4ZjCVDkH5whZhe4hB1XbP9Jq92DnPd4Iz
3ZfILm3QUxe/oKapjHIe1q8MwKs9AD6gHo1UfQ/Rg3oUIHVe0b9r3tcJpxCsrjLDM+0YTT4dSyoP
HXnJc19k3YpG5q+yJtGz6MuK+qRqoscuVeUTXvjmyswikDSgBKO+kkpXfzcheA8NyXENYx+ArXgA
IhOsfz9C1eRrt7TdFyckOIB6pUCajbX39tCE90ZTyTvmxMlBURIWIMXMt70GCmIpQg5OAi25E00H
ti9C7cdGhv23MLTaF1lUOLERB39opEG/NDzTT9AvG3ostpQcFP5W5KehrMEk2ukbsEMv5VzHc2Cy
GDggkBfC2Q2Cn2nVkKZGi1eyIw96w7/XJF4xU/oO04MCp0RusvXQhk/JIq/xjAOC4nV8uKqgNbl6
WDqNrTgJSdpDCRCPSP6WyUvMd1mMMiKaIErzfcHnrkeJJzL8DRlFPGinlUS8VxzpiL7HvbES4kHm
O1CgG0vn+nXUgFLw2AGDBlecvFOQGLMlqyKn6A8pO/XFw9fhh4C8mBCpMiCEjt0zSVy0kBDnTMW1
kbttDu1iQ/E0Eb2pFuRuvj5duKLQxoCiNuDVkwsKXKy53UV6d9C6Z4es4XSdfdcuwdFmogbA6f5n
ZXIIwSu0qh33kq0nHrQRN5n+g49pf/Pl9nBmooYLQ5OJUxjocksVhtTyLx4QIMtU1bf/ZmJ0jbNo
riNOZ1ICE9T1o+7QGL7SLrS+Xl8SWP7xCTuC3q87UDk1Qo3n43Q1ON6gIBm/M+43QBokXw/n0Jxk
wg5S1eSK3qnSOjHwUpMHatryT5Krw4ZCKOohSXWyAg0L8Pa3Z2/GE8ZuKFSg8XbCTTgO/Wz2srKs
DVFZ8gCeTrR3062BYRVALoTdkvT4zCwCPAbcNkFK2tSc8aecmVLNwehz3HQH2VhkN4hk2BRVxf7k
sds961xNfbtr0S96e4AzJwN6R8ZsHSBKOGQnA9TDjgqmZPJgGjVb1b2qrqXdKwvrNuPnJrCX0D8d
WzqvOI5NvRZg6KzkQWvr/pF1PUU+J9JWvdCXoBmfuKHJvYGK4ygfjoQd0GST+JKqWoQmHSoP8SDT
o8yN0tNAjfMgLNY8xtWg/6Y9Hw62bUbHehiU9zSmCQSFrRZws7z4wQcn2Ye4tVdVGA9+wYFBUzKR
PrnSxXO81EIkkiDmohfD4Fm5SYQf8TxbZdC/8LosBkdGx8FAzkq27mTmBG09RPe48IVfuVz1cHG2
27hrfvPKkEA7KtgzomSrvis3ndrhtSkrEBzrBUgfcU97vdWt6hhcf61DE0QhXeQB7+dXqRmtjc5E
7SKz3V2ic5y8Q0wCwhRzJwpI3Fipkb2hp/hD67j54XaD5TcV5ytuaGJPtDZcJTFnm7Rg9EEtBHjl
BGolH0DBK4fM4STzdC0Fz4hVN+2Jp2FbLOQ559wCLgFCZwsY0Kt8UpVHZFDRXXIwuBoe2rJsflLQ
u9xrvOwXcm0z0QTS6kixAbhuI4878fOhDis9lrQ9NIoo1oNlOg80lOEDUyANCaYmfRXyMru3SRZ+
4Bka/4uRjhS0YNwFNgLVpsvNTRuqAHlbtwdH63/XAn3eVgptqShbApzPnCIXD97JOIWWxTq4hrpD
HHro2XWiwJGnPn2QS1rWVyejDl9AwALcKXpAEKNdjijrUjB3Kik9RaqiQZ5QPGl5D7qI7N0A0Oz2
IXXlJ5+2TIJWabwNrmChThHbAtqu9AR85QFY9G+JkQe2Xvy5beZq7iZmJskC2jk9yG9LejKt0Isj
AtZqJCEjZUUpiLTc9W1rS4OanFMgbVE6EMTSU2VpQYxcVBWjUcf6+V+sXCcN0NeeZ2VOT4q8c8AT
Wj+US8wXtwcCRNylJ6Cz9/9N2PWWtJvmD1m6ha9i8ouFQfx6aaGq8xqUOVgYSH3ed7H2I3cY8kbm
SdfCBztqnxtCFuZt3r1RGAaHG2LNz0z12W1sxUD4pW5HTzVgtxAtKtexhd7xze3Vubp9x4GB6mCk
MEdEMw2cdd1qFYep9OQq3+mjU77d/vzsINCZgcgFNMi44S/nLWxM4ZZxRU+yIqAgQWdFpJrbTvQb
py52/83WZI26gju51Tf0ZOtoE9+iyw1082xYQFLPbtGzEU3OURY7VZ/lGJEduimeol3Aa+NeDs4O
VHR3Epx0C/HR7BSiRVzHIxRKkFOUQI7ne6+CFu4Uo7eZnvKq92tbAUZ84X6a9QRoKMDhkGdB/HK5
VOhw5BZheXZyup2WbLOv3j+jo6HzAY9MwALwSLv8vE2tgWWxM7rzu6o86dVvmb7+CwcAoANvAZAV
XZFgh1XViCzBCDj4j81dmnky36Jwd9vK7DxBSR6kDohXUYi6HEgZ6ZmMxvXgefSRo2hYKubv2yZm
lxwYcSQqnZGcY+LJSpi4CaRNsxMFxTTAV4jyNC9eesnOnGljKhTU8SMyBHI/lwPJChKqigjTkybY
DqMlXs957THIEjadc7AL5bVPhyUen6swCB2h51bHsZ8da2WZZZYdRfRkmPJYhskeh4dvmOK5KYa/
pFPelUqsy7hdqFrMXBFA1KJ3yUK7K7Jrk8EWFXLXYBmmJ8e5qyvqNdGdBYGE2+s2a8Qy0U2ANMcY
Ul6OLeoQeOQOoSemb4bhqLjHZOn9OeN9BlLTKD7D+5C1mRw/FRdZUaEt+ZRlfuODaOv2CJY+P9ml
0OyqKAnx+SHx+mjPlpTS577/T3ZTA5wFbAGXM8Rl3GeFAWgQ11EA9YuFPMDS5yfxk6iAw+gsfD7K
V1n60tlLag4zO9MAX84otYB89FWvY+SQkLipkZyAO/IcyL80JN72gFB3bFhwpllT9ng1I7FhIP19
OVVJ3lWMgB/tZBuxxwo8/slfFU+vblEgde4gQFME9gVCWxRFJnFgSFOw78ciOQmzPOmZtQXFnE/B
5eYZlfJPXbltXm872txWwc7+hB2MuZvJfhwyXeL9XCUnkmZgUCd3bVO/tOgbvm1mziFGMJOtIfi4
1kXQSFk5RpImp4GdouGof327jF21QDKPvnCVVZBDQqpCkO5E6rXzI+Gr279+ShCDVUdW6+z7kwMl
d1pmM2XoTnhQU9NcV8axA1Vf7Xhavpfut6j+PuSJD7WB24Znghy0sYBpDSkuaJZMH4s5sE1tSvX2
lKO6Zba/M/0uV3bofa6ihaBtxveQtR0J8oCiuiagsnOpF2oUtaehPCnirk/RxzH8BNiB9W8qlJxv
j2vG62AN3Gs4oRFNTTMzOjQ4e6no8pS78UFJrcemMF8SvlTAnvE6+DRqJHibIqk1vb87Zg6mIrnE
IS3RCP/qioUgdMnA5GxwXU56hkrQCf1iolwbw8L6z8zTxQBG+2eXdIP6u2mM33fyX5ESdCrIZ/7c
XoqZhb8wMTkA0hAkbjY4SzGEb2qbBFXGcdQcLTVbgb+0KtSFIc249IW9SdwB7sq4Na1O4qGDjBYp
UPbtPfyCNeWPtbNgbJyfiwwgELejjpaNmAMY2GlqInFFm5VaJU9p/WxuNPnt63N3/vnJq0oI1Qhz
G5/vMw+AhZQHLjrjoXgVb1j+/batOVdAOvhTXgj/mx7UkWvmjcNKedLBjMIhcDK8Ime2sC9n7jrH
+tRnGmGOQO9e+hsyhAaoSIg4AZchSxQZDROZQMAbnXZzezhzK4NHCEgycbVeK00oDk1REY/EKQY/
RWL8HhbutYXvT1e+KiCf00WZOPHHRgvol1lj4FhnP1+fTFSLlhkKBkVx0s1dkt4N3b75ourteOe4
CNARvUJmEgXISYjWNB3YgaOMnxJtj7sl07clWM+bhRW/bkj+NONaoPMYO5KnyMOeZrmm5YSfHOSg
07aDxt33IvwF9sE2e6G19xpvpeXZj/GH4vgx+I0134y2t53h2u3wjkPyFwIzxCHIjV66XdW4AMUP
MT8Z+A0ZWKpjAMjey/LLUSnYEtSRf0MHehsHw6UZ/AYQpEZug+1qg10TObYvsqxjzS4tTNyiI1UJ
VRhYAMtsyqEmENyeqGuvHsnbdGhhEDSrX1W9lMJmpQq9plPyCmhRV77f/vz1GYPPY24+feE6CCAs
q2WlphzB4NZI/BJiwfKr+x6PTrArj2jXsSFomkWRKe9DE3WmR2vjSkBs5VLa+2qKRgMuHpggEUMF
bXpOVmGkqplBw8fsHqBM3C9fnKLJ5yeuyliR99LE59FEoYnGS5U/kbkQiy0NYbrzRQJoRpiGj6HQ
0YpNPdBC3x7FnAXUH7Dpxx6fq1Vw9SZS9Ei4j2X/Di7rPF5iVLryJEzTuYEx6jgLXKzStXPicvcx
rEt1XTcAM6GfyrivAPRYmK05UzglbTAuAzCMxb80VehKB+ae0gU5wUEDMJNpmd/2C2mLuQmDsgEq
liBFwUn1f6Rd2W7kOrL8IgHaRb1KtdntRWW3u939IvQqaqN2avn6G+yHOVUsoYjyHZw5M4ABZZFM
ksnMyAhp2WeUZ+ykqbUo9cB7BvKY6lPBNBUzzdpQkJ6FhomDkVyw6/ASUtbj1CRHMkxH208+eaO1
Bx3v5vrqr5kRhWxwhMAYjqzzGUt9pNHHFGT+SAZGPh+fMh009krRqotTHT4AA46DWrKFzirxM058
oDZrT0NjaxxZkDsnbAQbevoERAUgiyryJrEjzuI8mELjGKq80HYE67bkbkVb2DHP/eTIQGr7WvjF
34oDD9RMUPEhVLSPxT75wB46tSm91q3FmMuRU3rc2N0vq/t1fY3WHA4JWpzFwL97FzzE9tjMQGS1
yTGbJ7L1ueduloTF2+tW1pYIYrO4E330TF7InQBTOec9yt9H3/zbzT/m+nutf5/Yz5utIIWKNi1s
UCAL5G6mYnaGrCcFPRIPFfg47HszsJ1q02eqXI1YZ8kPziyJWT1xOSAl8knXM3rs0GDsteWRgxY7
QCPtT+aku8z0Xsva/P2B0Zko5CJrY14CQ8Y0c805hu/NJoBxSHaD/0yfH1MvVTjcZZukyJyeWJK8
vCaL0Zmtlxz7KTc3lg8a3sxy621na85rqplj0M3oCAAz1BJmUI38VNULZECKxoLwWQqt1Q8M3IHA
L1rICXaCdIyA556VVAddWuU7YcNetIUFlv3N8v9et7NyXEGUFqSTNijBUDSXrkMIVpjG5PTJEQ0D
SWilpbE3/QEg/xrtDddNiT174T8npqQZ7qG+7fN6To7LzCNtnhkUJwt0WvVxULTQhCn9YFlGMKup
iE9XHRcapcCT4bC8aNcss3o2R1vTwKdfJsGS1n+RQxfJzWfQ0H+BNNd3Erc3E4cKfwIeGqV7II0u
GjRBII+eebtOjmg52ZdjvQUT0Sb2ytsPGZhB+gzvCxDRyPDNurJKu3FpciymGQWhuTOecuBOt0Mz
z2FepkQRYq4toihzosJgIg40Jb+sDNDouGhGwXHjd/clHqE7Fw3GT3x41KCl0WyZUaNi2Ez8cN17
1hwVF5CAKws+TFlykPGFmbQwkqPF4j0FVUnQgKUJqsaKCV23gxzAPzOQmDg/5WKSjwiiceKYzg7F
m3b42auGsnIxYCD/mRB/PzlIBRzXtfOEHpsWYKLkV+c9+s5D7n++PmMrt9yZGWlr98hBaFOtYamo
1gEylf8AMEdxbK7OFqAi/1bEsWTuiYLoI7qFCE5N0m8X77FdnG05qGA9qyM5sSJliBs0Rg2zgTWx
KuDa8qUt7hixVUeuaiySa6OJfKn5HGMsiZ8HswVu6QpPZtBkKVx5fTjQZ8bpjlK3nKC1OU+QPBXr
P/nHUUfuDDwh19d+bSwQK0F3n+lC8ECOQhsUVhfQ4MQRQaQYGB0rt3Scn70JorbXLa0NBnBUVNTF
WC4wz65XA/TuMTwJE/pa2i4aOkzFmbM6GEDKwBmOquBFSE0HnDdaX8VR2c7+prPn36M1J598QCEU
8IC1nYnHgWBLw+vtAoaQx43NzJrGUdcVEOUxW2ePHrcQsWgduoWSz3BtYIgkgHolqEFcALrbqYCM
c4vDu512fdkErgs1kpvrtSI9e2JELODJabPYWm/Njbgh/CB3n/L2MeeKm31tHBDOEkwEokIkX0LW
VEEBzEhxZsZb90ec75w/151MZUAKHWa8tIBsTJLjkDMzLGM0MdmTOwXOwMj2/2dKenkAlJs7cYWx
6DgsvWJvO3/06u4DNrAvoUUAIpULVddyZI5ZNQhIKG5rdKZ2x+4DaQ4R7/zPhHTH1NxyyqV2tSj2
dahbId+UKMoza3vl1IJ0vbhJa5jJhEEs+W4aDej31VsWs9CaFMflWshxakha/IUsi2k2WPwSKlr5
fc2f/OK+swKbBGmBfz5woKEfBSEgiNoswJvP9wuzCIrPGsZVBlUDhqhJlSFYOzEFYhohBs40EGOe
GzBjrV2auYOB6rdR/1JVg9f2Ck59sMiL/NNFRDgODrdxDSMzUGubeDGfiv6tgkT8dRcWky4H82j4
ROkWiWU8U6RBDFjxPk0ZYmpWlzyIC93dJ57VhfOsdfAHOu+LlI9tUI+kvJVTCSca8Cc4MxGHCh2V
8wl0cr3oDbfQIhvthotRBU6mcLnVOcTLHdzbJpDMcrCZZ7jpxjbXotpzyyPUruP7IqusQ9nFheLs
XNtGIOQH/BFqxULR7Hwwbp/WjNeLFjmTsxn1dxsJlTT/hv2rWLFVtyPI4ABn4YN7T1qxrq8W0mRw
O4tuPYi7qtDDqu9L+6bjC23LpNciP3mAqIfXvF33ONX3pfPGqh3EAJ7YNiMUuMAkT75dN2Cs+vTJ
DEkHTRt3ft8JCykJjTIw0iD7ov1Cm+ov499/uQaprqD9a9UBGkTAh6HSr111O3TcWAgFwKL8Dylx
clWDXWK20HmJQ3vY0iJE74uhwpOvmEDykwCNgPQhetulhC5kdSbQDlASzYO50SDYCWWe52r8fX0q
xVpIp8OZFSlgHxnqa7OteVFFrS+lX+6qKYlSHzWPpBz/gD9J4dur9hB3AHMpqIbldv1G9+K+hWpT
FENq1B+qg8PzgCFXFU6tdWf2qLReH+CKM+IB7KB4qIOtCP8537UOOhkYpS2JvGz8MfvlRp+br9dN
rK0UACPA8SGwBqJPOuWSzk4HsAV7Ub88mfTVmp+dXoG+Xps20feJoBrAlAv0FaTlQXzDMj9ytSoL
WGE8abSbgsEuvzoeOoAtO1NEPv+qjbJnnJoUE3vi4p1pNTGk2HyIpo97kM1A1Lfa0pI8jQBhGjTZ
aRnZ06z/MvDuWV+m7VgXL+6M3nKzuHNoezfXqtflJUckCCJRpgE7MoTEL8keuokulp/gfQF9qNda
S49jmW8zXt738bKZeP3HSPDjGgZNRmopdsrKmQPyIcTN4EZD8CzfNBNMxUBY+JE1FD3Ib+IeVDlF
vadtUoOjrakeapr9zApfxUJ0CbsSo8aXTUQJBFzZ0sUDqSHQwcaaHxlssB8WJDEPU1fqjykamx54
42T7asrpw9BO9Us5tfq2B9Ltzij7P9f9/LJILn4IQSoJaSXw/MqA0sn10j5tUfVzU8sB2V8HjjiQ
yD+gEdw4pF4OpYWmyAN3jIfntqPtA2vBl8ea1v4MQZRqk1QZC+N6avZ4ByVTQFuteQRZZf5+/Yeu
LtXJ75Q25GDUljWmsR8B3UFDCvGcoEKI/dbPYxzWvUv3Y6c7G59WqrVaOwpOZ0jaNEYzImMwpHEE
Ke0NofeFO2+g1Hh9eCuByNkyiB9xsjMnOsZuMcFICa4H8L6QXcXDxVO8GsRPvdj/cCwBFEAYJ+c+
cs8ZtJEmftRa9s7n7W5KVSnR9dn6nwkZnTIC+MIQ+5JoXPIvJQDe6Es8jqMyBF6zA8EZ5D4gzYOC
rDRhbCSa6/bUj3jyknRIek72Lhn+XF+VtfnC+W9ZmC0UAuTyTmYOdrEYOC9ZhgIAmosn/+W6hbV1
P7UgOZe7dLoZ57BQLaD5OzTuz/KXZSnuy7W941rgoQdfIthIZEorz2fMaQufRHrlhW0FAAdodYbf
iwkRdlqFXrq9PqjVtUGqCE1MEJozZE7vzLfjOBt1PyogtrJ1C14j2Gn9O4qGA8V78d8SyC4NPPz/
bJnnG6dEdqpujdGPJpv8cSgYLTr30fbnx6qECDx1jmOX/nBjMxgr/dCBH2rmZjRBqPj6kFfXEZzD
wGO6ojVE/P1k/3KI7c7dPMNT0O3bBjbYSn7lLdrp0ZlU/lrQYqq4y1UGpRgoy1p78Z0FjvO2WAWk
1X+ketAcro/qX5hzMbtg5Ea5wYXvyHQ8LAG7R5bmftQN3niHLo4vS20a4OabikeeF9VW7/J50zau
8+bGhXVXlAuaFpeiDjk6FaKUcrZZUgLp4aUc9nbdtLvOGnjoMH8MfSBAd2NO403FGxNKxICaov5A
FYNYi7MQXiA9jseyccG3lvXa3LeLF0e5le0t9+A4B0dHGzh6Mwr+gWP81JbYiSduYIxpgw4BHxia
yqtfiFHEh2FO6G9Cqz6seRMrdvbaAQXhLST/8H5FT5IURmgVN7LULONoGnfG9zq/HRvyD8GIlz4A
CI4cHzlaXTCopSKRnX9yIyOPrrvXWtkXTPxAUAicPir10nuIdJPB69KOIy1N5le36vOH2SMZuuo8
O7Ra+oMv4P/TZseLiMfIz1nTQaNW6gY/emXmfWQyQREMhRuk7vGWOV+8PonZ0oi0vUU3uhNC6/76
cNeOYQT76FAD0SqgqFIIs5Aq652GIvGoVd+bePzCarbtqynoPHQutmX9F0yIH7GJ2jJ6slFxuoCj
e9xkfd3DIUftgbabwf5aN2WocbwLfzQ6VWTw1w5+KKcL2hLkbTz5fVujypF4MbaatUSL+StDogC9
Soohrfr8iRHpxNcrV0s7h8SR3udBRctAlbNfMwBKKmwpZIUE9OrcD1g29tYAEqZo3hrWHakUk6T6
vPj7yRkxGEONmAibik7WX5J6z6ioba572to6nI5A/P3ERDOOWVwmMDEbzz7Ywse9PSj2rmoU0oXn
+TldagOT1D3p/LWlis+rRiBdb8lgpZnnJTjYdP0+6eLvC9OfoAajSGaqzEjnNY1Z54D1KY5Sto+t
TTyE0GH8wFrgREGFxgAOUC7P+B2zWMI9P5rJhmgHTlBDU8QCq2txYkIaBUNPZd91MEHxCrKAklEM
YS3WQGkJF4wPdjWUmM7dqczdbJo4xyGi7+ME2f9du3xvVKR5q1YgEo/uSeBuEEmdW7Gy0mee3uAy
GEL6XNpB91qqFOxW393AUv7PiHRhDjgLOVCCcdQy9kTtGkRO1iPIjV8RO/dBQxDjD0v5Z1imTTJ0
YVEbL9fdYS0aOfkB8iUziURq3+IHlAxJn6T5NDHnYWTWa5FMG/TqfqCuDgoL0GWgRAx2SBlRkeXd
lLug4o7A+oueeA0ss5rCPVbdzwLxCAwh++eLv5+cNrmP9o0qwdO8pd6ucNCP5KoEINeuTvQOIkGE
6wUwIskDFzMFmAIvtKhN3QIZicx6E9TfO93rjftkAN0bsoXZhjdov72+XsIh5AgYM4c7De8ncN5I
lq3Cy0pKcM4xnr2j6na0M2tTT+gey6st1JbNUPOWgHWZ4mRa3Q0ghgP/KaQQAfk+n9QOPJuWNyyo
7OczPxSahTABcfV+cjUddI5du7s+zlV7aMQTKptgcJHl0w2woSKURBouhfxC+pf6T0Xyua3frltZ
836wI6EKgghBaJCfj8pDuFoUo0kioN62BkKfsXoeq7esQcLfUASvCltyJoIj/Z5pmYW09PCzSN5G
M6iRKYKQ69h8uz6qtQ1wMirZO81EH10+whI3NwYJVZJfqs+b55OWj62r9XjWRxn5MTbvN3eYIgMI
OQE87nBDIUKUzl0tL5CljF1kbPIgyQOuYrFf//n/fV9acw52x8XU8H2DvcesDNJMVfxau8X/GwHS
QecTlBgkGceakMitnix378RbPb67vsSrF8epDekcaCfPwjtS5FD05K7KjY2Z9vd4Nr11lfZC/PGT
YZcvRs7dTdWb7zpTUSmIWZLPoVP7khO0nYWyK27OCNI5EKh9K5e933oB5091QwM6Hsf59/Uh/7vW
L0wiI4+ePKSHkQE7n9YYp0Has4JEmt6kfF+3aJ1LqiV9GdrY/u3j2flsZBzJ4RoUxI+9Ny/7ro2z
R5PmQ5DU9J3PY35AQ0Dz7CKPveV1tjyXFDontKBfKxDK7rXKbZGpGSdFP9TKaYYaK+TBBRUkbgzJ
p0sy2O4c23g2jkh4lU/bCv/yVPi7Fc9G4Vh0aIgG5ou8mj5nlsGp4UVQukzeSaEoEK24NbLyqEX6
GAp2pxQDL607g5gF1cI6qV+dNP0xO3oXdHp5uL7QK8MAq+V/6yz+fnJ/t12FjrwlI5EDav46GFSa
qqsHMVrXkbtBTyQyMOff543fNomXiO83O9Qm92NsBUu1t8tqA5KrD0Qj4NT9nzVp6fGEBsSD5yTK
y/ssvwOr1QdmC+wYhmj6x7qIVTuZLVpZjcELRqLGt+7itnvjFvl13cSK96JE/J8J8fcTEx0ELNvG
S0lkQ3pDL34hsRXa8ad++nzdzoqDQYYADgwgCbgL5MJtMmQVdRoMBcXiLCxcR9u3GZu2ta8VivNz
1QfQSAClTjgA2lnOh5RZuAZQOCKRWXeP9VDukAy5h47OyzIXd3y6mXNK3GkEbHMCo2JDbuHcXKJp
VkFB1ohM712bKYWwV7POYLOFSISLav4Fo62jtbqT9i3i0WHO/8wo14aVV/pFMOmjtjd637xfUAZZ
ADCGAzbodj2wHDiToMmMOaBdrQUg+dEVEc/qegINLCj4hH6FtJELrepc7qKivJj2Lu6nnVtvWu3l
utOsnhY+6AVBWyzaEKWLUPOSrMu6wo88MgRPfa0SCFr5Pm5wAZJB2gpNs1K4UNo9b/QWwZT+PQPm
R8U7sHaRg+YKVME4Vx2khSXXqCtmdsbi42owpmcHeqYWePbcItuQVPtMIQEeeCWkLjz+0jDroVpU
xAprBW9At8C4irKS6YFk59w3TbBbNnXlAp7hksCzHq0iC7v+NS8F7JnvGqcPKfNC3TteX7iVU+XM
rhRBLOaU1Bqk7aPKm3/61fxeG+Qw2aB+6oWAxHVjl7IvNpoFcDlCF0wIjsrHZJ0nZWIUHjvGwBVs
SJnSfT2n2CapO2vBFM/o9c8rsm0G/VvG8xIHnHvUaVZsBKY9MBjT7prOoJuSkVc4Sr6xhgRyt+XS
f+LJ8OaB/UDxm1fS0ee/WTp3DbPsHKN02LG26z0btK9+Tz/FjfEVKhu71uIha+fAt6cDKZ2HLK6Q
KjAV5+Sl95//BOmuhNhSDvkGTJu+fNO0ewttQdcXRmVAuh4dTiedijEOXxy0iueKz18eQfj9qBno
aOPG/5MrpmjLLfsaWtpHgd50lse6fBlg5wNjODEixnhyP7YZKfpUh5GsDGc3pPPm+vdVg5Auq7Sq
q64Qg7AJxGc2aO0xM8U8Xd6H5/MkuVo1zISgRMqO5fg9G+7sf01DDzatdqamej+u3FbnxiSnAmM0
bsvWwnjm7532KXZqFDe+sAnqO0Cn+s+6U+06+y/XvR1UqbJkd306Lw+ec/OSy0HXyS70GOZHB+fd
ochAMrhZRkVafdUK4mXc/KhUoQRx7hRgQ4mbYiTsuKB30AyNeo9XiONtr49l1TUsBBWgrkAZR47J
AdlJTMjGsGNXbk1j5ze7qlPc4qs79MSENF3LUhF7IC47Uu8t5998T/H9tYkC+hBC09A/Q6ggXbA0
r7uGGl11dNJne9pb4TIh7FO0wKz5N3goUOwCcAKaQNJq+BR6cmDmwlFKnvnyKUYDaVZ9QUpp4qVi
K4n5OH+mGgjFEPagZIPmcnlJ7MG0mJ371dGb/CCpEnAJfU7G+27+VfWH0lE8yv798gtziJWh3gUZ
0YuezWZJ8yWx4c1F3HPgomqThxnwFQf8NrzMJ32BKs6QQ/We0d1kQYga/XQjmhAnN4g1rTj4GgHV
YoYrhYwlvXeBPdvlDilCPAGLUKM1yNgGiLV87sAo+Gq4S7LNMt8D+w46UfWu+exkTb61u/6nMxfD
ZxBOeZ+Zi+wnAw3+3WRAUTd1OqjONBWpNkPij7/aNOtDhtz6fnZjdKP1vAraemGfS3PsVPSLl/4L
4Dv6ZoGrwz68EHxDnmJO5nbQIzZ9ictvZaKCf17uwXMD0vFfpQaplxQGyLxH4m2TaiFKgTffAcII
LjLUp9HBJePiTJKVi9v7ejTbDIxEfbhoL3anMHK5FZFQNkXGFXEoOjqt8zMLqDy3N7WhOWJVQguS
c+yt899iu1JskcslAfBBpENAfARlIvn1pZs95Rqc4FiRsHTDmSu+f7ki598X4zy5kJfa66H2hu+b
kCsiO3/a+uxm6JrAbggpTBRkRV783MTkZCzX/Dg90t7bdL0f0EpxLq4NQgh4o0qHve3IqOLSrXVq
Nyw9NuQThNIY2+SlIi2lMiEd7TzRcrTBl+mRD6FZhbmzTW5PT+BmOhmFdLrPHtN7i2IULgRtym1Z
K1x2zZVOvv9P+epkqasUKNzKLUBPWfxNyjLwVXR9ijmS7/HJm93WTzCAOf3q1n9524a6iiRGZUN6
CpGmRvN/ARtDE+rolbHubVUMuYK1FguBLYdyh438mvgNJxM1ZzOttUajRw+IVN2owykHvO8xY3dD
/FZaEGYENt7/PtA/g/tb8/+w9ECHXd52u1sjlvPfIe1N3+JdzIyYHhdzM5g7Qjfu7R2IuHVFwsWH
/Ihgozsfqhbzca57UGASgLTdPY9f22x/+yhOTUjb32s59/KcpnhXINcKsaoDJCWum1g5jM9GIS1Y
TCF7orUwkXrvRrnV2MFrQtdRDGRt/5wORFoO3AZGopUJ5ireduOh0T+w3AhKEJvi0rqUW02Fmm6S
W/RY6XdNtq3ZvjO21ydqdQgnJqS1sDLS864w4dmomLOQqChvVr/vITpF3Eg83ZbcqdOMvOlTlx4T
N0Cxs1O9UVcX+uT70u/3rXqoOMX3B/8pKYOMPRFQEacfWYgTK5I7sQG8LG3sUEiU78zsU44Tn9yc
0cG+OzEh+dI4927blh4W4p04ISGhn92zUWFEXBjn8e65EenxOJKCLT3DbI2U7Rpou+RIXhLnx2Bv
B+/o6lFRvXzAv06GJd2SDsQPKHJ39DjNu9jbZqqjWeVf0hXJLaB+3El83wqJFbm54pZXfF8m49NS
5gPWhe8Dz9r9KVRMQKrPS08rq8+8ts2wIIsZNO/uz//X5DvS1WjmvUVw1tJj399Df46r8k+rm0+Q
5KHnRUCKJXfqx454szXTI7pHHXCzpE/pEDDr6wdGcWJFciF0wHqj2eIUzEnolIfY31z/vti8F5vi
5PuSC3WgE6gSTwcb03LHo6y8m1RVc8U8yXHWUJmx3Y0YwajfkwWt1yjM/6nj95vHgTZeyHMjVSvC
a8mXmj5HVxTkw499hQ6KsAa+pFcAWVbcFbggpLohAICznEhLMfM+tWs6APUKXUXf+93ok+KkXZkq
IIjBGITPo7Ik42rBVKvneDwIELS1mfNPfvbqjYdyaBQBgvil0qKf2REjPYnoDEsjnAm0cqF9Bzdz
qPlH0682rp+Cm/071Muvr43YCdfMSReISZLJ9BOY0633Motiup/Lb7n9AAXum59vaFn4x/+HvMal
4GDcNOUy57EeOe4Bipcee+oHxYa59AJhAmkz5ARWkk5uglcD5L6MCAwSXmJve6qKEBUWZMDUQoqs
K/9ZSL/5bjiq0nKXWx6dRoh60AwKoDqw1NLq922qMYjWg2LF3Q2581KX8wEA/P2tqw4zqHsJtljB
+ijtSCie6cuS9waqQ+wQl/1ea+vfRtxsx9l9brpBsXdWR0XQYw+9LgFjkEa11CCumgH9iiA9fu+k
cUCYHuj6r+uDutw5SKagwAyeSaz/xVsICBA0HlLECi2dPmXN+NJ5bYEM2fJrhHg4NOZeCb09zQmb
pmgqACEu/iVFkZRyv83GQo/0sqbBkpfoFPZ+W814aK38ZoVB9F6cZoskY7lltQ6K6Ubkd3f98owI
6foErjn3yfflmmHGXA1YQOxQFHgDtvHQ/fgBA66g3kFDxiXc0HG5Y6TIrEW5/ZqmvwpUPq4bWHM0
gDdNbH6w8IN75Xz7gIC0sToQF0c0Td2AxNTdAwLcoPXHchU+vTpZIvkMLTrUV+UQA+j32uAaFsN2
O0izz6GjaqhTWZDuNGjFmcnSEPizXr/SrHp1jEKVRv2HuDw//+FTvoNyPijRgciUZszSocsN3B9m
zM2SwM5wxVD9oWm6N41agWcsdpi03Z9qaWqoRafgsq4OcW0EXaYFblNvr6/f5SWLXj0DMCGTAAqu
y606ZjpwfZjQO+dYYfNFM8A9HjXLB1YOCEREI2CDv2SJ1efZg2KzY0SZRcsDRF1BBl+DzuL6UNZW
D2xpwJjjkQEaGAkumPtjwvVON6IUdE/JZ9zp/08D0hlO6phz0X8LfoKHdPr0kb16+vvN863U2k6C
1sLFiJY4GOlGJaimmh7J75qFO7zS8XnNO/D6rtIVsfmqJ4HVFhS94F+yZET1UE8sLwfbiGo7hDJn
5z/7xoN5e54F/npiRZqkuCl93WQWTuQmA511uvl73YlWwALAkICZGZGl4C64KKNpToagJtWjFHwN
xitz8z11Imo+mWn10C594PTxhhcTeDafuUqNeG2NgDiEmrYJ5gjgA89doOqXuqUNWSJC2CZN2OZw
fXSXsafQ0kbTmNDTNlHnPP9+kldVXRjLEuUTQKAB6Eza0NHy4cuECGjHTZ3dOdbMFRHvmmfguDZE
FIpeBRn6wzJj6NAepUcj8xOojhTLo9OhvFb1QCaimjgoipRr9lApFqpEYGFAee18lGAIplabdLhV
DXdf9uTQsbvC3WWxYjbXVuvUjuSL86yXTjU3Ylzx+5K3h7aav9y+YAQlHiwWoFkXEVYDhejFN+Yl
iudq79Ds0dEhdWvz6bEwHQhuF7cn0TBlJwbF3J48hgpqZJToMMi6d4ffV26zqefPHJKI1we2NneQ
cHCEnq2gLpFPI1OLmxHY9cgEamHwQ31RCV6sWgBS2xbQAWAGxd9PRmItc42K4oxEVloHDsg/jNvL
YwhsIOiNxy/0ji5oF9I6TROIx2L9wWQYWxHEUIMs/3l9olYCrFMj8q02F33rZRRGqtGYAgTh27r0
gIAwVa3u64YQUuNoQCOrTH6euVOcl6K+6/eHTvsd95/a8fP1sawsCW5moWUu/gFp/PmS5KDOTT0t
t6LSfk/8P8XtSSiCVxw4QPGaQ4eNvPEro19aTTOXKKse2+6dN/ucOmE5v1wfxspMIVwyEYUCXY3r
TvJd3jRGNWvaEqVdkPfP7nvt3NwmiYGAfREMOiBkQ+B0PlFdmzgzklFLZAFfn5bjYz/F26ZVka+s
DQRId1xygvQNl8K5mdpobTIT3HWL9qgvXegtWdjWivrryqID8gzkGGogoESSH9jVxBYLuuQ4wqon
fX4q/ty+GMBc4vEBn0KnvDRVruaD9Jdk2OY13QEhHpW1/7bEuuKsX52qf0T9gFU7MHY+VfPoaWQa
RrgWN/ezxnd53b+nNFeUw9fCD1DJAU0NHizsRTlP4LUkb12W4Pz1fahgmxp0qYv0DrCQXd6hlbHP
6IElxp1bL6DsqX61JsT2hix5vT6rK4GCYLRDiID2P9Egej7cyaUzMEDZEhV82o0FfdKc8suQuV+t
GGIS3vx+3dwKehe9odArxNMIrElEljgHq4QeF7xfImfMzB06kLPfQ+vzQ4pwb0NBfL2dfQDA0CVX
vLcDpAWq2AYPIsDZHzlDhAYsnszQmURq63zkSUtaHQpsS5RANrWFrCCY8kGwlodeptjkK4hhQUQP
ukodjJUA6gufO7mhZqekTVc4S2S61fBIk/xrrk3QHVnyge4Lt6qe0B/o3uut3YU9Ork2g+Z94MmL
jY8nNXBjaCOVzzKwe9ReORhLNHV0a5Ea8poq5c6VcOzMhHQRszFjrLNAHYCUQOBOYHHRNm2Sh1mi
QkSuHTXi+YGuWMgCAqd8PqF08acYKvJL5FshOKuK22mZwSgGiPe/jQGQueQb+bggE7bMMxqDeIK2
dUWcLK4/KTOADYCoH5oTUEySE95+hjcyN9M5MooasLPvaaFvG+O1TJJwSl5AjnF9062tC64ZMU/Q
7wZs73y2zMWjPovbOfpkel93oZZ8vf370ANDL4Eo+oFS9Pz7Q2OjwJj3c9Qfkn7j0ifQpqZ0d93I
ypKLrnLcMIJv7YJqBI+4yWv47ESQOo8/Z+3bRz6PvSmuesRh8hzZyeBqee9ErPzOIJyGmsB1Aytr
jt//nwHx95MzgFmd1hYMBnAU7FsT1K4x3/jks+nw7ZQ0ITeTzXWLqzOGLiRQlhBRrzPPLdKcjLOe
Fg6Stts02ZeK637lokSODrwvBsaFPippxvqRt6yD5H0EidsU++TIsg8M4NSCNGU5r7nbOZ0XseV3
jmpQanmKRVGNQbr9hjQxOwzCi4Z4axhbvd10ir2xbgHwVg805cBUikU6WXYrtpxKdB9GtLtHarbK
H8w4vL7OK9sbC/GfCfETTkxorNEFdRWmCfjZUhOnoZ1/Z2/Xrax506kV8StOrDgFMZd2wUBS/QBi
b1MFtxDuIp2JYJxBXw94SBHX29L3fbdigLUWXuTQH251T6Z9nf6wv7XL7QA4lEtQrkCiQtQz5LQs
+Br9kjAwgy7Ft07749e3JyXOvi+teN0Mhovz1otiwsNR33ZAa6Ldtp4VePn1CftvHNKyo9/fTDnH
OEZjz+1DTDd2vot/+sP2+sKvupdoc7JcocMop5LQ6KjNSPi4keb8LLSwI8+5HWYf8a4TI9JZ1cSD
yWwSu+AEIl9paR68ePhxfRxiPi4d7L9xSI+5bDb11Bo1N8Iz7FvD813C+IxGJhXh+tpGwW0I/nMH
wGB05p9vlKlKCoI1R9d1FczNJok3N4/DF+sgNPIQUcoPlGbxU2OaOei8/L1T3g2/0Zt43cLKCFBv
QyFeVN6gUiNFP6bd8X60XCcawBT/K72dXZAg5gaNMv4LEgkZ7+82us867uAmrIG8z5oQpKQW/3zr
GHxYwM2HswQ6cvIY3BGBkD1lZtRN4WwFPr+7/v1Lb0L6GcyroDRB28IF8GJxnaQC4yrKKOi8BXZh
W5n5PqHuzZscZlxPdDsaiHTlIihBI0DVGpoZzRMAHtrO9Y6l8dDne1NX7MDLbX5uSTjFyflOe1fP
qxaWtOnVb+5LIMENoDWL20EY53bExJ7Yqd1MKyswVkSGO4a29Tw0RVD30WSxTds+9LfDcNDAgoI8
wmzwp10Q7BG/tZMi98wIZFTwAho4ySP3jMBcXq47xOWmOTMkp1iquYacjzAUE3M7Dd9bIO2uW7g8
8IG/AVmqINAB5Ed26ZG6DH23jRPV0MJa7BziX9n4s+7zXcrzn+Yyvl+3tzIiAIuQuhWvFIH9OF8p
rUliPhjTFHmj97twcdR42c1IO3HG/CNABFT04mFsWJXdZYU9RZnzQnc2VazJyiZFl7+QBkDqFi9w
ydf6uqtNmuDz3td8eGjpI7guPjBHJxakqMXxhnIqY2uK4jwPhv51VgV3a4sg2ItwzuN/cJ6dL4JO
iZdaJpujLJ0FTXLAE+v2owwVm/9MSEFwmRB3QrfnHKGhPeyXzYj8YDEqgtSVxA9SDyDDQFM4wt0L
8dukmi2TD/Am3t1ZccisgDV7N9knWojt6Mzbwd24qiLHyuyhvgaufuDKBE+C2FInh03C2zJv+x6p
bnMMSTegN/n2yYMFJNJR9kaKR94ksQ3NuMGq0CyV/CTQC5+aDc/3151sJX8EpiUkb0FVIPKfxDwf
RlFYcTFw1Grq+nF25l2OHjCduaCWuEuGx6S6L3h5V1c3B7KwinoH0vdCJ0TO5yLRS+hkIsnegVSN
LvzX2NhbndnfITejyJCtbFRMHyo4oEvBcS2TnJmpUxr6UCHp6h8Y/zMKKv0v1ydxzRVOTUg7Nctr
NO8MDfKtvbaBSt1j1+X/x9mXLcetK9n+Ssd+57mchxt9zgOHGlQlqTTYsvXC8CBzAAiCBECQ/Pq7
6N7dR6IqVNe9I/aDLatQABKJRObKtS7YwtkhUONClgKUu0i0vd2mzmisjhgVcpv1UMRDK29sU18Y
Yznvb6NYbAq4GyB+hrwxjO7tGCXTzjwKTMPQ0QaEFbdNFyZ+MzzTLk9ziw5xJboLbvTsvFA8QFoE
/TDvji4xajzzGXbHkUXsIUP58+OtObP7MCYkjhxE53hKrHwcaBSGyuf5dGqra7Mj8Qg5haH686sG
dBf4cIS1C9HdahCdjyERBVJ6dDbSGoqZzaWH0pllejPCamsmMRv1YGEE7Ej4VV1qk11+fbXzQBMu
3LNI6UCzeGXAHP07dg/ywRMoX67apnLjGuI9TE43XW3fhEXnx8Ry4yq6lOg5Ny+0NyIXilaoRabu
rcl1I3idS8UUQiidQL02gRznxwawfPV3U8ODAuhcEwyB61SSk/uTq6ZSnQypY08cJ2M76tiJLgxz
7g5yoE0HF4pgA52hq6dZa4IP2TIwjsP1XrUbE1TjprHr5ZUfzjtLlilhbFuEMzogL7Qdn50i4jZc
tFjHdxll1Ktmo3CIOrHqkzGThKqrSQHZRv8cHAVMyauBVnfF5MglYU7VafadOiFtXNPuUunknEWA
Pwn/ISJ9D51BeagKak41xA6eDAIo24Wzem6xEHJCPgwhD1C0K0dKbQWqE4ISX9eEGwlfail/7xRh
OtMLru1MTA3EOYpA7kIz9k6qqihMTzcNG05a3M+Fzgj/VhgoXuTFpuJfP7byc24OjxAAaPH6XXAE
b8+R6za+yySszy6DnT/KNmnq9icYsS+EC2euCJQu/j3OygJmMVhaubU6Vb/8Qlz3P5xnqdvr7seF
kO6cFSBRByUK8GoieF95VNnWDXX4KE9kSGXsdhdO67nlQr8wGGhw20GvbFXj0aRqBiaEOqmJnkY0
3OVdfx+El7Dz52YBVAfMzITvQd7m7a74ACrYuvFxXkiZvhTWpT70c24bSU1Ik8GYUWBd73pbUbDK
5+pkslNb/3KHJwTwljpyNHzVz8ElhapzRwemjDo50pvRu1bO0HB6Rin8TA5NDVZ+7fmPZkbh+FK6
4AwnCbiEXw20rOur0DqC8mpoi2Wg5sYRdeqy8TjP+c7x+afOUbFZyFuXtBvQvLPEpT/rwk+xyRds
8EwZHV9jUf9Z2EgRQ6wuJ2FCelyauJyY3V17Ul7riqGKC4pVzwergExl0zyZJjmKgUUxYKO7KnQe
Pz7YZ9ccvgrFkIWTan2wubaivlU4cJAbiRu6C8FuH3xp8zD9eJzfH7S+JyFnDlwCoFvIx65safCp
Nxo5PIing3Qs2KGdxkeuB7RY9jo2Jz9tajet2FMoi++jknHrNQFSHSzpzfAHlFtTux1vVIiSpkW2
3KG3QWNlwrxEV3Du6AL3g34Ed9E1WAepihUouVdYEIj/tt2RoM08JH8OLIvALgZsNYpPCBzW0Blk
cSMPoM3p5JrXzNpa3z5e7DN+AWkjlG0AKgMN5TpebEu7UC63x1PVipg/edOfg4zxYIR7wyUKiCbo
3t4eoFmXdu4xfP+WVEmHfBggkx9P4YzrcZ2l5hv9TrGsO9gbkxTc7PR4MqiTBGGDdPSdnH443mNp
fs+nQ9g9fDzg2TV7NeByUF75hIK3EQlzvPE742gIOw6bL/+bAZDUhePBvr+r3fhAHgWFOZ48N+uj
dPxfGC5eoUA1I9IFgilYTaBze28aI384FUEU34T2p/LPSY2XRygsFyRbeFe/o2y0ZdgGnTmcnL7+
YszRRs4g9o4AjCStKOPBu6SecsY5vR7wd27h1Z64bkWgD2YNp4CaYLfZDF2V8OrBlH/+hH8zzso3
QcQ4ED3FOCSMrs0pvOpL9VhGf05z/Wb9ft8Hr6YDpSCbMT1jh8B2rOwbv39kw9fxEk3UOUv2LJQn
ECwvCKHV4bR9MCwpgQh0qOLZO+bi8WNDPuMh0UMDFvuF9d8M12C2dtY1aH/VeHKnIRY2ICyAfogL
Aee5SYA1Ho9ecJAjvFkFgr47/X0c2VzFgty3f66EAYlXNAQhHW0jJxGuLt+o5L1Jda9PqkR4KcoL
gey57//641cBZh86IDidhT51YzoHCbkUYS5fb3Wdvvn6i/98ZUtmBZzdrPH5IWSMZJyzrWVdcQ7R
xPTj3b4wULQOZfvWt2p0A58ckfYU7M930ZRQDxnQC6/M8wOh9yZaeIffRSIslJ4BqSJ98sHiH7lV
UvhTTIJ7cwazqbpgXudsGBIxeDmBSSt693bSrYG/r0bs/vyVk4fQPHL3glM5d4O9GmK9cOhaEGMU
Dvo0i2oLLrVRovMQhNAHyo++X4EJPvt4p855y9cDrrxYz1xLkBkD+sO3hh50dWy7r/TSJXB+5QC4
BFkQdKbXYCNjClxgZU19MiJcymhfcksD6gDywv1/9vzgsvnvYVbnBzXunAILDLNr01m428i4lI08
uz/o80A+Cs3n6BJ/e4IaAO/HvoAD6HpTH8gwdNeR1DTJ7Z4dgjGwkGUzh10gpmhXksnbfbxb59YR
wT9Sk0Bnv+co9SaC/P6Irso2f7DMK2dMh0uNm5eGWEUEokWLLwC65slqv06kSK3oIUKrxMfzOLdR
v9GMADRCeGmdl/LHjvmNsFFECL6KVJkXQtlz9QMge9FLu6zSe2rFMNdTzmeF5m0g9LwuFvIzU8eJ
/pi8Om79b27I4qC6BK5azGvtXlHrBdUwKpbv8eCd644qdEbrpKyvQ9hn3NIbbh8ilua9lSwUdh+v
4rmtAiOwGaB7BjoY6zxl65STT+3ZPElQ5iW4/ejN6LvD7cyNS0pg9nJ1vpsbUiy4vgGdDtb9W6C4
QVUIyuancJg2QtxW5h3KCxukshOvT6U1JxSO3tEi7pHMNsxNYF75xm7WGWvy2LW+Q6FVsh+mQrcS
2XfdkH28Fta5k4mmG6wH6HuXssrbkxnyaGK9g9ao2d3mMkja3Lp1lJ/gmQ4W3KNbbdFbi0gYlIbf
PHdPujs4i8QdEYY4d8OwRwCUcnopRX5GjxAyM6DcxoMK6AkEDm+/lghYTkKKbiBkDdzmGFVhLM2d
aei7pv1usPrOV1nntXETHMfuumq/z9AH88ch5nMPgafoSikeG32RhfWtVvVdKKykEPoCtPH89mL5
FtgFWmXXL3pBWD4wC9vb1Z+jsIyn+caU93PXbSw8pnmI1F2eReOvxtu47Ng4V5xBDazE45+lttVn
PfUTLxhBmZnHqArc+fXdx/t7xtaXFoulDgAbxDv77TrmfajHvEGvxSDEdD+1dnEsmNNlPpsuISjO
HGPkV9BmtITCwO6vtqwuBsPrBbaMG4IfiWimzVgP05U3DSIJZy4eQ6L4fW9Exv7jSZ4d+TcnKJKl
i7LJ20l6NvGsGjWdkw5BfeabqTXdiOmG9cVGg71j7v/UDSMvj2wjwFXoC4DXWhb9VTzILFK7vG4k
FOwP9nT49fFs3oUW+HQoNC92jwoUjtbbT59mw9UmsVC/ab0oYYqUMfDAKvHmvNqBALW40GHyzkRW
461vLt0ZQkdanjT4NUda2pB0BwIC2cALy/Yu6FwGWipTyH7hcK+DgAUYSqQe1cnqBj8RfhEeACZx
4tCoPtlDOW2x3pdwUWcXcyHmQwsNKkbvfH1EVeP4rjxZ41G4VmzUh7mFlMsF+NW7i3mZ2qthFgt9
ZRGIYORgjxjGYV5quiQux68fW8WZXULREKdrSQPBOFY2LnwHEmXW3J+Cufys5o7eMz5biRPl1peP
RzqzZGgBs4FExpMT6frVOQ4bH9jKimGk3P8GAq1bo4n2uabZQNUlEsszs3LRaAB0H8IjgN5Xs2LV
bAVF53Xo/7tr1R2lezN4/Hg6F4ZY5zXQvwphrxZDWMaVKCAwb93oS/3FZ8ewUSDycXCXfNPb7W9Q
Ty2rLucnUQUauZlmQBBD6U2Tz8GFQ3Rmd+ASII6G2iQamdd2YBfdFMmW9ygeZ3O49+adGHYj/f7x
op05qgAnoFt6gaIjcF7ZQJNzJAT9uj9FQ+M1cSutcaeMzo4tpG4OrSzpzldzdQFI8j5J//uOWjhy
UblGXnYVjORToyqnwOTocIU2EZ4feHAbWDivt9C1VPILqW7zbt+EFw7XmeOLhmrEaFhP2Pw6yzIr
qifDbvuTLwnZ1xB6S8IgvPREeB9eg1cDRxj166XzEVHNWzPpgmYctT+3p0LJR2rZT4NtJYNTpDl4
0gGvIWmpeGp13pREpXnhifzeRm2Aw0ByjCSVh+fk6qhZOXg1IVrSnIp6SIlZgFPEjP+c/gndz69G
WZ8212narjDn5hQx85NG3i2fw+xj21y+6JuQejXE6rCVng9yQm01J7/5NbX3CpVx8MtA+PRaFc+8
PAV/jAhaDbjE+K+ce8kdqJpRuzmVThJZQWxYl7Cu7+0Pq4bjBrNAi6+59h9zxDsRSozQ/uoP9MKp
uvThq69fy5CFZMKHE/swWemQ33+8H+890tsvvzq0YPwfIWWB/TDCq+5x8ndNvXP57uNBzlqvj4RV
iGZxIANXF2zhR0bhCac51cFV0R+n8uB7F8AEZ9ZpyeOi18NcENThMs9X2yxYxKB/WjYnE1SU8VBf
MNvzH4/6MaBFwBatEdp93UL20iDNabTS3g7iubyUxnnvtOFXFprQv0dYvsGrCTT2MABh2DQnavub
kcK1NOWO18HW8vPjNDUX9v3chAAyRvELcHMExCtvVlbKbyGq25xkG8baIQmxko83/X3tGE4SaePl
XQoutncRo5m3oYYiLWZE8sMYVV+KuTnmngJht3kwpJFIn25dS12VlpFZ85iMXXtd+fLCI2oxrpXH
efM1VgvrBExELTGb0+wNJKmq8RYo1Uy0chuAGhAQ/5eqny9cSe9ppX/PHa2liClAXfKOugAsxaEh
hubkDcFpjOiuFNURygebHiSz09xkUHi5HssptiKeOmJOyFijZl3flqDSNXuSdeiPjj/ekDOn0HLQ
5o3bC0D5d3eIUpHwZ9ukJ2vqAeQ4QVkgpfxSwfOMg8co0EAMPWshgl8ZlgxaQ09BQAGBOk4hJCVu
y/q+ZH7CexJLfd+Tzx9P6+yAeJGAKWrpe15DL9DuY8zNUDfQCr4NBhGX06ZDXa8qr3s3iAU3kUkg
f+7QwNTvILHrggrhXXeOYbTzUEu4A6fbKZpNVoG+8gvpibPb9e8x1q0GRYvHj/QxrxLpu7DECNVz
NV9SgDozysIpCaQpeg6WhM1btxNCYsv2m4CdCvY0dk+k+UTsTx9v0BlX82aI1QGsZjcglvbYSZm7
Fzvafvzplyaw/PyV35Q4TLnZYwKlfYSo2s71vhm1uuDLztySb6awul3awa4tp8Mg0nqSZrN1oAKm
yykpLpESXxpodXq6vu9H3HHs5Km4dNICsEWyb5xL5rvs6sonvpnP6kJ2K9+ZCcMw/qwSQn4GtIm5
V8Z5uUG6PQvo96BD7pC5Sai7LfNp7DdbpvNkbm8jZSQU0a95NJs59o1jN9O0br/icZPoIYijiOwm
orPQ7uIRxMpsbzcbyLA+zta0maMM+ihxZL+AqCRm5ImKCYooDCmttAustJjMtIYIWej9NIfPhBUx
qe8n8/uIxIZsbSAoPkXltWldun3P2CiOGjIbS8keSIqVFVXDaOe0YXzBNPh2mwmvvrDm50dY6ELt
pTl/nWxsvYlx3yP8ZFtjokP0JF4Cvp45CZjDv0dYhYoF+sunNqj4qbUeh3xbjU+ekX182C5NYuUt
lByCKOwpP1nhd9s+9iz9+PPPmP+bKSzjvzrMg+xNbhJ8vjavqQZGdz/Nm+KSvPxi3SvrfzPKarNN
31Oja2MrAsc/ILEVF/kWsVDs841h6CxS3z+e1dnxwMYY4t0P7fV1IdAiJjVM227RMdAkvIB0YXsy
/Q3XeWobh+KPGQE8QLhxO6GVCBQ6QKu9XUQPGRNX6rw9jbNzcMVX2vxxyX4ZAVgDkIRCTxcQxLcj
TLaDZ2jBOR71xzqI5SUI3Fkze/X5qxnIyZToum1xGr0vLv3ekgvB71kzWygyF04YvKdX7tyhah67
3oYBQDGoVfeV/Zl2KDZcAvNfGmflzaPBrSuSW/yUQ6miCtS2U4c8hETUhcfPWQPzQZqB7UZoty4D
GbUgINzx+Yn4Mao/Yt4xK+b1k9Em86W24bNe5tVYqyNqNZUTFS3WLp/CDYfwpxrIfhDhnwerC3nm
/0xpdUbZzJuwsjElI9+G3ItHlsr6b47+//Nj/L/FS3v6rzMv/vWf+POPlk99VZRy9cd/Pb+wvmL/
ufzO//ybt7/xr+vqR9+K9pdc/6s3v4QP/nvg9Jv89uYPGZOVnO7USz/dvwhF5e8B8BWXf/n/+8P/
ePn9KY8Tf/nnXz9axeTyaUXVsr/+/tH+5z//Qjj6yjktn//3D2++Nfi9w9QX0yzkt/e/9PJNyH/+
FZr/AFvS0uoMoTYUFV3sr35ZfuJH/0BSEVVXaL6CTy5YipGs7WX5z79cBz8CQABkc2Bd+K8fiVYt
P3Kif0CpCal7lNcAFTYd66//nvyb/fn3fv0HU0iVVEwK/DY+8I3zBgIlgIGj7rtoli6A9NUtNxlQ
6OW+W+5E30O+PajmOatyamxBLmDvHC48FvvUNW5GOasdcXq9D4LKy+q2M3Yal/BB9wP9Sblt3NJC
VCcrJw9+ieR8wl2jy2TdWXtJbe3Eg6/kdV2T/lc3zhaNSW/lqceo+zIMVDSxNzTGRqnGfSRsCiAd
JEoIMTRwLdtmdD534YTHR8vz6hSMjNFYeBB4i6OcgS7PjfIfVhcZVzWK5hztXC7p8IFGfssaC+zA
vodQfzD7uGmLnWmJcKOQkg7actJI6Hr2E69q98UCZeFWLJIf0Ktq9/YYjftuXFi7/dKss1kE/l1T
BuiMr+w5gwiJeCortGZ6lRl+CX39a4h4r+JqAEMRQAuuTIlTmCxVyiwfvYDRK7N1zBbvNgC/msZP
+4DmsTOWt1MJrFbkTnaVFjPbuVJ+r/C2jQvKZ8BQ0GTTO3W1CVondoVfb9BVfDQd8G+FdMhKgP5j
QMWfpPFDdM1tGI7QXPaoejYo2KRqBUmZkDcyUbqAFCbxbqr52nJ3Re+/aDR6JtBnvgfY4ZkH9Rcu
8yAx7KZEjCpiv7TnuFAVer8ZevbH0M9m1hUx88YxnoP+u454Uio/7qKgg49s6deqEkjo9KGxDcvq
2uNOn3kzZL9Yc+j9Vj4EpJs+u1LtSeRlzJ7ivJh3fuNgFXXmmtOO+kiemGF1VfqFe8VY8VNrmQ51
VCUEHFBJ0z1bdZ2VE9kKGiJgrmWRGBNE3MsWhWYavrTAHVdOf6ds0e7kItvCo8Tq3DD2ReTFZtO4
iePkUazAZk90+QW90J+RS60o6AJghnHZhLvcdDK/zC2wLTR6D1Zt8KcD/Kh2ZimMTPtTEI89+K4S
Mtf2Dw4ESRkbeTTFqBnBBO4M6RsJ0c62toXaR1GFWpgtYlfJKm1pr9JmQtG7tikMwm2mcpt7Tfgo
TFpl84CcmO+S+9kum40lBixYp+sftDT92NNcJmZXG4eot9XG8HI06ed95Ry0h7vXdwqA2p0wc8Jo
2NSG5HZMmnLImONd69598LU9fUFafES72AjOJoY+4lZscqSS915eSSB4ccRm0eSfVeE0T9K798op
3wa9rLcF9aOHgc4q9oEun1LcKv2J4ycZJ7rbOy5x3NhoQoIdGfpPsz/G9aCa1DUZS6zGohvpc3XV
15b1C/rhxb4280SZgdq1oShuzdIcU1RUeGLJSohYkvoOxRd+hfAFZQgdOd8g2s5Sg4+H0QaBMkRJ
d6iu32vILifIU0z7XEBvLDLRi+TlfEcZXEgw9tce6BOKuJbmJ9YrI66bTnzzihqNXl5CieyQOQLQ
31HJDH2k3pzkDqmmnZHnaRcVN2QyCpwS1mYh4VE80lvKml/CKNvYKToInsOqvCGUcWHqT/U0mgnv
IARcTnt80/FaR+1TJWk6LikpWndfCwfTafrhSujqwVJYyGKw0xrUHpSNV+UU7qGklFF6nIP8btT1
DZ3GK6GCzCnKzxNtvbhrdH4z4e1T1eVzNRZRossQEBDKP1eoaTg+vZI+ezHKDumOsoLcTzTO845O
3baicM7RQPCtza++3xWHWlX1vVMl7qAtHPcAyUSrr1NpGtd5U1vHIWL2wcClnko3zChpt/msnLQx
wYqJ0wqLb+JxKJprMDRnrVGlk23wJPDLZmu4VqpDEqRAU+rYhmxWQz2WSJPH5jyWO9N8NKSodiBA
nuENqiunn79w0+hSJgkivKZnsZi8L2alnnxGtlNAeYpu7wYbRuH9zDI1XFIdDObPcaPEV9KJr5Mh
u0TAt6TUK27q0EZf5DSMiVO5Yqd1ce8007RTbt/dzkFxaAnJyrJHCwyy1Y+8Ek8NOp+PgdffjeYX
o10cYq62QnJo2oXTFVIK27wdMrTGXRuIcp3ewDUT+bf1gAYlQmwWg60cCsrTtOG+qm/cQcmrpsMR
isizTdFtE3td1vNhSknO5TMKEjRGtv+XQyfneTQsdKm3HuBEHklMMXyJrJwlNfGew6bMQiNfalXM
/ML9Q+8K43b0mwkGXPJ7z9rqiF358peIRvEZpwOOENrjN2NgtymUIdiW1GIfCK/YegIvQjPKcbd1
N0hsn6ChlrKG5xBHdj4FEan30GIdU9sjIq0HJ3jKAVecBUGWtSqeSm0c/JFlueugyjt1Q5p3argC
qkVvBO/sRLSV96npRxcd0C7Sxb21Dd16wU7lInPltNGTTZKeyC+dmRM7xp3nbss82A++n5Uulcvm
XRd5QJI20lNiV7MG+f/cV3FL0JGE/MauIqXcUhEmBPJTaVnlBKzdSFdZoKSMRRsg1uVP4E3RR1bT
e0dXNUgrnYNvC7kVU/ud8O5ZRToFRx56z0uONuqSzJuy6G9YACia7dxOhlOnBaHTRkKMpg6Em7Se
9QsaQnunncq45FOZBf7gYqwwrX1FY5k3VpoT667r2iZhljHEXd19Am3nziokhJ9EF1y3PLAf/B5E
xS369EDnQ1Xa9kgDWfC2iV9biTEy+74wO3bM9VjFhZR1KnIIpMyjyT93Tjdvy1JlPmQxZLFAsdEh
aTeg/ZztKeMDuiO4qDeOdrOiDavMV5WbchBm3xK/SNtGbxiPhivfbbLIFG0cGWTetVaztQ3Dz6j2
NnMJKbpetTHVJcKBztIxGdxpK/DAH3u2IUWr45EAG+NK84l7Cpzzdre1UQIhk2NtRh83kx3yG/RT
POZqdmOEcNcG3nFJW0CEEm/7MDEHo0jNVvJs8CO48LHHgyuXOzajogEcawIExl1VUiuWnLW4xSko
u/oQki10U7o5zVrrNg8Lkqka8UMQ5XtKqjyB7IaMaRchkYzGYVeYD70xHpExWkqW1o0NyeTYYl10
5EWOMIuYT6010piNAXhNLZPutDOxrEA8cl34iJpUcFNVZRxW0Q7NOsU+0AgWNATNYx4MjznDldXo
5nlAtL8XxuDFzVDeAz+UBbNyD4VXlV1sBLKJwa1i7nmZ98nS4pAyKqynouj6ZGz7zzgzO6TV0qGh
dmr1un4BlEtuqrIKdp5b56k/KZhcZX9XQdvez2V3Bxb3CNR1OsgEIiw8aYGcbOB8gwBYogcEpDrp
cyXi2alil/hbVpS/WkNZd0Zj4yYb2LWk3R66zbF2QXqfc/E77IEwszSmjdnQfmON4bDRbNwbZfOC
FKfMVBnt7Fk9N9JGTcLL+wzUovbGicbymwaX8kYNvrVhtO3z2Ob+sEMS0Cxibs7PwkYTvleOyKgV
jjxU0pyOxoyATWqY1Rwy61PU+T+c3BbbzgMf0AxtZ0SQrErq3hxhIkYhH8w+d0o0u7Ppthv6r17X
jDrlhFrPLqgDY2j6FHHoIicFkvNxV/vzFgHYXlrdQxBMx6qajMwd6u4BjABDFoAz4qeqyxYgeY8d
DRLNYDC16pSAbzYTvICqNEUWwJsAZIxlZ7/IGqiQeIp6ceWBd28arF8idH5Yc6ug3VEcBDAMed49
e1WbnyAqwDOvFcG2iZx2R71fjsatUboOhAymJ1mYYTJ3jbvz2vZzs7xNfCgPxkQwGWOxhw117e+l
aHZRMUIboAm3AWLqoIa4YjFBRy4n/oEZJnoSvajJOtqB4ygwh2SobnzN4G4a56XsfQTtUuxGt+r3
Zmi4J0N5cUlPQ+SU1wZveCYDWt/VRLqJDUiL9qb7sHIeFZb7Gi3t+J8/h+a3qELbcqCgzsStE1WA
nXZk+jzX4nsf1veicG6sDvq+RmCB3ydYktO+jcuL91XqBwxBh6tZkk8FctGa2NAJsTx95SCKOc2h
mm/BLzdnlizKg1dEzq4OENvzoO3SPmzMG6WtTae7X3lUJNRi180M9vqw5Bm0QRCp4T4v1KxTF21U
yxhOVtCyvdYq11+cPESivTSGR7wbXdyvVZTgIat+IZGUP+ZtYd17A9M/nYrTBCltfWODPULBGfj0
e9Hn9rHMHcUz5oP2cuoqhchr4F/KSXXbOredH5U3AK/gjMEicw5CG27ccSrtPaTTN21Po02h6lg5
/JcPoSThumBH97AFxKafS9NYOjVAn9oM/KsLILQy8jn1cgt3XT+yuKk5ZDUi5YGosp6Xrv7tVDpz
bOFpkjZ8qhLG642cCPpolT0cSc33aqjrBKdO3QxmwTeu9nlaoCkor+E9GZiAd0Elfkh3RsuzpVKw
6MzIdqnY6OpPc2XpRDoO72IlkDyeB+uGttUehQix5UbjX3lFwWM7LxIwbCM0iYasCDqZen0prnmk
rm06Q+ndTiJHT1lXzF/ZLNBc7Rl+dxvlJLpyfZ1x7bhPqGo/QNyh2buKOHj3aWuvm+l7U+IcxoVg
P0neP3jduAk6B5c1EqQFfjUq7Co2DOLeQIAbD4N9rXaGPUEycA8W7OuK8f0EGZNvoLTzMq+0nso+
3DnlcIMn6pzMtH/pm2gzCnhKaS8PSyQC2GzF4xikRWRNmQYY70gA+zu0bWGneIJ2qQI6PGFEZGWr
yqTsZu/gNuWYCJONIkbXysYDgwmd+G0r2YZiNR9QpMD22f5OhS6DKkqzR9fCwfQQxejZG6/y0vCS
3jDzJwBvjHjQYwsmqQ4dxq3jQf5QSuc0TqGTWEMRXjkSWWoEztF1rfDSJK3TbaH1dCcCR/8UrPZR
9fHadOSR9RAxtDFJvbwR/EJB6VUD1JUVHDoJlm7yhyjizExyGtAM2asB0HGbPzYSOWhz6ss+cQpd
bQiEVu/tvPMzMpd6g9dku9URYfuQunpH2jlHwtIKoaBWa4VmtjnjvWtvTU6+UaPz8lQULs6uFegh
zuXwwPs5PBSW3+89UyJIcSATW5ZtViiPHqaJPDnecJK8Q6eXmqzrxhr6hy7gx8EpEfTiDMdRb+HB
MZokzIxARwdv6K4GVeiEm968h3IL3xpTC/kUJeuNOYZdXGir+pxPeHHbbWtsgYkefro1YpoM7HNx
MDrPhYNbtaNYbwQBeLlapf3kU4pws/MJB6Q/MuOxYs9jXmyj3I1ZyEcEoeoq8HuQ++jKwpNdmYkv
jHajLJUnnWsUV0C4RWnhUnuLknr4eeqmp3JEoEbBXr4D9i1KPQeHGxXA55Hjpmm4/dhO8iBtwraq
R2Jm6t3Yn/L22p5xMgG3vEIjh5Gysa7x5DdwnobA2Ezcrz4JOLWw72xcq/+Pum9rjhs3o/xDQZYk
CIJ85aXvUlstyZb9wrIkmwR4AUiCJMBfv6cn2d3MpDapfdx5mMq4YqnVYgPfd659C/XX5xJRXEbV
0hdqjvujJ4cq1xwoiQ9K2pt1mOO5btMqZjYFhOmOnp88rBMugpraICM6aPH/jbDPG5ns/XJqML5B
uK989TbV1bJztfSwdcxeyv2B7tEocglw3QQyQVtb2AU4TZJHFXldNonu3bZet+sB5hZehUFK8uZE
poSmYoaQdmPiQa/koyr7p5JMv+a22cGI/cK1rL+OCWsgBCR+xqJuTctNBE+erb60SF76Gi8Rrvu1
Xe8oGHxhJGC5sjX5VD6Re4iPXjm3fqo6Tgvl8V0l4zPtot3m/AQ1abXLXdicuzbpskRIzDpV9ewv
wbVT9kG0NeL8J/+GObVOtc+8s47ir8MEnNIKrMW0upRS5F0VilzoGFk/0dsw2Zu07oib/3E2U2Gn
aMcGlesgPEzgs7LAqRSVcVm4NQcerS9lO8o65fAz7fzAu/GB3R8pIGBRL6d0wUWBj3iNfZZiRAMr
eUmGqv5ZhhbQodFW7kQrqu9VPTuE0EECA2il2k10wkxmOkwWERNpu938qSI/y1bWD5vr8xr/4zSs
CDeoS/LVBz76SyvcO2buTszgb4y67rOB0npXNp+dBevMGvDJE0j6bdlFcmXFOLcoPYBRDQn2v8La
4OWVIK0Vaatd24c7ZIb1L2KslszKmN+HT1GIZMYtElDzaJnl2YAw0H3HkcfQAaNEqPTyDT+iOioa
vgHjxatDKkLecdZmZFX9vuRJtAvGuP4Fy8atBwgBpQ8uML6Q3f0dyVHqOcIaDEDBbMvLCv9W6o1Y
B5qZL7maEZAkIARLYcGrdrXrrxS/byBU7hYgaSkFsrfswaHsm378BBJTF37reE6ZWQoYXoaM9T5g
4LVZfgw4DlOcNi9sDI/R1N8k10/t4vRhc3x4Chr8lhMXfusckgRKYDWLmEler7TcQ5Kw5vMadre5
E8FNrPfjsxf7cC2/K109zHh+05aS21zWwZlPG6quN3MynCWQ7LvjuvXISC5Jljg1oifApm4SBJhX
1xeo8TmNiykYPtavpKo5PFNsAkjVAuejAFvDOblE3jpe0co0AssdD5rod9QsZr2a976a+W4rcX8G
yWltty3VnfgB/Pi1p/Y3jnjkFiXl8Kj6JY85RBs6HC9gP3jOfG2f+qCFUqgqkU67cmSSYQYaMgEc
pRhlYg+suTfYAwsWyWiwYTpYIDt1XiZpEMyxdtgkVnNMOq2O63rqGnFiNSy5oSIunROvTX2+YSrC
YQ+KGWBTU17qmDY5ZxI9XdOWL/7wgwz9UHTMHjHSkiwEO3DCT7g8ltie2QS0egzK+yq0QqfXbhU2
FXVrkSeQ2rUnmNCH9ZWUej4najtVS9mcVdxVjxgUIYVSzWu9AkasWYAY+sTyl2nEY0MacmkaM+6m
LT6IJfmxrW31BdLjfTmwxyEJl4wM29k1wc+amy+Bc78TTLlWQL4BZ9tpAEOT1j1gjAjw8+++9J+m
0T8bQJqJp+sMnWq7oatoSqff4cyTvCR4X7GvT9C6eTcTBld4470dxPBih0KbtpDoks+XwKTeNJbn
0BsQWsJIm08D7T+7GCxG4G4GzQlRtLo8kT4mdmc0MjtY3eTCCx+itfT2rgqGYkOpCj68fVyoYbyM
XId7ht6Co1gJTohJsWwogwNCoTJeovWt6fG241IVOwW/keHfIWHTl36A2kWqNUPQxa7lwM4jzKHP
UUw0qkQILYYSC0zX1fO1HcXZQ3kygC5sMrK/o15BmVbd/NwG/LHEqGkVQHLMUTM4mPYwo7dtr8vp
1HPb4T4HctfgZPLmJx5daz+qCn/yql3PhyFNlLRpWNEvZBi7MxIktl0kgIAMPS8E5uKATLYI1mA7
hT4GMbAa0Y7g6+dmnHYhnR8mGLawowJlYe5XT+UvOkZx2gbNE+7L9tjpaq/VmIuWD4i0MdlKv8Z1
4P0GrtZgbYibAsuf+BXP5HuJMSgdBz88jnXkZVPpz9m0YGJoxH5tyRNhld5TORxN4zt4+ZZ2v2h+
tPIqOT/QWV3iaIpyBozdGA92nopjgfBFv9e1rOCnFA/j1vZXnOIQSTRefQjYUl4YwL+D31fC2ydu
nAA6vfUyqE4zQBw8hpa+amzwkEvJc6QieDJReCnjATyEMcMF68VH1NLn6q6dw9v6vKB5BUOa3yMH
rpI6BWdsbrVvFmhDK1GMTudlPI5ZXddTvmKwgdMeI9Usy5+dcVHh9GIhz8SDBkGvOfiJwCm32vHr
bNsWuNgaDs+em+cX8KQXLedrYAT/hfXyhv5m/2E2q+ge2WBAmaN9Xv4UATsqjE7o7Eu5U9Wlr6Ly
5rSKCkyaE/AgtuGQsshS3YSDP/JOFQxdS25LNXzhk/cRtq4trOw6gP3LAUyBSpchfNbleAY8ueH4
nPcsMThQFYc6LvQeeRlknn9Bi3AedjE52qHFdjKivzZbGi/BnmTfde22orTbG5KF3N6M3Q3gLM6C
GRiuWICF1cMNZpAJIgAYBlp1oA2w0pXyLDaxh4w1ekiaVyF1DmTshjMRqfIDUvJh43npA3x2rLQt
ZMfLUgSx+RRxabDr0eYri0IsrIvcLXOTeyaocD92T1j7MjiKLSjeCmwCkV8aCS2xJsvz0oRDSueq
0GW3s4s6EO2jgi5Zrg47EFbfIFNts2abLMF6VNtHjLHtVLUfvoHJEOcgOutau4I88fSjmxqyJ6Qj
j86w3bKJhwGNC4dwBZkQEoU+H4BlcyrnJT42I6F5VG6PwlvGvbIh/rw2ZSrKJElbDFFph1OuY8Nj
GU/IpwJw5zvGMjLFLzMCYlIXQlrHEfr7JCY0U4quXNMpGdmphhx69MPkq0eHqqhxoWUNXXboAdDz
eFpU8GTA+Ka4coJiAryX+tsSZ25GyO7odw9NmTzqOLgiCjXI6kXmGxYivVR5OM0l4nETeNw8ZCGu
1OSx9vt0Gcsp2wJAVFu9AUkglKSgTuhzieDy3JrkVFcOH3beZYAYRd6E/gO2+3QsVYSUO6Vx3sxz
GlfOv9Ce/obPHZCFxYTS9uBEomRXzuh4QhXKVh9pwFqMQPMw7ZYV3UgKQyIiLfka7NCXFR6S0frH
vsSgA/qpRGUThnp48ru2+WKkJnmMKMxXELDnqgl2kfUzpLN/wZV5mOD7wUPS2YuaK4eOJ8FVi6zM
CR9/R7w9dhH8uGFfdL2nvwdsDp5Z1b0telu/MM8KnXdhPBVISJdVZiqf7UWyrOmw6FgWsfPLVCJi
8IlIca2hI8TSEJhcQkv2pVy1+zFG2N8nXXrnmHRfgdjqHCMqyWrCxZmKugb3hCbYZatvDVLrcxuV
PwMSPvoYTtb+Db/ZLEHXLaSydSHXpcNLAEMr5leJq20NZOFxB0SmYwdMmpdtuFMC84lEDDxQp9IS
JggMBfaqy/aGtnB9G2YPgEaHdcnYvYImM2kZBAdbKj35PcK95LULklLtNXFN02SzsUPm1upjpj/n
aACtLBrEMtIE2ffmg4WPFuPUwvhucNtTrIEOSElP3Zhsh8SfRFoPy0OMvA4tTqLhu5pOD0zqs527
onPc5AII102o4DP2h/WBWNnkf7zkxn1C7Z4v4ZS3I/bTTY04keb1S1m2NY7yJdObTtEV/aFX9a2K
Dr1b9n6FeGSNzbXzg+9lcjeyJ+txc0rdoyoRm9vibQD90GPPg1w0TBYQFB4xWROSY9IoyFopjjGk
dYKdbZPvHYE2HX3MZAgfW2t/dGEIHBtKmlE3J2H6Yt3UTa5lfArLOUnDjZ6YxvuB0AV6HilIDjVc
9Qaq8Q+otdMx0MqEfQkHBrppll3Re4zkHIkCeeINOFoTQdNOxPNX169Jji6DEP9d9l9XT5isZKTO
YEI7C2Ye7Nwf4qj9WBl9Im7ERxM31APCXI8VWaBUsJGfta3eRXQAdKNwkvNO53DmfjUc6bE8WJqH
YaInDn0xpCVE/2Y9B3u5JAR6FF77KVXkzQQaARENCkkHh2VA0bbKeS8A4ZF2++ybGr05iAHZUUgX
XhBs1kFoM6rkOA2KyjSxa3wU40C/hYGFvsJFC2K//YA8LH9wFC1rI9QRcodf5Qyp3XcJL/g3O28V
bmAVPY4hpB974Q94vDryNWwFf3Il7x/kBKBxhzDSB20pxbOsAvPYM1Nfqjki8DgGkDhKzq6jssln
uUgdp5tdUcGzRd4ODjYQGW6Ymz7VjcLrGuruCEqyLBiv6XkSZYyQcluGL2irUHt/QcqUIhwiaKch
5mHtBurERXvnseYzjLY1oyUHtjOgU2ivJIWMuU3qdT+LZX2caWv3Hh7GnU9FdG11T9+q4M7meqt+
hGUX8w4f2Ye14mKpv3wAym0yB9l1C9Ko8/RhsP4jU4O84N3SCI9Q9IfnOwQ8LGbeGUTpF0osGHaQ
JCUr0mUlGqUy0TTb3jmDNuPBsRuNZ/+zQ2JU4ffIpdCudBgBp30cdeAAsPJeyjb6ljDzFTqCAORq
uQvFOuyGcAnfdaiO3HvwEvvgQjwLeILkD4nkdnDiX5jtnntivy1dEKSW1XxvNVaBJNR32jW6lS2A
SIl/YPVYWu93X63VtZcDfsjFlpdkXJpH58UQmCfodAM5wocdQs8xbnuvk46rNZ8sESIdhMwg5Zqy
lSB+wMkBlQ60Bhcx+BLakwj7SdvZs/TdGWWxVQa+KEFD1ZQzhQuNElRhqfX+YZvABEPR9RkGQ5sB
EYBqJoD8ANdDLsFg/hABltzFLiu2u8kUQSPpU+yAQsAT1GXCyAPaoxZgdkTfqcToCBA/LiCAgJMQ
eQr+S60Qxu1GdMemOKXBEQRikuDoYvELFWDmiuB43xxWrYB996MEnPOPYZvlU1uH3xdmF2hFNBgF
Fn4sHc84LLuH+A7AIIy9Qp8ygUtnum/JXtyeVgN6jI9AejtTrycI1shxaVz8bRiXuejZAPKaO3Jq
Gt49oS4B+tawI+5xtIkpwBH0dyTZpduEObraIpcJh80HnQZjD/0z6nk+qkZ3BdzCy5mv07bTgWj3
bU/Ds68XUaDzxvu2bewTl9UPTpPjIFZ2ASaBy3+gJPrpBIIBUIHW45pz/QMgvwisZysuqEJkD/My
WLRj8RK/3oQAfwj9V7IGCDUHZLtcllmrT+ncdPARZEixJUQGd/V4rrYZp01PUASrKe/SpSznT2nq
5plF8/xmg4GhGEnPbssAeQLFD9YNxWuVLvmLDaL1IOZRHABiyZxX5tYjzuwJHm3/POCDf7S+U0eD
w/rc83VEXEkICRJjZbOjU2cfGq8nn/UEBdfYzNW7J2LvIAK9gunzLMWlbESTOkSP3/o6GPJVwo5U
tJMtr3XYB7uOoMOjRx5K6pkJlxtEJFi/2qsv8Js3+iHASF1g5eZfF7+6z4ZcHNcGsE0Xlfpp1ChG
NxFUMCEf/Gfnd/WRmc6AuMLWk9po09cecApsSA5ujGlZaQp59k/kDQDJ8Hto6JpVH5kM229Q5Q1Z
aMYEr5l9TkSgLVwPGnYKfzz7hNavYTsjczSuiMB4Vl8h1/LuE6FTYEB5tRz7yqzvfO71iw/x5YNS
bs0q9QApG37fvkeycqPtF3QXLd9H49pfRiW8TMeYgoOjkPMAevDq5U1Mcb9l967XzPdrgMz9/Ltm
bn4s280rAOvaQo6Q0LEukrcgpEtK2w6yEbvIp6VlWC7hvZIHOftAABARWD4FK46hycPH2pO9f8Fn
a8q32ONpswEFc0g8OdLZUJ2JqsVva7IxXn1SfSeGu4c+4RCKATVJx2gUR68et50wdMw22887uOnm
c7yOBCNiXef1UuJnbpGFOxBun7Qol69kEN0TvlJzxq4XvbNohTubERHKtB07/xW6AQkcsgvZtY6j
LzWfvoXStFkN/W3eRjXSB1WM7KzZj28e8LNxD79Ac0UB5vLQSbf9MN0MErjZuu/JIhuQhzR5jBoo
K7i/mXyaIPwZI+ntaDN2j1qpCODYWGWLFwER5EZdOmwauNG7qhBIq4F2rqm/0BjhdPAf1oetDDhg
hbl7Kkti92vVyZ30e3AKm+KPfjuJc8tMUqxDaQo50cziashmhLlfJj/GM2UXlkWg0nBwIea0n8Lg
LWnC6joIvf6omAVW6IZhScfJJO9LaUu0YAbj61otba6GIfmoBGO/m7Zdnix15XVidlgL8GHtATxD
olM87ckBjMB9RIrj9mnEyxZ53Ov2s9sW8ZWAtitqctcYJmODXonpq0SXXkaalv+UMyJE72tOUY5D
DMO+r+yF+kMHIHwDbspafXVUNdnUjfgzT0e7leCsT1DJ9ALXqPBSOYpwTGcMWgEGKOivsOnq+EFs
KjyogK55RRfzG7ly4c55CqeJAnKHIxAvgdeVPnS9ENd5sVHei27Ky6AFbOpDztdCinvFSluLAwE2
NaYQbPJbBcN/PnWB2UmDpIWidyNLhQLOuNSq16clMjivwwnxwXh0zKeJl4GmEdyKZx2CCV2AjR83
Es15UkG0tyXNXUA3eNiSZ37SnOmdQaTbES288yVcSgk97IyKSgXlU0FW7b2ViJYqwKWBkJue6FgB
3sdiS/AE5ZWwT0P87DtaXVkjN7jGkeY/1egVzgwL7+q8vntybQg1J/KVzhL8Q2E0NHohAWIv/Jbs
VLVOZ39Za9hEKc0TlOukC0L0gLL1w6FpR21S37Lq3KFl4wCSmeSQyFV5P6v1mwhslOo18e6UH3RQ
wus/qYziJ9Qjdh9WQx+Obpv7URsCXpk671OyNQCM18VuH49q3JG+/+3WuUdImuzNgnEqUR/BEpGc
gbTNw4hCucKW9m0SQ//FsXl4ByQA/QxEhpUOjp74UGuUKQqllLON/O0b1eWKLO7BDdEwpSpKhicO
weD9mUKGKSo7okdZImKkWoHSUv2cVCWEiOCMvVcJqnlLqSHJC7g+KG611xVuhbQmikrmIdqxFL86
Gkxj2vpsexbQcWaN6+wnwg2gUuXSewciXN9ACAEu3lQP7ZUi38SMA7ctXQ3JSbtAfzph1oxp9Nh0
FUiCwI2/vDUIXqtunXfV0MYXRHhgqIjUdmbQHBy8aQKvpkboezxQPena4xgBOS4As0jVPBH8hKdo
c+bdJ/F2q0gc7WZqvbv2C5GqyYgtJID1P68Q8lm0bsUQ1JW2WCFhi8DEGTyz6IrGjUJGLEXyyVqa
E+oNNycw/0I3JPHTQmuXb2KgGCFp5M5rLbF2DetWqbxCNDYYArXWKSDB+TkQwEZTtU7sKSYg0KbR
za8kMNFrKFCntmz6nshZG2AKVrcbUhktai6BxIZ67D/mEMNm5EyH3XGa9z0Sj3AZDMnr2M3RJykx
95aD2xNV+0WLL5hXs53OmOjuHuMJHuCIAB7CXlDfvAbeu6oDMFNzEWCFdnh2u5i9QcNUXbB+qBuK
jTtAoPI+Ylo4KUlsk6cqbsiTGtHGt3LI9KpWtTfPDD/iCZJbt2GQ4xVpC3zcE4S9KQtKxYiLRBDP
swrvFOfo3Qn9SUeQa0ELj+1Jsh1tV/lWTdHJXxX2RhHJC9Mk+r5oLVFkZMQvCL1sCGVYZY7Ocvcs
R59AUWz8AAw8kNAvsof2CYIBcmnbEgWRHGnwByGMegSGv/0culq8MqP9K87IfsPzH/nv6MhIPlAp
Or1DTOOO28Kj/QxG6YOhJfetMVigmrkvnyOzbfW5HOvvk2rZDhRC8MCXyGEIMWb+0uGe/9Y1zNxs
PzVQhhIcZnCvXqH62TKta/8YEunhEPTfLZ27lylY5zXnpscZafHOZfpegAjtbc2uSTIv55WH0E4L
/FkyxtHLFo7RrSsbO6ZIC1C28FFTA+DFB3sA2yZ8AwkqeGTZTmDSR3AqMXDsl6jBwZbPgDSxrwR3
QZi1IzEPfTNOHsqbTHX2OeSUUDCS8iHoiMxWLAj1wY12Io99jeNscaG3U1LxB69u5nkXokj7jYRl
cymhKH7qhhnpAaKFPC4hWCtTojr/JUq2aU3RwAVFsi631MM6XdCZV89eOceFCcbwtCzR9FpCoHOG
P2aG2781b8CWG4i9ZuiOKSSbeY8e9myCfeWZisZP4xiaXTuPFmoOLvbD2j3HgbkGjJTneRW0sHG5
nWEG7L7pjZVZbRT+xYEbTjLg+Vph38SW2kDV1uufsxxmlRkX3yn9QB5Gj02Fb4XcqR5irQYw0EvL
wjqbGdvyMqp1bknJrr4h4thDQ3x2Al/a1S7YzRvE2fXEYT/mNZbCDZpW+JUFsS8VJuiz9glJu4kG
r2GiQ/gpCHJy4qG8zDpRz25g3adaYE5KOw+FQwiAAvM7QVBUhHEf3Rkp5ATUW+X9oFAsXbsRoemV
j6sCFdLsSfrhDHBFeD/ktC4X9Hvg9nOzd40rVmXTSLorTUz/ZRit/EZlZXYTtDaXpO/EdcVQcQKb
DxA6GFuSUqxquDRAslexJwogA3HRN4xfk5XbHN2l1cuAqeqb1gC0HUXwB1yWbieHKP5sBZPfQ0iQ
f619vKQVBDlZtKFPMSjDbpe0sCAhXrqLHqmb+I9obPHsh00Dr4wTCQIEpMJ0Jnn9KqpuIwBuAROT
FYJdx6Y+AwlBjwCIy+9eItsnJPujmXeU4m2Lmi5Hj+72Xg0UXTpNaM6SrPww9XftVbhVDkjz4qUz
Aa7oCbxwwoj86KBefWFxO18W7Y8np6g+iX7D9U9xDRJLYLnhfpjD1mGhnO91hr3P/FprK89rOMuP
dWmrwjYjNEEhQ5QeJhWBo31K6qbYqMSmPeNUee9GCuduGPiwCSQAEDUus59+m4jPUTQ3TH72MK3M
pCjRUh/QqE/nZkYWZyl4NEHph88frtfYG1KD2sif8aCWfZ0gSDuZYrUDYmdOMXCkDKcqCGt8KB+Q
jOhnvYHKsYksPa4wrfzAHF//SiByfEXCIa33yFxjJy+uuEuTAcTD3aKUQN/XVS+VXEHnG58kB8pt
mDuO70jRKAKecLV7bOfqwQbw3tgR6eE5nyP4bCKusAuxI3HNGODS2kyBLYQ/+4MEpQfnWUVX/+eE
eKyv2o/Mwc4+RSi0qF98obD324kBtWyAygyqhgBNVwve0Plemah49GnDwY05EnS6/WqRLOnz8oRD
PgCXHpRXAQHkbxKj7koYv27BOK4wGw2DwAPt2824rIuX+lOwPjxQtcS7AHJocDJJf/BlpTOGzw1G
6ySypwGfSsw8c9ccx/tWBRjFndg4LB9lEpSvVc16BqQWrJ3l8fA5hhvfsRoqtcCOeAc859+21gIZ
Ce6Y8GjH699oV/uuChErEVYVeGQWuYsKIX4EjRW8e9HgfUcImjssyq7XbQ7kN12t9k2ZBn6S0YOK
42KDWR9X52SxGmGLKOkoHAVhkvMBImV4bRwivFeVQgqvCoZ7UmRjr+k7xVR16WGHOEqgTVX6N5DY
qAjx6uowl8l46DQ1v+UGOQ6EzjgqOxVCWacJtCf+OhdIjYdyay63Yh4s4kbnkez7upqOE3TbuZ4C
BVhr+zWC73+Mkh76zbVbwe/MfYRBMPYpeNawa19mEKNt0YCegG2wB2XcmVCDCQYPFCDtXAYXj83t
wTUkvIzrfY1umvXUVq4/SEMFNu0KbEzMrfi2cQ0yE88hKCzMR08YKR5iI+Z3363BjSFe7aswECgX
moN1txTSRkmH+dINEN7HEJTlS49Px2Qq8dxZ8ha1mB/N2AYn9KrUJyXG6dVutYV7A5GBFWxDp34M
Vc49Y3dSuvrpb9Qs2MZDLg7T5jcZHUiy00jU29EIOJXQ0PtK/xWXE5h5c7c8mFJA0DUyZOoYMpiP
qipF3voNnBMU9mSXVj2eNM6D8QeOhr7AwrLtYBam+ey6QKd/E5DWWOWt0V5iptnLuobUY8KS+zcz
1VFc07Y+WAjuvsgS6mISIR/DD+W6F1hI9jN8Q/9wPv/TG/wn0+v/Nhz/1ZT8f3Uc/8mlfNW/+mcz
/vplHn7q/x+8yTHMuv/jf9l//82b/Cg+fo4/q3vj9z+szn/4me9/5x/WZBIHf0dFFNrcgQDBephE
cCD/w5tMYv53wK1B6KEAAclDyb3I5Z/mZJ/93QsokscSZDwijInjb+EKvpuTfe/vHFAX2nwYAmE9
ZD/+v5iT/+yMR5sIgwXai1DEcs89RqTOn1MR0LyBA7gFqTn2GxbLgbFnHm5mR8u++S+pr/cv9X8S
LP74VigiApoQIeURyRJ/CUhQEdVMQpS0W7k6Dp15krrZ13HwEkI9Yzg5/Mvv4Z9P5L/arv/92+Et
94N7qKQHJflfK2YaDRPZKti4i2b6EpawavpIpxK+hP/EtQ+bhIDuP3/Hf38v8R3xG76ni95Dnf5i
/19GQFpuxnesQ0jp1mko7DIUZQuG8z9/o+CeVfHnt5KDIuDYR/Ak4N9/iTRhEL/IPnbjDkXI04GO
sNYJ38CTuujKnZRfN2fGJ/PCnNS7vl+OcGA/4yv9WEL91oEY6lWEEhwoe7FORuPVC0tdREF5BBjf
3CCvHv5LLtQfKYx/esWIukJ6F78XkKJp8P4p+NeQFHmP3IY3tL17ZR8iNC+5bvrCq8RdIEyEKcxb
8oVBBdstQLy2dfpvUdF/CTe7P+d4AYgRw4cNuVsIf//zC7CQbgaqjRtghKNssh6tMOf7nYs+RZC8
ICxAfFZ39CyDaijbkPIdlMkJ+P9PD4Y8sP0wSnnbR6Dgz/rPv837j/6XtwYBNDCLMJ+Dffhr0oqI
a1kz3nW7EqnSc7GVEVxTFWXT8e4/zCKlt6KjGiafNWBrCCdCSP9LUifyVf/yInAQ0XuGAg4Vilzc
P2LH/yXERm5chUIkYgdYpfoNAST7sTnHajDx3DuSYGtVCoi5AfTVdt9JOb6UK2SCJekhauuDdSkg
SMD7FsQMw3mtT9CJezsEn4Y7CuvWXIL0nhdY8GJ8QvJEqxe1KZgHsDrachcsNH4JJ8j0C9gOQlFY
RAuu+5ZIHhTSSQHDa0IA+wUKSi64IRfvPdKGL7eKtv47XGrysS8V+tp9R5Lv4yDMtwn/IEyk9N7d
BjHUIxBqRONi8txUat2AYm+gmhgXkxIx+Rri62UeO4fvD/oN+er9maF98RE0KrSutZqWX2K7C9hX
OFOGjE9j83Mipvw6Yoc54hhqoK6zdtv3BibGph/I3oOQw36boLCXe1d6DnaOaEn2NsQoz6MRhk6u
o/4xnjpVLA3Rvzp8sxcKyhkiXeDFl3rwoRZoPPM7cFb+T+LObDlu5cqiv9I/gA4gMb/WyOIIUhJJ
6QVBSiSmxJSY8fW9Sna3KbRItuulIxx2XF0ZhSkTmefsvXZNhqoXXsumLR+mqFGXVSZ0i7obe8UV
jmPGc9LPfbmXXSkvTeW2r7EYpjNHK/2Hwg+xnbmjlj8WrhNeF7M/XFFkt9e9IcVB0g1iD1RZ/YZF
YkqQbua12EaBSp6ztAAb0VvldFbI0BC7Jul7bWXnnT2upY+kcFU7/rCPxdhj3x08S2y9CJM1QgDn
km1/JvF/C+opSazhHLKr6RBXRUXPNWIzRXfO1YnMoik0r0MTKdKOezmUqFr09Ojn1dXBj5KKi7RR
ijloett6OtTKNrIDKz+1wU0f2+sS994utvHy9nVVo5qrs9y7obY2RWdiEjrOHjMzL2YQkjMxAw7i
Qstsv1mRneoouJrxSVh12mH2qfA6QM3wnW3PRiG6mtF0p7RoUgsbJlb5MLMAHbAQ075i+RxZkdeI
wIq6MMxtl/Va8mzPLEDXoyOdeZe7lSh3oXLt21GjaX7wom64LptEvqIrsF68NmQZ3tRGsc5CVpCz
nhVXte21V9y49FX1Pba2yYNcM2CtltE3nxCrLM7dX7NffKkQVH9zizy7QA7SnSWmR5FfV5irck9Z
N2GFVrOQ7LIT+N27AYMH+uzQuZ3YOB6MeRJbO/NRWFmxeTZX+rimAp5exIgvVrKz7L1n9moTU6xc
pSKVW5o7oMzrqHwK0+KB7ijOJHOSZxJvxDpH+YBPxX3WIy9i95OMtIlInZ8NrKqNarXbCEUZqAIP
e8QIzJPBat2W/XjumZXLBro2zrQ47jYyUeqQls7RA8zWsTSN65KE2q0mupuJfEpDlNV57uP1SvMR
toHCGBK389lseF8QQaAvbXDa9lpO2UZqN9BA0BgYUYxLoMX21Lk5rQ6vupK4TXDuNvjlhN89Cqc3
2DSJQAzpawpG8YADW+IP0+yvGP+qQ0qP8AIB0DNOq+FKL8z5dUyN5FvOvPmoXJqcisL9pm8LtgnS
oS4HB2WF1ChfG4lXrBvuCeaQVp2beersh7RTuHx7jYFrMcSKvptvRyw0CDcB9yabgQxby9bNnRMl
N2Kk2tQQY+evbCdGwKFnOas20eI4r4y7IUlsrCPe4H8Vbm1tiqE4L0D6x2gHI8lblatrqTREXHm6
dq3ku5UJi6VRWVwc7brFWk9n+6HOjOw6pFR9kRDcvTVoLJz3McjmMkG4hznAPZjTcFlhH9gVyIOv
KRjdYswZ05Uzs4LcolRXjOhquO7lRH9U88zzEcjEXhdIwdt0rB46BUF+JaI53Tsgyzfs5A45ttQ1
ak+cI1XzK7Uq9JgCn6GRKZq0Vqlre4oA3Wsbca+RrqRE+86TkmfuwLJiVY3UlUrrfmQrutW9cb60
Rse/hRYwnVNagHLgW+m5m7rmfcxksY9gQe01VYlLo8UfgX/yZwbY6WYwvHxflvN8bTXzHfzf6MzT
MCd2JVUjQS/YXM9EV13WSAsAOJjWj5zi/KM02+IcI4P/7Kh2/CGlN2995PJI0bTSvGzbAqFbDGkD
HZ+c9lVu2kFdsipMUwiD5YQXHjfTcONJ2eLNNtNtX9cGtugIGwIdfgpdOlVzAQ3hjPQ/mzZYU26N
dDZX+HO/qzgy91nTIbi11NRc80m2fo6JX67sTNUAD2Wz9RKkss4Ycvw4nvdJkmPXNuvnvpgRZs5P
Ge017IqppELRjuXKC58bpqetlxd3KBHnvS7NwOzEGrOOeqLhQu+5FjqO07I5VISeGD2IEqzsN1U8
fCmaUVzUlfhJSU5tejHX27hIiSmgXL2LDDbb2qStUShiKkplts61+nlC3nCjwhHwvy43NJHPrcT9
mRgwUYqsG7YObcsVUkSoFkX+A5ILVlY0aJTSW+1FuOldRBkm8tGOVF4st5XBt00bmuTFqSvj0Kok
3iV+7N92StJ9SbyRAmnne3RjWvqzwHYVhWkmKmk53S6dQK+EvvE8ibp7Qn3TyDUlx/F6Bkyyi0fe
9RW9YOuR1YZzPTO64nUvGDJUsVL57bjLlshG+6/VAKNFeY35tZceZnzPJ5W2dXC4xpmlNpKW241C
5Y26LJZfMH/2P3ylJTdo3zEe92WZJKRHwGAZptj/PmczmnEjtMhLbDWh3zMSkoOMTUWTTSvql4zi
ZQvJ3W4fERDGtwYa731ShXTOyrxgUkT8Z2BCMXFsrJPeRCZHLx4U3oSFj7VEYrKmSyodv6+IUQpt
2KHShRVZVNMTmJS4wStSBto8Ur4oclXeh4426pvKRs0CMcGnOYl0Ofla0gTrV0YzpOWavk56b+YF
XtyY1LTXpuvGajVoI4AVM/OSkkJIU31FAc9a76hvKuuig+simYUqzSDDBnVjUtO1Pgf0RJmvzNOx
2Tu5sq+OWa6/HOlRdo38GCiA05qXuYo9WvBWe+ejimIU8n1+SJkD1o3VFl/GrtxSyhkvqtiiPw75
oGDK0kNCtEZrnyNnvmgwLp4NVVRdJVNrPWfxcYW5oubs/5iqwXuVeT3uecvn28GNwjPsU6lB9Qt/
Hl1eKlqMe2PXh/3krxTN/I44lTmx1x1WGCS5BKtiBXD6u8T3pnjTJXrOJ9Ch4+i2JodtUsxcOFCq
NWW9aDuzyqnWnWCSKds0wy7rpQj2qmJ8NIacREu64DF2FewJ5gqXG4va2Czi/Bum0/Ensr/+peq8
6YuR9Q1uPFmpA1pW397YI7qpjVC6/pw0I3M4y6TyC75yGQdoq5kMSr+bEEmMIV/hqfR5liH8e3T3
WbSf6lK7butxwp+Sj1QxBYUqYcTNoxYL/7Hh2Og4dCffOC0SCYM9wnlSxgiZklnbo/5vL92hbh4a
T7FYQkCCD0XX+/G+miZvZlHVhT2txnnE+qL7yBMss0RxbeezCdUnHHvnnvYCCzE121cw3HR5lL45
W89vJuq1lpXu8ik18ITBHwtXbmyr6oUZXrXzCkMcBn+zsiDR6Ohu5D3phOlh6mNWBP7oayQhjkep
YZpHQY6sC+W3M2Z3tVAoqKwpRR1Xm/0617HLTTXiNC3q+82ctrBRxkTE+56K83WvAJ4hA0KkFRUN
V8lWvP4yG0PzPW1pXm6MIXFfhZ9h8p26s1qf2IWMOvXGnA+O66fzQ5tUyZkYZN6tHdrle9g+iLEj
vzw4QxNuq3EUZzF5Q6h15/gqU2R2kkWFe7tQqBTLcF778AF+iRDP8QoUVMGQ6fSvc+x2t7+3sf9W
CfBrmfOfZVXvj/rf/61KuH8pj+y/Znmo49m8LUD+8+z+f+GFFLI+KBAeaYP/cVGqlz9LhCb/r3+U
CKEf/ieoedcXjk7Himrcf1cI2TYeQYTkV7oEpaKy5t/8s0AIvVCnnAJeTNCe8Q2Lw/2zQGhSVnQd
g6214IhUXMS/UyD8E2uqCYIJsEzYYoHMHPoEGRQehzvfRbVWR5FBrW7W/62kiH8dfVHAYguq601Y
a7csC77n1KxXEyiDN/f5LwXA9858UelpjA4AI5qfO/oIN/gcvU1ju/aJB+e2v61jmUiCamoT4S0f
hB8V2GTkhUCqTjvzBaLW7BuUVSFnzi6a6pwHDgwXySflpj+rlP9zy48kzLdn7tuzxVJJRncImsJt
N2jlkyx0jHDoog8nnf8yMmPgF7R55ieMqRsvyiHbUV8OP+HGvvNYl1E2XuUDikm98HaWkJVCi+V+
+1kc5Xv3hnH29t40CPDnifLXrduX9FYVHWjbSOK1F+ufvDd/kkD/dfcXteG2pDZUOPhwIreawURX
1RmrHmM92klLc+uIOzC6Z013s/1pz2IxfiVlvrFFPHabdt31jDMZUZU1ffIuvfcsFsOXVkJRFERT
3eqRA/6yZ6Wg7IePT/z3C/mvuui/btVi/GagRTu36fpbiiJbUaMqYuXvhQfR3nvzt1IBAqTxnt1k
dboFSIft+kx2P8Pw4LY7/rv0f+I2/ORCxfEN+NvJLMZ7XRqNNaNQvqXqhxF72M3RhQYJMb1yEKbY
5vNIxWXU5lUvDr336CKbKxiysq7PQ/0y9yEU/eN/6t4+/p0cL0Dcuwisp61Wvh7xmJ/ctvfOdDF5
6J4K8zHu+1ucBAfTfJ7QuDrcEXO8gCJmDCAzwbVpysNXt9O6ag05dcUKca0XPtL7ev3xefyuGP/l
ji1Tn2A8pJoSE0r+/EhG8eEV1Csvb8mE4Q7BfBLoD5Bq3uIIRdNKueqynNauAVwVA2tohauxxaHq
HLKMiri5Yqfx8Zm574zy35TeNzVu7FwZeIAqua2J3lgJ5R4GyINsfLApptWqlfp6UCWr56r6YmiS
VXvTQ8qw03twt5eNXr8mlX+ZVPmjbyZ3YtKuOgo/YxN90xowygA4J2M8H2gfq3i68Aztyu1who0x
lfzQ/IbA+pkUmc2AcAhe3fgDs9o2lvXGj+OLTsPWEIZnykvxUc7XTjt+YV1wjv9yj/z1QosjLHn6
+fGOJRB90RhdN9RbZ8u4TbXmR1LUV0VlIJZlI+Zj7IwTeZs4Pg4HDWCOhBYp5f2gDTs5Zltlp8he
cc8IOZ7bSXUOuHDf9PUFoNtr0yjujsasqM8K3JlhgDr0tFlQP/bs3jwBtisRtLGsDkTPBy4ewdse
WWv7jqyrK70pLOTjZrMKYTh9/MzfmaiOS6u3P8gOjU//hHiHqtpOJApZUr497dCLGT0dQKz5NOMD
a+CFmFsHBlv1/bRjLyZvq8wzz6nMOqjBBa1iCvZsdO8+PvZ7o2Axd/daA+fKPaYT6l6DUxtH1G0K
HeUGxZb/WbDOe/dd/HnfcdNOLuWrJpgGSi6WPE/17JOe1XuHXszIrmoMH7RjDVyA2hx9qbsOg+vm
tJuzmEQ1e/S01IwagG3esNbsjAJJk+n7rNXFSe+N5S/WYaPt+VVN+yGA/BfMmoY50CnUSe+75R+X
H28GWOcDwurxBwSDy/fGtyN1Nqjs34tS+O8vs7UMLcR/kjaeJZtAjvK7i+DMcaKXj2/8358qHdo/
Tzz34ynR404FBtAOVGdzYOk4X047+GKokqso235g2qF/Za19znxd5O5JYxXW/J9nnppaUR7lX0E2
+j9nSX26TPRP1kLv3ZXFWJVCTalVJm2QN96+UCAdGgNGxGl35X+N0YkemcfBhR/ukG7N4G4Itjnt
4ItRGtqjAjTnMcvUOGygZNmbNATx/vHRj2Plf68xLH8xTPMeZfWAzzlAD9itAJ/vepl9qbP0AoH6
Kw3kc9qwPdElRXTz8S++8yS8xahtHGeiM3e8WVX2yvu0Ngus3KcdezFo/dKNssFqVSBUxWzvAxUt
LesTOcw76zES4f98P+HuebRPIcD0rVs8FbmtfZ/duVnJHk3MXI/IvnnNQGLX4hodEjKDGhbamoDr
O5YM9U3R2+FudvEkjLNjXkvdo0tWwZrWHMNe4eAbLlG9/MqcBopabzinvUC/BQtvZjK8cu44anob
oIN/iUbIK13ffnLsv2/GrKVQJ+zyUPn4EQPhZtpZbisXZKR7r0MpdQapLjsIOVtZ6c3htAd8fKne
XMvcUqYt0PkF4NlWhtKx1rSwfk87+GKOQF8WHmHrfGonJ1xr9P1Xjcfc/PHR/75asI7Ctrenbpgw
lYAEtgFwtgT3rZ1fWEObb5rOME76oFveYqroUruxPCdTQayV7BhGx4L0jNXy4wt4b+AupoqwNisE
sh5io3YiNMlufjkT/LSPD24cz/EvE9FRpvf29hABMeUJAIHgmKt+0NsSoNSQ/CSui5V4jXAnHXtQ
Rl6cXU1InXEdmPVWxgirPz6Bd67OXUwdpSuZZR1F6y1v7shovugK//W0Qy/mjVJL6eXmbRuUrvWz
0q1f+Bt+fXxo5/j2/O22Lb722I7NLjyGGqTl2B2MenLQ5BY++1WNPmUEzW5TgSjZZKn74MSxtRlq
EnAzJqtzjYQUYOoQWvwZ2BMStu6LmxfaFVSKcDfAFGF3Q3cRWAItq7zlcxxmaj8LR26LSvf3GGq+
1n2Yb4x5qDekKIhtr6F9jL2YfhQEFyQxbX7WIqfdwIcwdx4o/zV0rxqTvV0dYloXK1p4ybXmo43G
8NBscjF7j5lPdJGK4SKYQMi+4PJqH8NsoAVd2xXNfBCtk6f/7KYmXeuDm26mrKlW82DkCJkdYCmO
/+j2OU4z0EJke/QkrIz985iAIavz5MSvjbsYEM2gyWkayzqgAZFtoIHi4mrzT2a643v/lwe7lPnh
iPGsPuurANp6vsbE4R6Nji+w66g50EQDA1iFMSIbdh5zGUf7j1+od2ap3zv+NxNsr4gujXSnCpjK
4wP8FIBHfl4fRtF/8gvvDbTjn7/5BUGQTUZYMAlSKrzUcsNblUIZn0yyx9f+L3fNXUzhmRjKsMca
FVCK7zBYK8ywvqtROdDQlk1a9snTee8iFpP5OGd5pbtGExAdcNOp8IdelF9PewKLSXxMUFtN9VAH
IFbM754y87tCn+F6O5m++fgn3jl7ZzHXTXOdFW4yVQH5JZegi36lmffw8aHfeX+cxVynqkmkQ8Qa
SclEXLRdhWEFV+uVzeb4k2f83k8sprzOFJlL4IkTiESHhw+9Hi+Nquiq4+r/+Creu0HHn37zjnZa
505qEk6ArgbKgjV9S/3hExH3e8c+/vmbY8+uUyd9xbE1SfZSl6qrqjmtso9P+c9jZxOSU8InnYCO
s7L38Ymb4d9fnzfnjBJMm2yAqIHs20PuD0+R6Z+2ZlnGFYpxdGrV6E7gJj6+0jDKVukAu/e0B7mY
ohVSV4Lq4DDVsQF4CUbbGjXH+UkHtxdLFnNAlG7L3AlsrUw3SrbX4aSVn5z5ccD8ZSazF2NUjXUr
OgQfQa331fUQ0kiJfCgmnW/AuvYtuGQujJuPr+SdIbUUTkOKUW6DiCXwxhpTcQpDyvOUdo09u9h9
/BPvvPb2YtRq5MIKLA12MFTJenDqe034L6cdejFaowRbZKUmHnKNmi3SG6I8bFyXpx19MV49B85M
2nec+ISMwvCKLz2W49OOvRyvMSgw/NgqKFIMZga8hbiyHj8+9sLi8D81JnvxjXKwTcWpDXBkTC+L
1t3rXgbncCeKr2EM6Ly6GhOEZMZ+zF+E+SzNB92aL0wHIBRcCv6pPk/mDLruJ/Pe797l397oxYfN
ikcEemnuBh6YQ2cc1x4AZANH4OSDVAgvaVRY3Y1bp4esvy4KhcOd+bG29pCm0/rYxKid4pPR9d7b
uJgXhjQtZ8eRZcDiYIfr3ATihGT54zv/zsGtxbxQWEhN2EqWQejZV2RBnA9C+2wmfqeNZlmLeSEm
PQNCnJcHHijRnxBEuyPE9YnifLKr5iMgrYaNDszwOQ77r5ZR3YPN9+7GCcllZSO7x/NIlEMG67R3
6FuVPfpYsxLDTW9Y0W3Z8Pea1nPPyrL6njR6D7xe/KDZcGXWuAJOu0OLVcJI89/uQlUE8IBehQDR
hsTvn/Ge6Fb+nhb5zhrQWsw0c146NX6mPKhHeQWfHkUEGzvo1vmTiIbTRu7SEzXQQYL4NkicN+NT
BxfKGe5PuzeL+QZ3OykJWp8HKDi3uZ9iPKw+u+/inYneWkw4SHbnGrioDDp6lgfklwbC9zK9EhpE
6QowOzjrpoI34NVq00baeA34Qd7NHTikZqgQvoOL2BCB4TzHSdlfemah76KE0mHLThAthPHVFqPY
he3wMioTwfAAKWWTI3/e5clpHXlCu/9c5kSSwKWu6Ln5LcBTNGLsKDan3f3FJAUuoTAlGIaAUbQn
AObebuUnE/J708JiznE9m52rbLMg84oXv/IfDeeTqfWdI5uLCUcfRsPVuzINImVHW6txFDCkZn/S
HTlaK9+uV21XeZY7D0mAVjnfGlFtbMiQ+WywHlVWf1vnmIupwCw0u5ohQyAO3PXwgVnVUBy7LboD
LffcRkOSAiotn8zjpz3BZg+A3/LZ2R+ObZPMmMkGsDfQ8Kgf3HsWCfYAT1GwQmiK16XxhXG6nuOv
R66lVz0gbGCNvMpM8SXEUdhQneSXWu9x4E9JrvrHzxqRuz7t5i3mokHXBAQJKQnj1p+JP1k3OorI
0469WPbQjTZSMyuzQPUlvfJxh7XgxGe+mIMSP4scLSuyIKyjy1I0N1V32rxpLiYgiE0piXX5cd6k
5OOR3BaN8ttpN2QxLUgmmBhoWB7YziG0gvrE7/lRb/h2BJS5LIwB0Wpg9sSc+cjKDtj13d1pZ72Y
FrKQpFk2nBy9rIkP7B6pyz2cdGixmBeKss6zXBFmqM8ZlOAuI2sGUshpU6VYTAzI1z1n7EUG8A88
Q1Nm15hA/RMPvpgWqlI4RC91aTDJ6MFwYjAzR/zwafdlMSrDefDMAbpfMFVFtovAKZhuedrj/P3l
fbNVziwd/Rur2sBI/WbbDySx5D6BA6ed+WJgzlSdIgxNOVxh6yFPi2dytD5rBeKv/vtcLBaDM4yq
LOucIgl0gU3IxZ7UHWznnrnWrr2DLtUqyQ8NGdPM0aA/tnH7QB7DFlPgeopmkmnYYueY0wiLMDtz
rwi4GZpfZvaVI0gKw6a0LwVHcWCumU53Ru13RZTwwTQuwdJsMpOXtHzAqoEHKsHRgDejJXJgxg7z
tSrss7I79PruOFU37rCq9HTPn8y8FtqgH/h+1GZMXNWPsSzdtWqv+Jcis1gggBL1pmcv/KV734zQ
WFnWDZvdSz4G5uz9UiMm0njD7K/xsDzoiXUaHz8LZXdMKbX2/HrttrDC69XIhSTVXZofMq5Hi1/C
qeL5/mw6YOj8Doc0qAWDMlr16RV/zcORyXnYpFh5OSXc/B+3sQEHqsx9a7F+IfoDqlHek3u2S8OX
rq923BC+Zr1enYfSOtoayJQJgU/V562+88OIf9wdv3ETQJC8lzelAZZ/rB9CH6Vl9SDsQzZElx3b
GiM/goacB84hor4SyfxMGI+qAbVX2N/BpV2EBZDVuiC3Mt7OEZaL9ko4ly4NpDiCaUYFtcOzExF3
Mc4C1Vt3dryFBpnBbMo6fdcpBz7crm2/k32x0ofpAn7TRsbIB6tNVkEpIYy7e/QyhyhNnzAwfVOf
WFT43al9M9jigXbv0R8WNGlE2nVo/wBz9smn+zjT/GW7KhazfkS2DixIthFuO3wldG2gA0WUpEnk
1ipRcQs7F+zlacN68Q3wSuWoHk1IkMXRJRxqzLTOJ9yA48zwl8tYipXrrAbI1TVZ4HSxdfAIB15Z
ozucduJLnXLVjb5DmgL7aK18zAdouW3+SQ32N4Lhb2e++ATgAddsezCToODdj8d4bajhnAEWdzZo
yt1xxdNktyQstH18Fs/GtdHef/w43nn0vwkIb14rObaFHNMwDTxTvtLz0oLQx1eVO172auKUufbw
LH/yLXr3MhfLODWFllPNThJ4ll9fDIAFbosmBEoO2WbVddp4VXhpso4gqhEPRAIMY9LwDxWJsWBe
je6QuJHxyeflvQtffF5cx5RSybwIdKiGV/gh5HXbePIxgQTBrDlFW0x5zYnvjvnnsgrUITz1KS0C
exyewE+C04iePn6A73zIjOVKsDXnXCFiCYwoI9rWd6OVnwG9OhKPDnqm/DPNl9OGBJfytC3Y77b2
m1cGytsU4mCXgSjwnCFwodsoT2w0/kaCvDm459oCEv0kg2wovxfg9XJd/Pj4Tr0zPSw1xmasGs2z
OhkcU1ENp/9BvfOTl+m9Qx8fzpuznjota1NLpEHr6vdhkwIptz8rg7137MXcUKa44PXSkPD/9Qfi
OXeybj9ZwP1e7fxl3lkqXY3QKzuJOTlQrsjPx0kHtGjnBATAl93GqUiilVZ4dJdLrRbHWLBbeJIw
9nw7TzdxlxgYn2NB8KmWb7Sp7rdkZJIkF/n1hqKCcabI31tZfeTsMi5ig++6yIi1q8NPLuC9LbW+
nFGaqR+Myo+DjrTGzM520MNWkECJAvVWY3HLemZCUMH/6Jjls55+AkutwXmwYaamdnBcUc0Yifiq
N3MgMtLuztPxGOUKQxVgpfGldfJt5uYEdZNTam2PS4feC3G3kuNi/sizu67pNyaEyrmxztr+l949
9t0n34X3Hv3xz9+8Vg4UFehHXB0L32TaA/b4eCQI97cE7W9PfjEjKb9UA9XRNJBGFX+ZkqrbUTyd
v1nO4J31MGmxRPpqmxk52Qpkpu0LTWioyQnR3hueDpOMmChWOKpY+4SgiTUyi/w+EzH1Cq2xSDRu
jHyTNIO6HlRC0RtO6qp3UxCAXTwzTw39NV7eDDq1Z+DNsIkV70UJ7NJpjV2LBfpiaItmraJcnMOm
YCUCwLjfxWgOeUKW9s0r/Ttd6hhSjZsYqzbYdUJ9YN7aq3aeJFzkSmHgrI5pSoVbrrBREtCUJOal
FvsmK/kJyGMHAc8arHk3iYL8L6klrxo+9ScPbO9LX/bVS1ylzc0M3pKIGD/b+iT87ZBwE8xEmuhD
qJJoywhxV/XoFhSXSY9M0lG/DBHx75xqlAcz1bxNaZK2YNjPaWxO2xCK5xritwJLF4/n6Ozcel2I
lPBrP9pndf2UeKqH+9xbV56Vv1imiO7jOf7uk1f9QBy1fWGJJtwPltXsbL3K13pO4PGqMIf+ptBl
ux/asTubnM7ZSAQqwDQS99yC9LZBW8FKdQC6k5cJVlhVXacaaFxNhvU9eyKXzFOvcp7Aalg3aatu
+VyvWy22zqbaApMg22Jl6C2wmqkz+At0pYmLGo6W/mwrXTe6CbMmuUmIj2UT3mqrLkl/DCNBC1PG
NDLlJOj0+SQ2SjP6dQZ2+Qu4HsZpZb0iHLL2noiKGw6L0kNp3zqJoDqLRlSCfdRxq3routOcgI/p
Ukd7hhkuNmbREZ/cJO2ZadTaKoK4s0tyV2yaKIZ9kBXGIbUMng5oRVIroLMc9EK6e8fMx+86STMb
v7ZIKS5Gfd/6aLDkZMKuIYV6q5MhGGheVzwf0y5BECAI2pVdlZ6HThqt0HezKnOn6assJKFrOiQS
tn6ES9ZQB7xmpZhbkY9B6e5aHwUSUHg4sAasyxWxIINcEw81g7vRs1vVWtFL64RgfUJpPluRpXL2
hWH5nJGps/M1ohqNTtf3ZSiw3vtafQ1HhmiRWTcfcrsxIU9qYfuUStM9FNjQt80kp3Ua60SGiq5v
XnXL5g0t9ezcw2/3RKZev7YmdpddD6x1MrRsD+NX7HonSoGXAl+mggvt0K58iVN4bM9mcMsHRRrl
U2gT3VUNLnDSUlYjI6K1zo+Ith72zIoAvAklm7FqxaMNztoXUE4UgVD5SEJFnbgzVhnfh5weAxzx
Z/N7oyfmlTF3GO+NyU/OOwYmS08JuF2b2tu4qfxtxNdkrw8eiLS0dfN7oy/MS1uzyCMjKIaOGYGg
ZPxI88XOvNxZp6be7RCYNBeqo1xD4TQxruPYz8IzeGHQVkHXZBezaQOJxctjHAjQK268Ws/8LVAw
tKO2nd8PhZ3ucxw139rmmNtkm3UJOTL2RnJH8yxelXWCg2YuMVDNsWBvRnzh/AXevLMeYXf/auwZ
x4onq8nZtPaoT0cMMiYEz8sNxK+exudHWCXseaeKOnTgY/sz1QChcyC7u+/8jKJWpobXSmlMHiCi
yUHuhdndenMDbkiIfN5KX0JotuqBxCRAI6sxhNgyxDPWwbCrrmuR9/u5Lc2tXXW4qywX5MwcieI8
TcRMz4KrKWKgKKoxSRYeyEJUpJhf5nPTXtSNoW3zUlHELD2ioWcS7giMH6OtXwzdrU6BcDOmjr5t
WlRtWT/466Qw8bRHZFXDnC1f8K3PTw3auJU9zSFRccm6q+t1WAK6nAvIMKQ/k7mNqKzghR9Jn9fc
s7TpxMbVSMqZHCACYQLGDDM6kfWQ1vX42etrnEyDbgdmZDjziqnC2uAtwEtXtWIHCo1YtKgnL1CY
atvZHbx/h8RxacTzmshu1q8N+SlV3MqVB+VDbay0aZ1roynFEeXa/miHtnsYSK2/jJDintUuCIot
gVTZF6Dk4W3cJj1VE0gIK5u46k0n/Bg6c4gra2UV+kg0PD2biqxtdGUSyn/iGE/mZLfPE3EDa6Iq
6+sWeDNL9Sg/t0aSfM14pIJgFMTvloyjxq4r+LxAZkCEA0HKnJLlzURfvgiJhYxVD1dc9NZW9/Pi
G7mZxRkUweS6IjzlNY0dbHrjeOM1IeuWpDFvuCoTOus4vIThNN32kNbWbeX3z3lqebt56rUHC2Av
tKPK/N7lpJX2gqARcnOY23xCWKJU/2Ek6U89d2/iNLfWaWOYt7K0ZvgGPSG8RjcQehx+GYCzrXOL
xCCvKUh/9e1043hexZs3dpuus59ma7JWApY10J5RkkpMD8MDSrDBwJlfIZNrb5p8aFYgHsDE9SYB
J+bMmssg/FGaAsQ01olVFcekHZus7eoMJFIukWiSSwg1w3Xh+WuQRXL+PDKfqiKFQQtUCWv6euCT
cct65qdeOERe2Me0rNzXrnDOq0OOOnYjK9tj0TqidYH2V8vDFKtkn6vjFUVttFOxYey9qK++A+Is
9p7VutdKC/udD0PybnCksaVxl20zKzRR9eqZuU+IYeD34S6yFtGrr0Xlm+aubAzJOqvTSO0xXRFv
6q7XD+GsFwg5gTV2nTOsCe52dpPpfVd997PsNEAakwi3koChvcPaHTRJom0kcVi8/GN+DhKYEcEY
DbdCjO3OzTryNcPSarelsP1dX0QvvU9EALmk0oINX/TJOsmJmsI5maivzuSRc8hOYBMbfrjWKyIb
G7+c9kxG1PCsRt8rsk/W6dGbmRjafG4aPYmE1YBrFLKPf+hlbV6iXbuzEpLcrcT+L+rOZEd2JNuu
vyJozgfS2AN6GjjpXbiHR99OiLhxb9CMfWtsvl7L80l4lSUJNdFEQA0qK7NuRriTZufss89e7WZ1
jGRjs8CM06H9c61sLyzqElmRCPIxwO+mJNc7dBK1SEG9yC6DoUOgjXIbd2/Y4IuaSsKEqnmnyzEj
YZib5KasBUBAeJ6nwgjf5Zp5x0o5xrlsppfU1NA/cfsedWvZH14IezVz8h8CL/xDPtSvfkP8pUMh
h3Sa4w8hFcR4IWLf+EIBNaOucatdRTkHK5o8d7cLYWktBMYF40fPD0g0jFVdlOFah6BukxdvBKq0
cn3G1/3OsCI+pa+neDBm/dKupvwO4JeRXzivR9Gm7Q4uTU9Qmku2oB8Qb+P0odrbRR/uKzLBIpbs
DbCIsy3O1aTrXVv5BIXbmk3hsCOxx7aeiLynUAzZjW16gvNgqaenJvNy9MfKvsmoTaoNxKuAqPJu
/hOWYHrJGF3k9SMjNGBjOCQgWxwQm8YpJp+KJqSHMoIlGie3uJAP2J+9ltjLTWrp8X4N5uC57rpx
JMlI2d/gc62dp7v0BHDijppRPGdav4KNTqIJ2z8gh9SMF0OUj1leU2ngFwH4aJNflHTjH9MhnzkN
1Y8XNubWbpR4WT3YIhtW2+vDlArrIME+4ezP/NuihvNEcCDKO7HzyzlpaSkiYmfa653dbupRLxvO
yoQPBpKYObWmARbOrz7yalh15AF+jE1H5ZyFcKpkFga7UfWXpU39EzRF9QkOJNuz5Oxt1rIsYl/J
5TAH5Q8aPv3N2MtTzrl7Gtkw2c0DdMMkqf4Urj9E2DDmmA9MXhYb4GtiUfE1Qne4Tq1l12XuGrXE
6bIAQWKUYwH7sWybY9GRDlPbaSxQv9ZvmZCeGdUE9USLQTzcFhIEx6gMRbcLO9MZIulApmbgTcq7
JJPVTIIzECiqQ4oYVnPz77rVkMyWGmRvDpVzw4gGJ5d2VjbLK5PqogsFXJG0JFCvbLbpdbe39pd5
a6j8j0M09INtd8t2RKDdzWCZh83YG+UzsIGSFYgSZZ2f+/fYlPqoktS4Bvz5u7lrvD1JEeWxLfyQ
enckD8e8Us2HqfloPch+jXKDiBRNM+L69MjkV/OB3bo+NvQ07iEw92cS4dIDyM7qdpyt+tANGmZW
svQbjSc+yrwxvIzadl66emjO7tBBdMAKsAkHHqmUhYpNIDnezGuIVtpLua1J69tkQCQ5per0kkMs
5J5PAhJFQTV7dlO9kil4rRs8k7yzhuO0Vx72cypib+kkmOKiu1gyHehgmZ21Dtg8Z65lTJK3xJI4
5k/Zwk+Acu4fWaGRxMkFRgh8DHjFZtbVR9kTE7YN6jR4bQd/yIgQheMXuOZw25GEeldQfERF4zs/
K7rCSnwWrDH62KR/1gtA08Ccvd9pkluQl/wuyj3TwUnmk5CUynmnXO+9Hqcg0ib5E05o/Di2ae4I
hLEJUkzI+2crDCgFW9PPYcqtB0qxPKXO6J2W2iR6qg4hEBQAPfn11h0srOuQaPBuzIrAzqSpxK8a
0kNXsfLV0THQ3mTW3bT2IUGeTgU0RfVXttCXm7u6hgtXyG27hr+nRKptaclmUwhrPPQ9N/bQQI4x
x9680AkDTSFBJiJnzt2Ra8VsfOyXOw3XA+Q0AKspS5dHWqnwcREGnOlMztvRmFRcmXxB16DguCLW
iCnUCkc38dnAcIL6trr2JK4YQ3JBK+JnzcDb2qDfburAXzehtbhPRUBLzylEk7cYuooCnr7Hpq/l
NmHBAceP9nkTPPupIvLe3NByQl7qiBwboZpEAaa83WBBvtIELkYitNvXbJ7xbXCQE0esftJ0GSI9
NERJTYEVs6VU7GDDVPusGvW+1p61nTI2gytBcFaq5+aiRaeAP/bNj6wT9V7kKj1xUfovdTvkR8MV
13adlDXQZFTwaZKAluroHtexPgIHWC51WCREfK7OnpTg5ZLwp+5nU68HaoM2tgJskMkVXdCMkE5Z
NZoemNHy4dfSOPSk7P1eWtuLYa4wvG3C9V4tjH90VX6XhTIevEIb26arvZdgLZNDQ/l9alF/N8FK
MzGX0GOCeaXqsAO1czJ2pFiWdZ/LBurXWjjJg+4qwvxc9h9KyhOq/EKq27G27EdLDNA48Tcd03aF
P7O4+oWdZroKOo2jdnS39drpfXI81uqAmDBF9AMGlX5/GLigNga5DKeEkcJGLb5/8cjYpbCogtve
HKvzMAOjHbxwIYOxTPVhsbAcVKXT81xU1d7qkKy8VKt3UfIxVUSx36N+OGQbjJ+JApPCNVB+NPC+
dlVXPnbauRMks+3nRRZxMKjs0l9zMv16EveebO/roDQ9SHizc2MSOtnDgjHBXoPwkbuhDV692rfA
uaj3AFiMIKQW3vf6hw7svZDJR94X5Q9YPngLox8rn3S8cR4FoEoSLGEpz59mUrvHgDXwbQ7mJLIF
5M6Be+6ZaTRAeYQcInabfFvLWbMUpNV5cQ3WkAxe5ZQ0S6KQs69FyHyDZuHyToV/ElABSGUFGIyB
Pna0e3WD0PWQ48K7QjmqLWzjjnd1AGNfUBVtR0mURTEW7nMnOnFTV5xWTjUdlrkdH611NnaF+gXS
a+XMq5t97iz3tEf+gcZbR/41nmgs6rdMpndOqXmSOxK7Z+HNb0Nv+r/zHg2Md64JHnMmzyeRGeJR
Oor9SnssX+ElO8QgdubGt1vSv4G2bGXa4XLPLe8G4cS6KJcGuTbB5/QmYXLjerGlc0oc5vhBUtRx
Pgso6DVorUTmRKUS0/JSIjfcmpSmv7MRgjuk2eygBzL4Btnf5nX2wmcGZsFpfheD1SInheN2Kj0G
0vXwugzBEwXZPVkCtM2W+FJh8TyUVXbEzOsTUTlVRKu5BK+uCVfNPKFCLPaFXmXY8LLclpwvyZRd
w8vX4ggzsLY25Phnt6My+rPBTg96QzXfD0WwfPqzfS0yOisa4KhHydzFbe1Cbg7P4UjOcF4ZPszr
hBjEKylmHReApB6YSZB7iN3hKF+tUJJJHJyHQtjbYfDePdd9cRx3frV5XA/KqruzV0rvGalfwY6T
w94boHp1ZRLwdbpxMo77ug/K32M6Wlf68gT6yDbrG0lu8W6qBvPg1LYX0Qy0m3TxwIJNFfYTEviw
ZE8NVGd46yZJ1Vu7UtAfCUi5MeyexAH6efImVbpDwGpiU4bOoewackm60iUTHG6OD3trW1AHxZ5h
kMo9OEtktXP51srQuxkF895RgpvNquyyin7Z+PA1jthIbsymj+uul9yj1rQDy7ScYeMYDyAzsxc7
41Pnmw5Pgaja7RgOVAGGuPMDi07RdXm9gpI8sIoOkmrg2x0g4Kna6SMq/DvOLS9uuTxv29U5jUl9
9i1lwcVtMVdUuoPpDokksZcvveQyIod9gMds6qiey2JvOLmmAli/vasKhdvvye/GMGoGgCN+AI6O
uZIibqP7trqWjMSrLdFUF/L+FMvWCCZrZz3MRXkSdkI+QWq/EkJPbEsTblrhn9uJZSHRj+eu60BS
85hsAN2d+xpeZx5qAPDa+ra52tq5gWhIYqFjEtOdVOOnRk2xqUGtOXlw3JCmfS2Xg1l26g1Sr4Ej
opJ3DQ0FQJlanAiVIwDcDzziJ8MrllHe+Ku48XpmusLat7a7t1A9fat9ka0I7qE0A94Gs3bThgN0
GEGfNxt0fMLQXMuBGecemaowAY5KAiqT5KmC7L5CU104jRhMs29rhHbemC88EVyBhlKwxAd/Ywnz
MA2kZJFZQ6138IDXrGb61dvJTVvUlxbW6qY0ZoBhD/3qwWQh7lSqlvHEhNvDNdI4cL1uhxn3AO6s
jHwj3Kxtda373rEHAxGrwhig2Y25lI96TW6CwMgPvgwbVIgRPSRft60dngYuuGEIdgve4LRaNTSn
CnZ82d1ljX3ujApaTDm+MDy9J1vnZCXzQ9/z7VcOPHcrd52oLNbpoPV0n2KF2tSZGuPFVdV9nof1
bppX/RSkHoq4Wt/TSjQ7ZXx1Tfa12uj6DmkHkQc8ix8KvhITPbUL/A5oa7ne1IvWBymTbKMyHhVJ
mdbWm7BoXscxey6YeXWD/1I4Vdz2sDtno/rw8/ZP2hc4qbkskqqwrluZZ8VFb/jKuiVA+JERCxCE
9YF00PIoBIjRQTBMW1vQlUEpX2dj/Mm0fQBuCNUonGmAukfkgnyfeVMQB2slN+msz/R052Iyh7ha
rcOMDzbK80QS9xnmt3I2jYsv+fGtad06mXlqcTJz9BBO7FYyfFoH8xqPymcGYQ0hlNyOdXCKqG1d
iEfjkzsSPjqqhNiosIwJzt3Yk2wOKk9xx4qSGP28gvZRjMNbCwR668iEdINenvPWPICBfGerytxO
RJNuqfFGiDl9GOmCtNNymW+bBvOuNf/qnOFAIWkQK15Cos6+vY504nUgqdwLukMwV/uqUR9Zq870
5yd34e5PBtk8J5Z9av3friveapPQbzONu/mO0iDOFWKIF+bqlGUDrmCkefqayZwADFe9equ86pvs
XIheVr7rbPU+JYN/cuZA3wQDmp9IW/u2FPUjWq67wbL+nKOwb7ppvemHbsChyhq0YU1GJPzpQwlO
l9YebvOGcag73DtLfdPX6QfaZ71R4VdY1Qhg4OqwzbcbGExns6Wl7pRlHWUnhmiyb/OkA/2nWG7R
o7iDIATAq7O669mUHduRXY1wfStDExLo1OwXjC0VuVbRyCyNvPGm5TkTzs26prs0fSLUBHbzvTXR
187BJ8f9bWL/mfqi2WCrptob1+F29sHBOcX8J3XCcS+h42wWx/jJbeNgCa89sqNypOWpjji9iMxO
xuLXlNSFcaOtJXD3rMdkCNlr6ncxvrCCiXbh5hTy9rihTX9pjHDhXgnslCPTn0O8bH732YvpCple
rlNO+0EK/ZJcX1UPEhtDBJ/2zWocihVD4+xpQgRaDec0Z4HdaMfL0tGily0VBO1+/oy+/8cojOZg
sFXaQraMi7x5gCB/GYVbbHLFmqaEDbS1tfeBNO7ForF++iJ89LAPWhXhcATJDxGiZru1k7rct8kv
pWc6nrGOjbnrkR/zt4V0+cgpSpjQZ/zjZmRqvc173llA9OnGX9xHgxGXLpo/I/WfKcg48xOrpZKt
8MgtJpMf09kZWNZBSzcb7XqnYjSjOqW5WidZsKJTnjQfkV7GyDcVODoT0jr/KNu9+pAV5tP1OhPt
fBrNrrqbvfmRVZmttIe974xvfqj8TeUP4W+SPvcmrIA8oRFiJv6dlhYYxmn5k+X9xgSc+20GQI27
noW1hSg0o7gPuvTRbGm5G7vyGUrOp8xLdjqos+2SZAfgZCRal5W8dZXI9qEYXqe+86PFq26ZcRYc
Q4xJ4BgkG0KD96gzv2oiwNXI3bpeMfJpF6BFZx9IXWhjnsxJxmPQNo5t3BvAXmtdbT1PLpw95ZMx
58+ma/P59BfbxSCRNJ8Dz2fUt8NzALeUpPNxZdt0/Wyt8Bfc7k8R9r+YMa5bWFFNZFVzFXPBeBFg
+KdxFWcooJbT+cikbnZwcFWfxwlmxppeE8xJrX6ZKda3di9vSP5O4ipgqJEZdvsI+MONm6E+lGqg
dZJKM3pGF4fNYG8Mqy1+q7lzo6Yw3xptDDG8UQeyYllG7oo5rbW5oHxRNY+jpHFK4f3RSy7dG13g
I1HB6z5vbCye/pxzKi3OIUiMLlK+biLTsfKDN+pXtzb6i5moZLsGFlZUtxp2as7np8Jp81epM4Rh
R/ZPAaiTjZTpdMvkz9sac+A9+aP2H5p6/Gils1B/BBaBB7Je7+d6gD3KpflUGsp85iawH/20pkiD
XZ4wLCDxp4OvJ0ZKFE/67+aq271f9hWfNWd5Yk72Y9tUE+A7SlVohqkds+kznhuuwLOlKtyE/VI/
20vtbF03e6wD8DQGgbQbupIqXq0xfJi8NTiJtuIkIYkKRIP6YpW12pcUyUAsJ6IMLMZYOBDEnsnC
wujZTQ9rWz6TgD5wctv6oejcluoQwARB2pde1ojfaUHegtHfakqDk9f4Ct536h1qI8njHA4AW0jN
fFinerdaPL2LzIyt19npOyd2yjy2/5xWsjc3NZBr1sMMGINuLbaml7YnK2+cozELsYWLvkQEMZyK
UvQRQL3wUqShQAlMRpZOWJ17lpZTnYVYFfkkpFL6+fIAxhsXQG6ycGdbGSmNbsZFmZCZV2T2HcaE
+UG2xtV9Y/7YA98XRFvgWnYFJsMYGDx24xrPpfHWzswGpqHo6CYY0k9h8uR7DrKd5uBsIl4Pu+UV
zBZoRoXxQmoGwtLMjjMPUEZ12LvFYRRje7A0mgHqIunoKgjW0yz5EPXidsc0mXiSscmkIna44iHK
O+q5ynsAWK7RxMXkTveTf5UcnMknubyoKKQM9TqNJGOuSx8+iGl6Rl2AxMcY3eE8T8YDYPbwMq9B
ehZEdO+SucBPME3dXhNB/xCISQBGdcnJamyV3M7DnB29WdlfrXLWeAUJeVaEu3eb4Yr0AInKpeBK
uR8UrUjOjG3P1NfmO2tK56ScRCHDJgFkaK/8nfQO0UC6tCgQ8ZEIHOKrmfwCYJ8fvdAVx6Ht1+Mk
RudMnDSYbOll5ffEa3XHP9w4kWzN9dXTA+lNxVDfLl5vPvr1UHwC+7Bv5qmiO5VJ8+YEk/2LIZmH
ByYpdxmTvAh7F3cFiqkTq3WRtyifaQTgRVyqoIM5YpslCrKHmAo7oTiLap73TMHktlE+63N53x+7
sUDOW3SwZwptv3Wlad1rvpQj0fXDqaO6ec6p5B/DNut+p1osoDfAE8ZmaQ7XYRt+fAuLixqwzlhT
a8SrMcr7GdHsxzFkubdW5NZoTupJRzrJEb6LJKziOssL4mJaAyV/GBP6OY4Z7NXZLhuxJWyssfZv
Vp1nl7nx19/2Wg28Ix1pnroZvzqzpb+oq5AIdpOTEcgvfJDE+cNTDwc2hVOLfzF4XPXQR4HNA8+U
qZQLerTrfqRCytuuC6pdrldafKsmbnfDhNZhTaseZrlffMnPMEmvj5dedefJnuX9UKXW2YcrFJdA
oraZM+wyM2Nkhxga7Ft+T7w5to//rZ2Dr9HxyoMFpmanxvEaN1CuYMrqQIhPz5uBzgdVvfxJCryh
TAsZlqZV+qUNfzqapu0/+22R9UTMOFMsRD8zr+HgZSCNxoca4JkQ750QGbAO2p+MJ9fKqv6S+XyZ
2OKc4Mtl1vrAULT6EsqbfupQB5BLEgQ2YF/3Q+dz0Ldz+jN7Tv6ohtKP/dFm7Jck000oefXAwzLJ
sWwC+R3K3JTr/lw4PRs4y3QqPLs7Fp6DdWLOvfZtrbl8wuKXTP20vyo3xcEQ7RRNbUc8a+gkh9zP
txMu920yAyOQjsHeQD0FbLoH8sJc7DVvuDnD3OEpMZMnGBnNy9otKWsaqBr1tuxL79tJJ6Qlgz89
nebiJhScw1k+dDth5da5cgczEhPjIEDr9TZB7f4yjTC9NL5mzJSrLmLs69+NtkPESdt9GEPXdpuM
DoUzUa7uHyCnmvU2dJYs0xInlvIfJosaLZ3SId80TE3uYfkwFO6FfOr7BouAMjALAGZCoas46q/G
7V0PZX1na34cY0zrY8O+aiwDV2yNvKVV92v7VAWJ/MpAdOxMWbyldWVs4HSbRkQomKtiyFLtp596
9dvEZ7L13Znbgf1igtWwAC0aWw2cmirft7L/mvIOPrTTfarAn/fsTvf3eTv1ESW4OAiSKy/wUexX
Px/6g6OWkimcjTQ1N1T6vbvQ33TWzqyTYevrAqeHW0wRjBzcaqlkHm5dATf18ilcGISLOSU7pjgB
rXPgb/0MvGmVWTlufObFAMrmXRgYzIunEBjWmnsMTJgNpQkRzNZkD5uWwc3vJsFfNxWg5UeMPxtV
sNOygjbe28mM0GWm+W3qu7rcDLad7oXt8FCqyo29Pnx1VcCbwP1cfFwZKnf1HHx7g9mdxZRyKPSV
yc0iihfOfL2VHprn8GwSAvXkLA1SQVfbx2QE5+pIPz8taGTnSjA1HyptRAg9P2XplQRRDeV5mrKW
8jYjk3OahqcJfyZzdXd6decEtthkMt8gIpyF5Byhxq7q/nYV+RJbiaAThMW58wpi+ATJVHeu04EH
Nv0j7KE5pmMrD3PZmx95kOibRU6Mk328SwBtzZesM3By5s0j5VgTAcQt+fzAsE1uP8fCD/wYh5pF
41fkjBkxw6pkUBsCLemr055fP8PSCdL4c0ynFUOQZ/NadNXWl3W9HYKOfq1pwgum/2w3+FTTBtPt
KPGK3zJogr0OEa2kNMuDDcX8wGXcnzyuoZpJ2yROup6yczM74lGJxTnO9ZzsbSN5T5JB7GeZG+dZ
juIraTv+sh0W0CfaPUrWtPeOqeQx7+pu39Q6fcxndIGNnlwDUoyeIkfb+nsos6Xmd3OeQvA05A3r
FX+NVM3eT1bG+J3+DuwREzHd/j084QXgSh5YZzf1M3A/TKRa23LgEHlWE5f92H3ldTLzFY70EUUY
fuejVZ2K3vHuyenEmJ8b72O6FOehZSwpHFFu2wTByfD1cGOyvLdH9Vsua2aMcVpWkIzWYX23U+nH
8NzsyHaW/glcWPfcTiWY1M52jkRyinjibvhQU7XD8bbRXa2RTmTkKFwWhjk+IqQjg/e2sxkNoFnJ
bIEDFZ5INwy0+bPruouGUnIcWuKOAdDvlHnd1tFK7xrZ4gQujwzC4wkYDWz0vrppVgKQ5GRqqEVL
uzX0op7VimnMT8X4HaBRIbqt3U27NO7WXxL+MlVMIKghgE7Nziv/1/7G5c49kOz8LXFR8nkOeu8l
qvhaycV7mZx82HEwJOdu1PJUYf8kcMIOt97K2sNi5cOXha/i03D6wOPN6ZO41ObryG+159N1HpO0
7p5CLwD113Sj2rb12sbJ3MeQOtvtArz6ZGmixsQglicWJRcy5Bw79peieuisBitU3uCJF22Q3aVh
4B6IQ6P27qzxBuPC/Li6bR1n8zLEWrThbc9Q6o1WmQ5TAoL+NmbJyl3S0Ac1mY+0DZ/nnFl6uaOD
fvHtctkTpnrlK6Vje06t6aVZ6WtFu7aRtoMvrVxx6sjDxgWDsMzgMWcUiSuSbcNHMnQ+3az+DpI0
QwpQ6KuENSBbeM30Y4qV0U9ejguHajXE9KoQOCU9Bml95i/hJ/a+rN3sCKWwYbWNkeEVt5babaQg
0HXEwPM/F0VtHK74zUNge/7FkNWnMS14QFcy6g5eqOpzqRZ8UQGbjn7TZ0yWGwBEgftg5566t5Ka
CZevuoelX+dnAKpt1DCtY+WOibks82mfZ8ZnMQcZ0KvOPbgNo5P8mh25JzUxPRWBK2OGonZspxwO
hI7q9oJ/+WUx3HrfOU1xrMjNjCCUsci9uh/uldiqSm2/w1Iuce9oCaonefWK+ZcivC/Oy9LZYohg
GbDmkeoSO3ms8+BgupcJLJj0VPNpeKW6tEFXPbqdx0UJngzzirUqg71BwGjs7OJOZXax8SAHrkWj
UPLtXw0HcsTt/pMF3m5wYZ89mHY/XKDv9ReP7USwkuk28XEnBqkMb81i+dVbVhVbjUbs7bOAu2us
uG3R7YrSp8WpSjv4DluS2DaDj5tKro63XWyz382qJZcPnWI7uJhA+xA3HptW77qvoQqLkdAdM/GN
GNOv9+RxBN6JPpf3LQ6ID6Du649Y6uoZ4mXPruhoPWLsyDmIxgq93fCvpKLszTV61j7x/a2Ux8YS
Y7rHpWmIQzIazY0R0gFuK1cUD0Mx4yVCs20Z+0ES+hUK9mOx6zTbBhPWwWIEi09bEZYNeB17cGFF
+GC5Pqba2S/spjLiMpp7iTR3nEOhDkud8DhLqz+TC05JCZAg6afyVBSTmBl1wajTaTo9jRjv9pi9
uLGmItmGuBKfW7MuYqr65dAkWRpZaO1nqcw0wjaB4qNpcDzmKZu/QmoTA1kiDfMQidb+BWcToc23
DGTEfDXCu2mmEJ9SwK8hZrvfLTNW2vEVo5PQ+bbXqnptPafGf9ihhUSjGWax67VizxaBGZxkACMU
hFzt3+ZLDwCChUuF28ZzH5Q/cFeS8TDQTfz0yPiX0clUFqeeDn78KsCiNuLbSZiI7pNy9S4mmzjU
U6p6mkohyL8PUSWHbPkV4ky9qQ3WCZsc+VC7rOMkmc5eNMYpBCk9nYauwQiRhLW3g0g3bSzgQPwi
OICNJexue5yrSPEZdoO08B99s8RSYmixyWbcfFQq5r4R7Tvio9yjnvKHpljIV6l/kylS/grNebjQ
gycvJbrWPgTDdlOv+cx9pmhKGh7QTnnLgY5IRJZddjfhWKl4pDF6XRWEQnZqoG/6FmGa0ktvvDrv
b3Q3sQwAj5E5qnD1PsjLFH5vFX5pjarXeZCt/HLuDjKnmql1PQOvYMJxs05aHFjZ0BSvHvVMSIsm
FzyUcw5PEnk4aD8611m3M2fhxsvUfPYVi4pURJ48wLnEeOEw3bQthdMITN6fQRizipy+rt+Rq8vH
ucf2USsjObXEH219m1nvaqXqaajG6TyPmCkJFWVnpqQnsQcdMgMrvEffkk/SbJO9WWXM40rrAyPN
mEUQ5V4Du0sOOGbrfTUloAgboJqJAzJuU6ee82SnATRsHHM8+10etbxHaDuAzSbBREtCg94SEu9t
JiKE33jJs0viYD6lSS5fh5DEgY2YvAX9JujlNhzt6U60SfqZ8vejLNB0xRmXZ90kxHgsaryBfJZt
eyKCt02Ygn+b6PMLF1UjJZmNRCvOXPT6Jxdre0x+JnPEVLW/epAZ9APZdEgxbkeWsYwnba1sr6sp
P1Zh0O/UGs4/PrhUHDrcoHuunyaqucoZrk7QNIxes5PSZzDwWMfhXO5VgVSTLm99wOo7+vD3ao7j
Fk5vfjTtdJERue3GwfHaTylaxpYYjLYYd0AiYEqZ2BGBv4FOyoqH386/J3dtNmnO+HP0tYyzScl9
yxt4AW3KttFoDu+MjIttnbMRCkiRf8kSeDdFE2Q4CZLqM8+LD22ZCJ2SM8TxWepI6uXDMOqV1RgH
ADGxjVGDn/cxZ4OBFfqCV3lxfTfHPQKsxktHXgenDf5j1/T/NVrt/ytoGgtw/3do2hPDnP8jNI3/
139C00JhwjkDU2GHgcPfmf70w7//VwtoGhNqJ3CwayP/XTch/yc0zQ7+zbOEjVZm+zbOieuK9P+C
ptn/JlBDkEdcmw2ikOTa//7f/hba1f/TX/+Xaizva1UNPf/Ov6/wMjTiRwv56RzfDtlEMP9pNd7F
x5LCdkjvYbMs99Kdi0i7Zbdxx8m4JONaM2vkXOyCwd6olJd6YzRDcYAKNJw9gITwrQon2LDFPd02
PPwx5TIIpyT05R7w5/Cv8hr/Wsb9z+XBv35gqGiO45uu6fnmP+8ed40EUDd06T1LJMYDFhKENpGP
u6ITaeSN5Xs7Oyi9VcjWk4GYsG/J2vkXy/5/39++/gw49gWfGP/h6/srEvAfdiQHDFKD4xM7ZGQe
7OrVF1+lttojRl/mlL2Z97HTDvLtH56s+//4Hf/2XV0XS//+q/MFidDiN7/+l+uT9I+rmVLNEK1F
X9/LvlLe3cAq1IdbeuKyiFrtSZHyz2vTpM9E3F6XJ3RtiU3YrEGA0T3J1a6cq+BBDFNSsO2SwsD0
O+tfYPL+98eJwHArEL7pOaGL1vL3H7GET76MTVXcD+FSnSeHZRUZ9j2ZJDjZ2oPZ+nCtUbIvtpbz
v0pq+uu7/6cPKAx8X3gO75rvhP+0YNqbXWb7YV/dS9VdMrORzw4c9MtIXN2twdj7hkxCZFFYAgm2
Zut/UHduzW0rS5b+RTiBAgpAIWKeSIoUSYmUZFO2/IKwZRv3+x2/vj9Qp2csyi3FPtEv87glb+FW
lZW5cq2V1ZZBqO7KTcJoF4+BWH3wvebv8ep2TN2ROkaQjmMbJlK31y9jipiMCnEnvKNGYEt1hdk/
TzD/D7o71Ok60HwkKeSgp9wtDTpaqPMWhlWMN76WZ/5tnBkprIJubE76x1/q7UYCEoD/beoGR7pj
q4vVxBhRK8RxQx3LQmdI55BPB9Ub9ZNgQvLmDKWrFiwNAUyzT6JI2+Uijz94RYSxizfE5Q1lCstV
tglT+PUbSmG4Unt69RGwsXga3QT3Lli7+Rb8uHiSWW19sHPPRgGvv4k5Py/hjgmW8kWb/OfWdUTa
JprVHwlmbJIYD2smYhcxihLGYeWMaVtZYYjARHc6SLuqXA2w6TXowC9H5atI/Go3v10dpmmwiZUl
HCQLlzNqPABzjJzVcAx0XEkaVbvrokUA0nl+wHhcSw9vgcO9qz5O45sm60NawSGd9y53aHIhWJim
qPuqwo8Gh7zZwibnim0xlJNjhs9z4SuA+7tfEOH0o2P34UYMXbWThhmAuuX2k8hheUl3FAs/n8Lr
DzbMmwDHpW3LhIzOKFFhXC5JYbW+Qi8kkY8VzqnouoQEM8szhgW7/TPwhmDeeefcmdA/lj7ePYuJ
yUc9CRvgfRzoxWrM+v56CMb8WjGjePhAuz4bel0sHhaObQrTtnUDw9jXy7XUa9oEpSGPutk3p7Yx
SQbLtv1G4VLdBPOARGeKgw5msrDo2Sf2jw9e0Bw+L25gfjemI0CrTfKG1zeg2zgxQqLgzMld7Us9
pkAlzMZaCYM598x3DTdOKcJbv9ICKFjR6D92vhdhdiLc/oT8/p85nHMQmuar+7kw8aE/mXZxH8gj
APJXKJ874Ua/P3jmvywKi8yJzaoLYvvlolCiiyrlK7iR1RjqSzU1LdMTh3yboei4af3Ev4libGYz
HUdVsDLr2qfLvnW6LN4G0DLaJTNpm5858qYr4bbuP1+0kjivlKWEaZFDXXwT+B6KkdONOGJilXzm
bPrJUBNoSz1AVyesbFflutqAk6YPYdB96boOspahKXMZupn36yXsl+z3DUPjvbv3397bzSyJMDpJ
pLTpw9kXR1DLcCOwoXg6ItmmyOMrxSFFOmYzgQFklTOIqKU3inSpKD33A7OWt+exqchUpSC4K3a1
eZENeImV2b1TYgfmhyBJlF3Fk8BDcC+nEYuHMC5vsch/7BlRy5iCpjDvzCIPfsV6kt8mThqu338Z
f1tJRBWdc48TWb/05WekyeR2NvwA4llzqvqq3IzIRdNFWg1Yc7x/sYupoC97g4TfIJG3yYguT3/N
agYjU3D4ERlwrIVF3T0ClwR7ldbDc2q5Ddp8xHkLUwPc5JjvrpBIdzccxycFTohhpm+Vax8x64qm
LJ7twq/QhOp+vZm1Ytf6GHQfGTafvZcuIgyVihSmi2/d26xgslyrt4ya1dwyVXkRAdQvKxgbNzR9
uKXMtVGRFJXZ7B3oZp8dKX+6BXlmC1ngd9Pb/c7I29mnLs4Wdq0lnztRN6cPXu2cx13epGEpSbkC
s5e7fR0GJzUJElpusi71Ds05/bRD5sTZWoqk3fhJ4W5H1/U+M+9VHODI9LAtwlWa461kdeEvi/lJ
H9ma/PXFSYtQoFswjsX5938kFlwTCU1J36KeLGtf16I5YRtbrLwwdz5hhx3uGVY1bBMjmiD3Jvm3
rulIQDRICEqPzE9a05o3Ud40JwvM6VkGwX/02s4FpykNhzu9ONnxAWDmJiRaKodeHGhuJHdW5H1x
+wI6XF1DrYiK5BqZfr7XXR2SbMGhO9lqK4qpOWp+8IHFzJsyygSxN7kjeq+kQpfFgg//Fm+hXhzd
oicmZGHx1HkFmXISQC8ZHaMCc+JlfrB65oB8uXochRc+ubntEh9frx63FW0yE6GPfub6P4wWbaDV
MhmYE7++0oypv4/gLe0rt3DuTWNC83Sup/6Du2Bcue3yDiRjBC8isxv3g68NiNtiyHYJIlJV0we3
g6vIFv4CuPaHXk7ed5QYSJ7nn2dt85Hn8F9qACAEIcgkgCFcYc35+R+LlqmvrWMOxnQ0gB33eT7l
GGIo+RyHUhwcr89peiaHqWcqK6IEqhUGYG3efxHnfPL15+AepMHBSF4l5eUkHqcXBZQNqR8Hsj/0
XbZePGG6KA4+mG+y8OAM4skSx/Y6G6fgIINSfBqyMv+Vt2EwrWxpFU+MtWhKHLSr5hRDPNtqnTTu
HRx+9tZcQ/hhl28rYddgwz3chGQEfob+nIRrBBe6wdkTugrmCZXHuTLGkJmY9v6D8lrfHkCSx+SL
C5ae+SZVSLIOhl/b/ztGJECOB+kU4QYehnOPoEwwAFmzVrlffo9o1z/AwFT3TLe09jjYUp34ltyE
ujHeVJnxyQ9teTVo2A3kLjY3iWVNiFBl/wuFk3kAmP1amZ21D4aph3jMXADkPfUjB+MsSwbGfClK
h8E0jyWOreOqc1EFQQkqwZ4DiXOFMYwPaItLXEwM1MLRhL5fzPXrEFtgCFpuWnt3DGMEhR1w56Tt
uyYqd22NDseNG+sq1vvsa5n6Dih4kF2hh8uxrazie0sOPgtfsLZi+GSNcAU8SN6+xqfa2nD7dzgF
lJ9Ht2h/Tw0+YDQlaX93hn8bcO5s3MSYoJxoyOk7TfsB0q0z3GEu4Uz+m7IBIUC1KHKrQ1KdmZsI
4uitl6hhQ+LMUiE1Vvddn+VbBZJzX7oIrdMC2fQUezvpO190hIgIcuXG132U6FrRhs+5jYxpytz0
qpsacYhEoXY4s0Q7pnuEG4safkijYB3Ty94hextQsBrlxvC6YT/1Bm1C8hKmnHc9NJty/JU5QXwI
I6rtNPMGuoJJvy/Nsma6gNS+qKz/lU2xe2D6BjOftdHDz8bD6ikw0+9p3Lo7EmNt3TYx7hCRCI7K
hZCb0kSlydqGI5oo604kUbeiV3QTxhr2Rn0r8i0kv+aUlmb3gFcIJxD436MjkpJGZy0G5oKhQV+c
/5HUE4xSgsr6VIkYLXeLQsOJGBIhexSj1eAmL2cVllMGpNSGmNlAp9dgHD0FUWlt08jO7xiFoG9M
i47qorTgxQZW3KYLd87gw8DIsb7AW6psS17D+aPB5TGWHpjojyiO5S0lsbPJahorbedmdINGv7we
e4SNfb1vCj//ZnrdbdIJB2KLgoJuZd6SA85ey9qidYWh4irRPX9jybH5XOCLA/vQsm5Cq1a7Kmas
eIPWdBEbZU1/UKbx/nwaIaUKoUWWE/4wWmZ+TqQsbsUYY4grlbYrkjxhpJuUh9AI8+UomX/W52V+
l+HUufUtrVuFA+2lLhP4fIV9sXI6v9lAg3IwPHARuJpp7d6WmfvQ4Wdxk7nlcF3BNViFGoMuPVYy
9HcfikohA/EEkw1NjT4iXm9TSA+rBsnMUko9oIPvUOCNoRasBN2vpVFU8ktdhnQ46JJoTMrAkdGl
DWgXSF9pFC5hwD+K2jEIpd731E/ih2ZwnO99G3z1al9cqUymGx+3qruEjtGyqFBbnqNiwDY7cQyt
Aa64sTBrV1DS0iWb8ftEcD6UOrG0rrtvZhXQ7hmyvHuuVA0pVJr5NmpQckFD7pCYNZ35HdprfSLt
bU6y0tkYPV4gi6FMWIS6lFDTxzz4HldEPy2i08dzAo8h8tuIEur75GFzO46Vf+NB0d/YnTedSrw1
r1z4Teth1nrWrV7fRT3uGaNs/KOWNv6Wzg4CaCtL95oAXIaRqKFRVpLW2cKhLLmiNRjhWa3KLyrS
vYNX2AGVs0N4CSNruHKa8QEbboaO6HbxBCuFQNgMPiGlYF2jqbSBPE2LU6auovIpKOk0Ls7l6vnt
JaNtYwAI2zia0mevDHNoDkwZ2aC6wgdxHr+ISVnyjA7M+oqdUP8z9Yf8dtBCdbTTXPsE1XiktjSs
dTXU5lZ36n4r5ATjxWvqqylMizVyZVxzGMaGL1BUIA2vyqUdJc3JUWMPcXMiZZ4CiuVzKBsHozlB
jUIlhm2KcR0wwffeiBAwlO1g7ThyjEc7Jaq7Zv7ZCPXbaeCUnTLGiywKrbEWRogsq81x1dPEtEvH
Mt8gF45vaoX3ReiPXG0cRfEoNXQKAySJnufMcUprG4Sfg/s1bWTxq2DwfL9wCnhfKLr0p9wOH7Le
GCHVwW2GQ7FXvulf23Ei11UyqdvGVOZWCsO6Vtg/LY0O8s3s3JaHRfNpNFCfuZWyrgy6iLdpkN7Z
dh/tu7ax7tWcbbqtw5c7w4yYG4tiSUbobCCf933afTJ0k2mMk3tFUjr9wsBuuu3GJH/BfaI5OYpC
TcKSipxlyKfaJJ0JymL6Wr+EYoccyoeUamuBfgMOkdAQdGu8HXNkTmXkc7ZpwVeciW5szYowQfD7
vd5Dm0n7XP+cgoxvVFOOzxl530oOie+sogmDm8WkmvqEGgOwv3XLcFV44qfUh/qLzAsNjmwEvcr0
hLHEqQ18pI7GneFKBvVVTgoXvWJYnFfGt1WIt9aEOgeruPgghtZE8xTjNj34/QYPAhhWaf8rZ4bQ
rYBysIttE+VPaYlD4sjwkxHrNmK+djYw7Lw17F7vIdGGZm84TX5MshGcRXrlbKzDrodwpZ/sUCZH
5N1YfAej6L7hRlLj6QJedU73sOsI70szTn9NnkkDZZ5OlNWxv6g1217llvQWKqbGEz23szAiuEFy
LJ2jA+K/yCRMjsbtx8dk1LTdVGT1zAipDsxrCDeUNfnW0TO5NPVSoSrhRSKUJtVcGWadb102+Bev
xTlM0Wq77c4nZBlN+LDLEhdgk4nnrTSQWdZtxC6fWpfTLJ+wXDSLHqXBvJcNkja/zM2H1nWc+8xF
Q4fBzlUe2Z2/ihPeVKsUOGVECWiyzZT7aTR7e9+i3NuQBomTrmEhFNMYZtlZCow3dOi3dZG6z/x8
zornfk3v2/Y3PRk0Hj8O1P1gCPaMm+jGU0FaQRFRVZzdJbTzCF1sTeTBlIGf9H1JRTnnkShCiye4
jvwKlWLEDrBV+xDV/HSCdrL3nbH+6tc+K9BVaN6wdJI7Gj3BLoyE/exi7HSo3BgHU0VjfkvXu97D
+jJomk91+UPKksslmHHAbJnQLNDU/OwXSjuqPLTXpTkNKG3FlG1zbyT6GpqDj2KHswBs7s4e5Z2E
uqldjSWyzUPkQaoIw3h46LPwGHtmOS27biaZhZbTfQLlr3/qrdZ9bQwrvME7EcW0XZJNKH2YnO0Z
5cF8yPiJ4bP2VSfrhZBUmvW92Rblr7wyerr8QZBg1VhQj6NAbKFe1k2IS4MRwuoy1hBwJ2wiyuGJ
yINesbMtUEVMJVBeKwYbVIX+Db6jbyLsCvr9MBmnWhXyAdDtboysk5PY7mk0B7UljnYQMntuXuga
WVfGLsuBvbxAXxgkGlejHWkr1jqcJPIVX1vaKbPoityAfI9mcGE6xYPl6fEW8Hy8KmsElYlmW0+B
U/Q3IlZyHZhdvzYdz94zsnQnIysjiQjxf3CC73TMyNwCfDSOI2TspQGhEAoi7dO4GcuNDHAySvBc
dyD5m9XzoIrZaMG3JzhXmVb9gFlXwk1LGu+QYRuerZrBlD9Ze567xZOjjW7zIFbV0mac7LWTIgPK
7MI6wKYufmduYfdrbQwDnERdGX1JRn0+AdSAqY0YzOqr6oJau8EktMNtKjLS8sZBnfMNpZizKkTt
+othGDdJnailh95jAef+mCpzN/ZpuzNUPxx6G08iI0rK28jTf5UhFogw2sPkPskUhzfnQPydiGiO
qBkHN13aIcHsym4t42bEFdFd9IXrfK87cnnML+qg3sVZJh8TH09rLEzb4djVtdveoTcLShcyWlLG
G2kZ+qOAqcnfU0Nzos1PBmSZU7jBmDK7SnBkuEeD7y2hw0taNgkVwKSbmbW03E4cXvKHxC5rtcBa
3zsWodke04pfAeDk21JDbtR2+K6UNnWsMQ5k0amnsb+NtGPrGGnO1jn/s0gX4bjCwiXf6n5EKmUG
gtbvOfco5lAbpVQp539ae+Rbydiy37veVisXa4y1rHA5DGyzuWP2glpVeioOHJq0gGxAqTQNy6cw
qvpn4nkP75VSjmOYK3pz1eynBUkB9rhfdDRxuC7bKJ2WzHoqniDDMJPCHUL7NwppxpSec8kkmwuC
zG+jvWnn1t6223iVYAkQQTgM88dmLnj9tAeXTQOrf/ZCRayTI1jzApEmQ8lbbLKIzTP218SSsDMU
djOPLy7cBlpVw+B3DM7uEa/VR006zcm0kILYrs82DDzj5TbyouYPan5xjpKSt9YHszVGMWKQBiVP
7dCWIxSAgnuAEZt7cCAzcFGhBTOCxpMjFZSMZC7Lde1Ow/WYBr/bTkEnK4dxy3Fw15d4HXSiyrZp
4HrXRAfn5PfMfQjClkOKR1yQ7vrXWuwlO61zI6To5FaaSvxPdZ4at+xZBgq4bjcsI9mIh7xpmxOf
nfdHtolr5hD4V02MUQ8Gael9Kr1pWpqTqe+KQFv3rYXnR1NjrJYxe7rxk+9nJET0FsV4DaHV0GNv
5U5UEUrE/k9XU9PtqEqBNt/Xgx9ZCIN9USOdVItufjmOmpdYVnd3YMHmftBMrBRHeGovHxbG/kkM
AujQie3rlBOd6iTpVmBQ1kNcMLB6/rRTpNOQkLHuMe1aUtv3dZP+cEi8P2Gxml+FffpFSwLKVTiW
WGJEIr2SIrI/p3osttR/GIRMOuBHjCdoDhHlgOsspGAyhE9a2HDYEgdZH74XoiWMqRrSPggpt1nB
UQyo5yNER3GMcfLifFC8nKgmzijLkvbntpwRi2Bwhi1I+YgmLT8FWvjDMaV1jEpE9ZyAclwpg5Ic
sl9709d4gQgaWfftWFXPCIDUQx2UsUlo4IXJ0tV+1Q4I6zLpJyjwPvDwfS/j4uCPyFA0e0KrNUU4
3CEP1qGC1g0ennpIRzwthx8C7y9wLZ00cWy9ZA0dHPU+s2CuZZDoW6U5yVWvhvg4VVHl45sVfjsD
NH6Cq9WCOSoos6fSGR85nPmejo3iw+sS8wSM9UUms5lZDAntm1bH+I40ZoCmY27VJL7KfiaD592d
l3vp40Kak1vgtj3v7jiJXeidOHI2Q/I5nvFr3c4ZoWKIEh0KHDuiiA9aUvYa0YhpnPWptDWY4JqJ
+eVLOBIGuj0HLv+S/YibRt+EU75IpuZkz7jxRo+MapbTMYsC4SgISFbdh3Ikgbe0vsLyN0loU0yU
3Skykwavt8qHDzt4JcmOjrHPumGgICvdM9JvOJ11OHKawfEc3SQt7WvDsj6FVagOXU3Ktz6jhOcS
CaSjDBEbJuLOMwvrVM3p5Lm84zwCLGx6diEinOIeMTjiW05J7wa7Y3Xf0w4+TedAXOk8dOYF+6jJ
8VAJBhxqWlqyO4lJ4x4nkeIwGDjMIDnkR9jmlVjq/YD37V2ZYanf6XoVMEVTi5+scKy24SBhnlrW
AXBMe2D4CMXLjPQV5tQ/NyLDxoW1lt72VlE9JbKCBInfBeK2dng4I9suliV7O+0paoZ03ZeW3Da4
ORyz+dzB0ADH4hmQhJmSf0kkbuF27SMI7hlWXxWef6XlM0RUd3n9EGN8c0ggN9x3bodT8tB2h5aW
/UZhnKEWhWN9Nw0n2evzwQdxvT0ELgIjmpHoA7pIBxaBd65Xg1xbJoqXBXJJD0UsGfSQ6pgQY55y
nTZjQA/CdJ+daQSzgc3TZU6Lpa3O6J8xPwhzEmj5GkzJXd0jKxJqrdWac+8woFUtrJKsvFNjgeWD
tIKDFU6QS4aaJdL4aNRr1LZU8U0SXlkEqXEFQoZHZ+wm7U+B+FDu2hHnRk6cqH9urcnax2es4nzO
Y/fLGeVMMxDglDprzXYSvsPcAMrd0FvmruVcZU3o3+N6O2xAjxzAC1xKz2sJvpZY564ENEC+v0Pp
Xm0yMNhtmxXqWpVWsS3xVd66ZX9VZJ5+I/Qu+NzFxXcossENCQ1JmRXFN1h7XaMkNH7UhWxOydwM
V4Uj4ckipsbPKLgVVAd4ug3j59hwh8+Y9cUH1yUxsHFS21gRbtpp1xnrXKqDQ1F94+aa8ZP1FD7h
22rtzyv+fUz8Lf8H8qECzHAwVIGMc0HYCiss+VtPU8fC4ZDHDA4wXJ/rEN0BaoolEeH9C/6lJe24
Stiw1Exs1Q3ngsJBDtdFReprx5H5Z5j6VkhUBgad/xTGqB/HIpcPWj6rpnzl3uIhNrtQcHOLvmyq
nR3a7uP7N3SmB7xuf3BDtKLmniGUT+OiG2WEkoOmmdBwICC6d7zAfa4mQEMdt8Z1U9e/k65zN76p
ULdMA67bvX8/Nqr47Upmf8IX01scJAr85DQ9uhrqytvrWUAaFYbqJFlF123fhh80bf7S3GayltAd
YSqIkK68ID3oHfqJRhnmEbZ5fDXVRXOtlQFgRIwUsey9b7BOmzs/izDrQxTcXXlZpt04kZcs25xG
4mzAPmGAhX7fx7zlrtKb6rr3USeeg5CCsHz//osWb/lW3DJsK92lc+y656kUf/S6chln8OYD6+jE
ToJNcG2uu0DGmxBm4hqU0to3PSmb8kfracCxZB37/RODIii1/g1UYM48jsFHJIm3XVDuizAkHAit
3N0FSQKuaYHAp5LHPqijR2areZtIhu2pdlCLY3Vk3KdDtIoqDN1zz3Z3Dr0DrP6jRrsV7WTv1Hy6
mnDBVp5p188tFMwVdv7ZR3yGuan+eqEqnXLG5h5NCx3ERa9wps31Pv4wx/jcNjgDK+EYF08hueOC
O0NLiqf61qyS71kYxStkAcB3c5Po/S/5NmgoXtS8V1iCpnNJguIgJ5LpdNHOXUIdseRPFw0chtt+
evDmNsT713vL+uJ6yrJc6EcwftUF2wBNLUzjLjGOZu5FOujUMxh/tsmLSN5VvbL2PdbIW1zPOpB9
Tpr3ry7eNg2VTm+W1WHorivti60WojebkoytNngCW9jGBiYdbXVo3QRktOl2wNbxjUpliPtYU2DR
Vpb3VuAifspS7XnIi88K+d49FJeP3sxfvoSA78BHmHl7OMG+bh9XeZBbel/bxzCBD3dmUIZDBPsB
Z6UnrM/q0/vv4i9fgpjjwBSYzws4A6+vN5JNyZTm45HpFdG1xVwJGFZh/ilNcnoDqYnmocJyP1HK
3VnScj7q4L7lnYDFCdhocxQxITe9vr5WCTzOC2UdY81qt0hH/OtMJdlzOVsGi8haiXEmB9I3fOwm
ld0ao/pcuwwWi+LevvYZU/EB3fpvi4MbArmzhc14CPviC5iIDgqzsO0jQJB9qqLch/JtRv66gKVC
dWw7v6UEpA4qNog3atdtGTcbEQQZbsEG2jgMRcMfve73z8M099D/8QfjLfGqoUsSNC4PtwIBquab
jjpiwzMDqZWkL9KmlGBz5y8W8fB8zsDO8WoYJvDu92/gLwwHDld4vpaAZgvGdjGjtRly6YaMtDuq
Lhofan8eABDFqH3GeJ9bTbNPfXwLBP7H1+EwJJvYBgv8YN385YyHlS6IINKQDCu6JN7AZc7tiaB+
51rtDrJoRpNnaDbY+NFj06bpqxp6rFUqsAQ6XHJYG+F9bMft3swDjN2TKsakw6i/tz5KTeSZIb6h
oj3aGjV6ybhVxgQ54E7vv7q/nEtkZDNhge0CMeNiaaH5pzzBFPKunmMcMIhz3xoGPJ3CnlPduZfU
Wh8e0+c/e3HMgLTbYJgzjx/q3Os9FkSUVBNWE3cDRcvGttriJJCabXvsN+/rTFB5QJ1jxkgcsFw5
z2N8IDowVBKO/G4MAnSYWpQ49SL2k8dRyk8I04ZFYQV1uTj3ms+danSygEo9JTg4f7GUBF58oYfP
5dCCCpu5I/FaxmnPi8p9r0OAWrWMpQoXvZ+lj9kZvB5n6r6uU6WW0zjtKXWbBY3A9iGY3Pzppcx+
aWoW0ShWUxwa11UejkfXz/rn9z/WXyKjS0plOxY8euzoLz5W2tlxJQc+lgx7+8bK9Pga3/buayAN
gaNj3B2CPBDraSxSHKXq7AMS7N8uT04ASwgeDxv9Ijfw3QREo+/Du1oLtB1GNfELeIBuobou+hx/
T/zhyjW8/OeC6eB37z+9fHt9d6YCopgy4Xea6oLZNnaei0WDn9wRe1kVZ5iqdMkhmBpHUSyULJ7O
8AXj5sQB2/Tst6gU7udZmVDY5TMxo4DlyKAjZTE8AZN02CNtLVCUMupwMRojFaL0Aip3JJjlVgsH
YMdSDzd+G/IrwSSAdomTRz4tiAPVJ08bxi8TtTlDd5goJbD3dIFUQmvgprQ0o4OYM9hsAa2fTZ9N
DYrKM+7bVp4+LLM2gwg4Q8Qa1O1nJl/B5Cn99Gugd+WpwQ1pZ1OQ71+oafbcP2eOOMSpcCZjvv92
375cej0G78ieKe9virTOqs2sr6z4TkP0hbU1bOi7Qpj+lq6LYFrtNP7IENly/o7BlTb68oPFNX+8
1xGBGnHWFCkbuQQ05tcRwUfRCPsiye/8wTNuZAxesghCzN5RNM7wWKK7OMNAIVM7kgPzg+zvbY4D
vqeT/uEmywqzjNdXt5uknBLEQ6R6NkBaEtjA/InSDw6zgpZOY6KBe/99X0xGhDkMCgE1UnFeuQax
8GI1BzGDQVPVRvdWmFTLNvCliRo1x1k7p6dwTrOQlxWMwxMNPOmmWial1dxVWatdOUX678a+UTn6
Oq5d/GoH7CoDB3LfOT8lcA77Hr9tzw+nx7MIjEJM//z+U6jLvBUyrOOgjiNVJ5S/CeQOXpkFvqft
kTFpxY1bGeXekiUWt7X8NILYLUA+YqaHdLjq4x0UP7dxeaoE0AwMHx9razL5LY3jaIXfEJT13BuC
Fe0K7JPc9DaPsq8Rk0bBpEU8fQN4yjdoqQF8TVV+VoHZ/4pdMd6dtw+NWDq9djg9DATxn7jXl2us
05mfEQ/W8C2dDONLjBYXeyaPHmnIoAhdVdyhKs1rYyzx8cRYYF32nb1Ke+xNcOB0jx6uoDhe9ozY
Gi11Rd+yECxMN93kPdwUBTXuOx0ICZ91TBqmKGDqvTnnx1mk93fKwcVxmopHDR3JDeVcddVZbfsp
lUStyToacopw2pjcBTRA7XuKFeJ9DUHpyk5BoFTTiHYTV3qAmTDAdmE08e/A1bLTuXHkN4WBn9DQ
5ScjK/R9hGPHTQOF71kFhngKU8/Zwq8umXZNpMtKywg/WMWX+4aSVjqC1rBpwzB9gxBYbp+Nkaj0
I8aERLGh5aS15rAnrfTK7aLh5QT835Ye34bPVV7nv5v/M//l57wYmZYYNGfJ7P/7r/+vBMokbv+z
QHn/ffoeB3XzPUOQDMrYjNufyIBN/qcXfbJy/oUaiXyLOo6JA8iu/lufLO1/wVU1IOfaiu3Lx/y/
+mTL+hegHUokkAt7zqr5c//WJ0v9X5aN3oNlRh7H/pf/RJ98kYTOukDDgi1L45QcFLzudfTNAmxG
m4b5MjmD3TAfHrz4lyjwp8exUDP22IdbB1KeMPzgzLsIXi/XnW/eQe3loGZ9fd0QmZfXezocUxuj
XB0W3RpzKRoFfWLv/vgedy8H2Z9CwIuNcr4Uk2mQAkJYQJxykfCmE1SwtmFEX1f0zi4x20cXu6W1
MU0IyQztg1Tp4jB9uRoHmmujYkZFfnGc9SWoaNQMSBqdDjzLEXglA86vcEQP10Xf90tMFEgZ7fzT
P35MoCPgAoBXMmdrfuN/wG9hL8x5BiFfUjEYNaht/Xdrp+NVGE3iqk7q/IOs4S+vFSsQys45HzQQ
bL++XgXTLvBiqDdpkKQDviLM/Fz51dTd2/jRuGt875qPhozPWfYfmQovF1wRpY/BgmXjXBabtd3A
EO6tat1hoY+/OJw6lYuPGPOXV7GBXHSJZhTCPHvjUv0CVIiBYeX0a0vNI3OLJrguo8hevv+9LncA
V3EMHgipoQ2yc5l1BbLWMtRbw2z2lNFPTobwS1TgArugPtO3//xiqOlBlBGLvcVAm4DujmejYdQ9
OgB2MJx8A8sOMzSe3r/QX94dkmxJU3Y+ltQZT/ljFRZmlGUhji1rzXWOaAUrzATd4YOl99eLSGuO
W2jeCFuvlx4rGrlg3TAEx5TPpsQH2p889UHY+Nv3Ac7mbREVURNcXMQMvMT2GZO9FsruNsU0YU3n
5jcJsoD1++9s3il/rGq4jjOyBHZu47cADnARg21j7HE3TGjiXcEn+iDQXvxx5KPzyaIjngSk4dtf
/PEe9JZhFWm8Jj+t0fOGulc9mHYkmvs8ZTjW9dDQf1lmkxdZKOgZpfRIJ9QbHt5/xotzZr4NsIuz
+pgnhPn7+pNpuEypCTu6daP3MXhM7pW4JoSYLTAiIlbFtZMF5rehw33iny3985UJ+wb2GwIbjktM
05pGM6mmNlnDcEk2I4Sz9RgxC69icX3+5w9J2OCUn0spca6i/1j8ULwyE3IiY8UChj1pfl09g1q1
W6hJ02Yy0vYhLlX7AUT5tzc7b2mbOExxLi+KGS8ydJy4K0YYhwLXq9Zpmi8dHrrbzG6YJjP4RssI
iy43f/3DhyX+2mAi+iz1wi/j4ot6hp5nsV6ka/yFmk+a7dBSDbLsqU76ctPXLVR9I5Ff3r/oxc43
LRiXwPSgsaYJFmzOv//zDfeGdDJXpOtyFFAAGtUnK7MPze6DXXOx+V+uQ5aFmIidT6r1+jpB6Ll9
zZA8hon73q0Vd/KuMByLDjsDxt9/pMvvhwWNTduH8p93yQqdz9k/HylgEhSiJeYrNMvmW3h8/6/P
TRv+wB/hhQlhoHwEY7jaNkowd37WPy5gtpIhtfRFN10T0CnXxynbdUGsIznDDgLv5LjDOZgONo5i
Th4Z0MQyBVOTACuyRS985iIl+N+D2kkmaTrFGLqLIfLdr7KxJNSroJ7mqUE1RXCnLN9n9DBjnZie
XDpPQAvtLsFM3l+aahgw2DNrZqiZXfhYYDLgLAstS6+jnimYy/q/ODqv5raRNIr+IlQ1QiO8EgBJ
UVSwJFuyX1AeS2rk1EiNX7+HW/swuzsaj0iE/sK951aje5n3UcsH3EcWI0h0ivgzCrbnjeWv74EK
wPEXvZO/tFWE1VpL63e2Ge/RLif5j3iD4FMsov3BPGGG8IjU5XdRSTUxwnDhwoIGkyOyJlJK4lwr
QN89Np0i8afOnKe802QhKUw5acN27pWHOHuc9bjrRMtwWtCqVhAj/d29sQgXL4q1u6g7OWmJetue
CqA0NqEEZ/CC8GetKgowyDLESLdw2PxY2oqvnx5h887t/yHXQWSZ/xACOR957QL1Ma3d1AesvSRB
ecoZLiWv9lu0/CTxMs9z1xPfpMCyBkxJP1SR6YaMO1H/GAK/R8k7EDOiJLlFbC/lnp2zyVfuYQhv
0MORxGd2wezZ5jMbLPiO1DkdMW5roN+yiulPW2DATyKDoe1Qj4TbgsD2y+2c8TfYykVTdKpdqPbU
J019FygLDN3gT1Z1XOuw/8xooJ9Qfghimg3+5Tur6uuHHoCa+wxLeH1GxQmue1VomK5zsbcbb37E
c4fVjG179sLZ/twLv9NAb8HwbsZx/zh2sQK1ztmvwaxDcIKvpc2BENPM9wlwM8Kc4LIDU64kKVNo
B5eViKrQJVjVR2PyslTVSIYdYVXftMR9iHQ6BLeaUz/+zoKic+6CTvXlM8r+7X7w6sg6Iaeh1nPk
1vym6LPdU0c4sj7iDbH0uVYetDez5g0mLV/zG27uOqbGJbz0RkLNglPjTgi31TyQQTPtJBl3lV8P
ydgNliCHUDqoDJth/gfe1oZjzfaxjTd3ce5738mDY2/Plc14chY/+HVKpFZCz4yispnt26oHG1S6
vxPHMQ5IWwBZ96xTtsBfn/aWHVDM+Nj8gYTfs4dRwaZTLwNcda0yM/UnqxjIpbDIOj3hcgx00thS
d6lCsdEcXaS42R2Q8mlCzbtr9YNskcxLDDuMC9+EKdOKKvWejLJbdHc3E90a5rL+aWeRhAXVatFe
Mttwy91E/DLeO4YugPOilVeKmweAUIn1gQlKLtpysFDiMM6Z9ID4GIV3Rg/hucwuPI3kB8dXTw7N
Lib13ziC802aoZbekfmuQ25rTbzPieD5qX2LvG5G0N9XU5h6+4I2VkyhvSb5CHb+kNfB+sGkJNhj
6ebzu40/Qf5cZR/8Kgqsh8fKrcynFU3SIctYTN6dZtegmUxtnT6QCqIv2xBISSg2dJYMMux0p0SN
3KsL/PGdlOy6Shb4KJ9FJls3MbL2SZ4vKn/mzYVfIg6G2YMJOffITcJ63989Kv9rOwgiWWXr5CH0
PTwI8HaF8o6raLopbv2hPo3GWHkql86gQ/ctTx2jPp+/12Wz7BhsYfWYORI7ktT1/tUPLT/mObP8
1duNPcdh13IL9Nol7iMIpvzvEuXdyxIU8KxtaPkMzToWJveVf+O/dASMGZwe/kjkTg+K4IQtC8Ky
yiJrwRxRNPTKxIVGB98m5Pew98xBLxom8LkJNztLWbLhj0AKJeq4cvz2blr/f6vpZkDvtKPPVNW8
OIkDLh48JJj9OanzJnNSJ/eyZ9/T9b+l2kgbMAE/NogStcOwVxAFMAJNLqfUJL9m4VvBVUnJnc/U
KYpSgtj9CEz63i8p1yLn/zdtQer4uJBYV6+zD96xWGA125wD/tkeokqecALYuF07JLp4OTVxUbvh
fdRMkJJXDQW1akpQucEmM/xcbfvRj3IECoSTLJbzZLFmiNgxLlPxH1DYT3qFlTiUTDw1mM4PLXbE
k7vXRGp1VBjAAIcXxGcEEXa1ICuK0gVMx23IQtJxBvE1oKnlm2WW/KApFfidCF+8R/K79KcI3PRt
frtcMpTY15lyjBdDl84y+tsSaIcHM0rbpvnERYlRtUO7zyX/lLPeX1en+nbC4JgLMFNF+FoPc4fE
Rnzg6ktAAHzAxT6jAXuRqutiMWhNDn1ZPpDpi49oJ0UwrBmhoorn3TZch3w09+aWutQVPFqGUy4O
pAU9aJ0u3s0g7BNdDsGli4F+jNeRGKVfyEXzxKuaZ6ypKkVTmx0qPeJuXAp0VeSVwA4moo6kAn0p
DddpbtXR6ndzZ6OpewKHvVxX0+861TkvvliXt/BRIXnmyb8ZvtzB7j993cxbWsJhfxvZ31yawIQH
3dDdYe+ozUn7Np4r0Bv/9N45O5+de+0AVdp53eGcv3iNSx1bROatIEQUkmTPwKvkg5wwE4uTHbXl
kzfg4/W0/SeqsuCKVGV5gkNcqJj5SvGheoXO3Eat8DQAa7aop9amiNdp8j4Hv2FAAhcrE28jRmgm
7l6FbWVdzN9MQo438sWfmdJXC4pWi7wUgvFep1CQ3qE35wV6loRNlZnhzl/c4CUoVhcNvPYTFDkm
FdA+wZiKZN84lQBxdCzKbPIKU1Q8438ZpWwZs93OTBxWNz/KvowilZWLj7flL1aCKNv542pXXPHC
EDrJmqY5D4HmaehW/YyyzgGXPQ2PaKjd/0oWseuvqTGrmzLnJtw1m7u6jHuB53p39HYx2/7VyWBO
u9WaHjImABiuGvm+KFF84oGRX3oJJ4IuKwqLOe9+bQgvfmwh45DbI8LtVgpAJ4uCdMfW3sV+JZb5
Llo98R2q4s9GDvoPh+A99hzmTHlUp7ZlW98WLOxrF2XDLT70Iw+H8R3ECamM83SxBzQYhwoXIK8p
tY+Pa9XelYSbxTiyhh/DtMIyD2dw96uKGljY4feyoX8ZDInqGZaZtJqCPUVgrhNkwTuJw7gn36rI
I8wXY2LqemDdC2hFsUDX/cUYnkDEngBIWwwO/2K7ffGL9RyJ/Sm0CI874EsLLoPswB6rzPe/dG5a
jlEQaaxGwSr9hSNYL7eo4jWlKhUHH5Tt0fhLlK6rQLrmuMc1Q4TjOYVDAHtTk4I1kvMQAsm6Y+Pn
Enctt/6S7Q2PrN1vx4E4jmSZ/Sip5kzifdLCwVOW+XGUb7+y2a9e+05jsFV9ZC6DwHkRZQLH0Jq1
v10g928T4s9rWBKlyjLffy5nrNst2S0vSMiJnqSVh7ReTDY531S3T8UO5RX6AzdVE67V1eNMOwRj
P196JAgnuPZr4u8EpWzG5ZUiJx45thrybMHdrYgbScNlMTGfOT9uZA+T6qA19coESlYHTYzrwxDQ
1cztBWyPfqIIHGPZNBogu/S5cA1sSoprS8eGiNvnEiPOL6/Xm3twq2Ig2divoR33+M9QxEOoMIvp
06bmQD/uu6OemObupJ25pgkOUblgCXM6w1uDGu+ycpWOeWTnVkwR2PMcmeA4LQxnD2Nbw6Jddyev
Y+lb2Q7FeM3pQ1bkhqWkID9DWZD/GrtbivuGJFb3zvU5Th8wME4TEW3Dsl7dJvQxWbF6o2KxWzdl
/DvoNBw66o+w4sgrOst+83KLMKqQwvYwBLlSMW6dfcUGKPbmuBcD3mw80I65gYUha/IZ5tIvpydi
RDpq18YnWHtFRXXzQJGtEYVj/uZj0Zh/DMLrYcVZX30vAK4ZyLaujkSsZ2kdXbdr+DXU9DOixvka
umgmlg4/4Av7IJ12hRZPq1f+nl3bIw6keiowKGMLy20OacqyOFAh6WwrUTLzYQx7UkYwh8yYynKs
uGqm4DoYFW2/92pGvC/Ykp+21VTHjUO2jvGAtPSbRJA3A/1rW1gWNIDbi9Zn4JErO7hrc/uh3ct3
ZSExzxUmsdYtU5/i51LnffAQiEFdF6udX3ESh+3J2/cZMUeTgzbGpbBUY0s2ld8XMdL1Qj/DNemv
xexVKQ+P88w2lDRyv8cSeRyFwgSCeO1aeNp/RIXQw7Qfz4tFabeXSsANL5R6pqMCTUxs7YHxzHAm
octgS1/r8qkkLGvsdXdyA2P/g3Zufkm3yulKHLojiefmxuvHf8z7KUiYA/VHvoFf7BrEADmfHTEM
b6Qgxz2qGu+wwsZxD6qGJZjyLLR3lIbByR0HUmI72aH8KfPrWIb/nF1FZGRGD15rGuew1YuqyP0o
lnNQWO+twXdW2NbyGGaheMa83qYaJwbmke0/fxuap96WzRPqt+2TO+sXkzbscqQ3dXjNg/y6rKT4
AsOAwZQvL2xH7oK1IP/ddIrvliwRcWe3ysRF2/1GnXU7N0lutesQm3Ju2/uPLGC8hCZiZ8eqwujs
qtmPMVB2cds2zjvFQ/E21TME/xG7yXbIrUn1aTlm9XqK9KbewoaA0NuDrcg9yxAz3Sr7P5yM5Fe1
+NlC3qVUUg0FRgA+vbbV0yba7C4c/eFj7QeRx+U2tT9BSgm+VlIkYrQj2SvJUAsefD/DExE0gZ/2
NpDx3CXtENOY9dNujdgO+K/CIl6aZkzWWXzc/FivdeePW7zWy1+jcSbPlP2qIjoD83KJtxGkStEC
BEG6svbHEC11sZBHxyI/o7bsgm24GfE5f/xGvMFaWb+KpSjOOATf9Y0qDHU/I3RX9AsHaRVgtGip
Ob76aLyRE3IY9Q9js/XbTzGOpLNIsBXMgdvfxGN675OKsGO6eDJRZefhf8FmMsLcfGLnDvsk7Ak2
mTRHtQj0jkHbCFKQeScnYdF9+SVhM72trAfChMPmgjnb+jHUt94B/5b5TVhRQzVOEfGYkVe/nJir
tU3arEb+LHJL01ZQ3f0RofKSsjH1l6Mx05NMb36tchGvrt3fItwt4vxQFkY1gYzIt3GIdctJWDZA
gL1sQ8KbSyJn+8klENwlRS/Pd2LLgtaBOT6HCOL7creSvrWAeUR7HlB88nVgpdKTAZ+xaSfCEsnV
j5sCvD8GEGc7enJ3naRaFvC2ZvanX3OoKPUR//oXrQP/3csrgqPyefAX3tjhPKbQMSTXU21tmyw7
eJwA06Q6coPUK0zcpnlwCM20DigLWnIuoS39nV0qyrjox+45g0i+sRVybEHxZNtl0uzGLMlq7+Jf
oXmpJ9D+fAwnKJxWnMVz81ZGoqYI7YUzA4IgZS3x8RSplLcH2JGA5NuXdSuRvDh4AQlj7RcYhegE
7W8rFGDydz1B6ZA6GPwDCN+cgN+qFhhGt6XU1HfUX8kweN2JkUJ1C6IsfZHWQdB/Z+yJ1yRbmpow
WOZND3hcwmtpDG1wWQa81UNAJM+Ru1d2gpjXfrYwYhLfSIA5oU3DSCtBLbdN12hT4P4JE2QnxqyX
rtApaU7ybPHIoKloUXCd7W48Ym4if8+b9w8GNguhf6uecHa6MzlwmdyWY1ChXeTnJKF4HOD7qdsE
F5iQ6JzKfYwCssvWPWf1gVfsFolQs03E9DbHHoxlyHHT4N4g7ka1d7igYZftZCfMVI+2vHbwJiPm
UMH8Q3FUWQxiNho8j1ftRsBpUFfUoHVg3Q+1Cco0GKe+P4x5N77VtSZ61d8sJlUBmYL/LTdc4GH2
ChoPRn8LE223LmQSdX7/JErBoYkUnjeS70YkqgwF04qkQh1CeHK0NH8KF2QJs7SlWeJtmeW32yv5
MUQe+ZK6jwiNtGu5BNAyulnGrivMgwehwEZo5w4AVQPSsImbVP/xJ/rfXe5QamaLVr+lM4Xf2t32
W+xOux1di0DbuAT5Zk4mqnIaP6N9D/gpC0E8qM7Qp52/MrPF1joRMgB8rjgCAnE/gFhh4e99S8iz
P7QjNSL+IBAiwmPuUInZXOU02NNtCMZ0I+t3taRMtpYnZcwWxlYYbeSzR5YVJgP6E+bVstkwUVMV
8di34DhOqAmj4a6dB0W0PLXij5x4GvcOYXe9H9SStyeJvQA0yzYgGrQ7qwqeA1m6Y2wx3KpTzIPs
pMB+3AIjnNwXh9r1zZ8gKORPPnP0WoQG6OLguMqPtyIax0s7L3wsHC2GgzPoK++evKYKCGE1eR9i
yOnqJ9rYD1CEFqbnzHcI9t1m/zUsHcMfpZBWYBK1JwMrryTdpY6c+VchRnyWfjS13n8mREDxGFrg
Nx6oet3hUCJB/Nrs2S4IIFgQI67I87zr1DMih34iu3A7uIy+vIR8a6GJ8hice5ggLv8KgOUwo3YA
7t9UqZYOYwF0R5M1nW2BPTyryofZdh/hrWs4M7FrrF1KghNhTYdFskYk/7ria/Vj/Iudpc5dJ2sM
SQu4JhOvFX6F55DDGJU1Y3e66b6iZXcEKtCkZqlDrk20V5hpZxLK8LdS2yetIFkj6UfhYpHvdNO8
Y9+HBNHdUp9OqhqWIJ6jrc4SVobajn3mej05byJckqoaZipuXtZ88gkCA4iWugguGteCHS/VLTyv
ZltcZvcN1qIhzYZabR9LP9g7WZRVWDJ5pNVM8CEzoXastcxTxrgLAK0x68co8bzFPyF2c7v3yStX
6g/cVAW3f9k6cCpElxMzsuY7LlOIBenQ2333l3Nkdu/hOXefi60G4kjCgj7NrBZLF0bCCBhcrWjv
t56qFkm8DpEdjpWr3pkdjNljNYcNxW5nIpJUXUEApqTvIfi8Yo/PmGBRw1flaeAmAYmTMu23xo1+
Q+JikVoNtqa+kl5LEBKfKL/4bTm/lyXjkRifvocYm2OxSCyrnKA0GbO7l6XJPPhlwa3betrzm0Qu
VFk4MbuS3psre/zlhGJsX9MixUuP57U7LIUBiJbV2fbuoAr27rEaotfN7I30aa9kcMNLLQ8ulnS3
IC2WJVgQkiPHfJ6rTr0w98Vse8g3bVlH0WcOgWEqVBH3FApxMlm6yEF7iGTmI8N6p66eXLz52WOm
UJ38ILMgVlkegRt965u/oJxQyHIrCZ+RGQqB1FNl8F2us83EmdlGBPQr5Lg44KD1vWThPhEXtMAD
cDo/qMj71RUl9mr7bMPFVEJ569w2BJWi3KKN60xtzbnnkZxIgm369gx3d/um7C48zhhyen4U6+Zu
f4pW9YQN9bbYEnQdbZdWoHtcqDHgB2BgEu9WfzqwtQ2FjiHmjFmmdQu8vvFB4E6sbcz+PH8N9xvb
BnccfBBw6uOIK3vo8y/0Rbdwvc7Vr0gLcVt4JrBfdw/iINEjAKx2BTvi1LU+OIOJADt9cvYmIG0x
QL6e2B3sigORZmVx569TlRDGHg332ib29qDF7j43Xu+9EsMZVLEtmvkzUoiY7nc2Z8XBkK363LvL
yvkLkfrVoxn+K528Kx9MvqtvV4CUPOAY6K0X4hz9F9Ikbf6xSUfRb+Mi335mnLq+msgZ/Esf+sN+
H0FoVOfF0ENeZyv3qmM9iS46uW4wdxwr9b4SBATAWD4NVVG/bipY7KN2jYAW4+AEim4jIZppUFlR
mc2fzMjowPcx38PTNjIggfZGPN9jls+KVp47bYllvRPnmre79GLN3f2062x8pA7Ddg+fi3BnUqND
vIvC+Ot1JujJitEKyd+FW1g9nSutbGpjfxeHkFaWZ3Ios3+ULvN9A4CxhyRVK3MJxzFfjpvy8lc1
RJzMUSuoH62pYUo+WF6X6J3qNG0HVf0cdElODbDQkSJlFoTnbG1eM82xoU9WaNs+e7VpE6ucmG3w
JrYsusTzM6u9551aOY90xWxFBKPaiQfddo9y2ppvQXZ7noRTJGtuS6KcjqMjliaBHdzYd5Up6/qI
CaQh8hDvf68O/HiznIHX8qv6vSJe+Oq2JUV/OS3BhjULg3S8dQMkxqAohu61ne16TUfIiOw/TObO
WLLXcY8Hp1UfTRveQq8bltRkVAf2co9rjjY7YALhQQWUVU1bPuuaTDpZ/om2vbeTEW7fn6aZqV0E
cSd5CmJNcP8hO25qHrqsWB8V1AhqYDgD4n7CWQUWxtv9L7kLSdgQ/7tMMjHOEyGi8xYc4HUMgszH
oLlMhp1p4gp3+89r9vKeRV7FDk1X4r6BVMQjv27DbygLAQ30wtyasnDNf9p46tvHKGdvzX6gMicu
CdubjJvWT20mh0ESWXo/F1Pts8rPOmkgIe6Rlc5NE6jryAehunY9XR4ohkfcMjLv8wsJ2W5z2skd
KgFYAYM5bSBwADHuNlP/VfR00JozETsQZJ4/ztqwAWb3wZidaQ9zFFacFka9ud5/dphAxCUqvXC9
eBkN6N0eBlSHCvj3mMJvmMNUh7iXL7f9N6LPkvGo53dM+zYRwLoQGlBemk9ke6TSW7V9WOCTnNd6
bb+EdlAz5sg5yXUa8hLOS9+T9AFyrTuvUlEhjwSRXjP6ZwKkzcwVW0ApdWeCMDxGqZIi+9ixuyWu
nNFrABXNM1Vak6BpxbzkxEc2ZDeDR9Xu6tKw6v7PRGqrUiz+HQMtPd3qL6YwTYoNw7cfCg7H/oiC
FT7fyNn74vhrG4J5o3JLLDO0PpwEN48ORcTLnNO/d9fneum5I4EjDPZvTeX2NuKYfnEFAZ1nf5fk
xGu8NBYn1i67ZCqrZnoZqXDYm2WN9bUbv/XOUOXlXd0Ozi+KkkomNcd6k+DNzH56nWOqhO/61pDu
FS+HW6LAHE9u5pk0rByTnedtgW1SY3Jp7pjSdwwLQ5xX+lxxv70HbN+JldYMkVJEHYDkJlFD3Whq
O69eCwycrPhJv1oBJ/lyH4/76sv6L9bVbPohMc1cMwLF++uM11bFgGok/ZzlFNsNwSr/tNVmT8mt
mMzuht5jhTBQQy5HB6Kp/yrLMXqaCWNb09rx9AtgOAPIpa97aA51DzGLfWPvsrn217fKFmY95WKS
8jJaXpidLdSBES7IlV+R8sZAjXWhTh3BOrg47O197Z+qAUzMcVd08o9LTeZqAq0ZagMLErckeBYE
Zzpbm83IFeF/B3ikRcBfZ2NwCuZMD3/6oSJ1JW5aJhLgtBjofCAJ0H+2fAnmmO+RhX0ZdDciyzwQ
y5eV3j88D+XbztUjFqcyjuVdpc8zm0LqDB5NrQCiRL7pmOjiDEEsI7NmPhXEO7h3JNUFPqljkglQ
6poVWwIFdvDfEHpVyb4UgCD4rAa8k6zL7q8iqrQ7tyh+otjU/VyeFk7S4eLUFmPxnfxdedlV7ok/
mZ1r+2rlcpaGiV1G3oXXAyH9FewOQ+IrAuNtS7wec8GvIG+oREgNVttUH8hz0168Bg39l+0UzXqf
76aJDgu80PkIoBLMbb91znLZKtq8NJj3fD37nGlLg9DGc74yUBzQnHK36g8SHHR5R07wSth1GJb/
3HplQYpBUCJV3vzRv18p1j4rudZjUgyAlg/1MMIwmYn2k69AMtf6YAgoJfFl86uvBYmEyzqCPuwC
ZNb5mkbL/WTByQxmBJY3nFGpzMTvbsM4A8/cAz8upFwv4zY688vqLNtvVn95ncI4JCVSL8vACF/k
3reuKst65JGqf+ptET9z6a9/gqkggJzei7IWbNd/iJlg761uAAZqlbL5sQCiuLGsh5X9ACScPAkw
DRroXazODoVjb9/+WN4otuRH6rtSSWdN2429+ENJv84PdjVsBTYb3h/KMOYNHYzT5sqok8IJuQ0U
Gx7m5gMjG//VoutDej2GZK1CbtpyVhHjMIu4gk9fpDZfuH81gVWGR9CnNuGMbohPBK0YDEloL8xG
3a2AFYIgWquYAHrN+2+odvIKnLmcsf1Lr057pv7kcbkOEiWMN1Mcrq4qY99y3JaaOuA1jGFTBWeh
FOnGtGAcdEU+bNEV1bZvJ6oCV3+maM4+GDRoqoIKyGjqIyj89CXuds2rhVj6CdNcCj9SQ19B1vVX
N/ZAmhkm3+FgwSMeIQqvcjDnmvjb/V7nXUXwdzhRTlgEk7IkNQsGGeOQuMS2PiDyea8zj4n92nf3
ihH7LUB88V4iC69+3HhRe8/VL6PYyhXndgWp8LOoNNzKzqamBWPb7n1cFxG8q4BptRW3BePBuFio
wuO9Hhp+a6o5Rlg71+m+9Gzq3tYpMqT4M//0XQ6mlUjxlmVmXDtz/+RPYvfjAP1hyB9f1XZil4Ae
gTFXQxBbY8g+HyPdcF2xAQ2JCOv8HxSeraGcnqv3QBuq/LHWxJbqkq1mXI6l8wDMzvpHTNrwE20E
+MnMq+pv20Mtc5yGkEHdukkumZbGPOIaj5wnJLjMofm1MDMBWasOKAJ0cXCk5T9vCxVgQmz2+mdm
HOHEIZXTy9SvtTx0QUiEs+lcp8c11UgAdTQ8z4tq/ceJ3eUvbmN0MWu5kgJtqW1Q5KbnNFmMstw3
zxs7mzUxtySv9mmlxfa79tmNpo3BVR3eSpoa0eBh8MXykdH9d9CzeqVv+1L9lEN+3dCHVdxgDpa+
Y+F75h+8C/kjcCv39yBr1jWllVH8RMxYn6p9671UqfYvE83grlpn/JxLHsq/q++pr4AZaHuQ3eRd
s1kQeNHXtfMitqDOn9p+sBgdzjxcScnA7R/QgsolBXcvaDlV4/+ToI2t5zFyJ/tQ2aihzl6Z+d8h
vGxi2CFDH8F+9Iig9qWjDDNO8eBvBYN6zauBGNjGsrPLXGCY++Nrlwx6kZUY+lVfYcouO83mvKky
vR7sAbbjj2G3RPC0AdDkZzS/4yGTGXyIBl+cc2VxEuyJXWmY1T0ufZ5VD049dXwvH8JKegKFCtC7
A6piioxxn4pvh0d4ITw5gDWCSmbqj+i6QutuJOWTa6wLxjNkbC9hAllMnEva7yXuGyZbDxKSGp6C
tohipwyca16S7XQ0Ue48d40tviO7miJeqIb0YEfp7gF7P3QnBfvmWzZV9RMaN693yI76k+NsRk1h
YWE4TPiPb0HEu90iN5jK8Q0Yq9fBqZLK/Ry9uhyu+20C/V0UpSj+DeFQVGnT5BWZ4163VXHdRMV/
rEeJDZ7XmayOTlEBH4J6QXyVR5shP9cMU9LMa/kwIH4qkZmKrvjpzH5OdaBzuZ+CPlfOP9QFy5wW
zOf2d/5EQ3aB2Ghzsi5g6slihLiJfW2R5XRd2KBXgV11BDUcysSq68mQmtpo4535HMwCFyKpAelG
wcbkXwOsvTRS0WqAXh4HF0xixH8O2iNpOLXGnAeC+R77N7Y2+RxLwewemULmv+Pcb8inFt4QXq22
ZhUrhopKErpbdHCcUe5xY5sGwqhCxvgWskZ82PJpJF+VSOc8rjUvwrMe6pAKahmd46RU1CXkVSFJ
qJj0dI/g1OopyWQBl8rzAUQeyj7Lya/GhthcQO0Uw3s+OhkaqNUwnu6Z+DJJA9qlqPf+DHWw7+cl
UmL8tQjYp08UONiwSg6y5l+5g9W9NKPN72WR95wXD6YuOhagdtVtfUZj1oV7ItWiWG9Wde+kIS17
eG2g9KszOr2uvVpQ4pmkSE2+M6AcayLzYp5QDVIphXhpel9YACyjUCh4ddR9N5tv3irOSKJyee0d
WdOVXrxMqykkRYTVdmgsfK7Yv9wbyukCiE1rgMHbCoZQjVv7j1JkGY/jJsvfA5kf1XEGRD+eN+4P
eM8oRZKJDRQDe2sb/4q9xcluc02CdEWr09xHxHk1COLWleG/720QoLp1XD8KULLzg2mdbj4j94Nf
1q57htB0KzrhnEwl5EdJoPq35iZu4gEC5pZAPKtvO8mFbE6umWbFIzgOR95V1lC/9DyJ0EUR1a7J
tuP1v5JwW75z927jKWPH8lUTTZ7dY89dkGYa3TL5ren37rLSh1PHZ/RDnigUNXEJIJ8gF48m82+z
qdBLoD4FYZyjf84FZ4hg5281PcdHsZDx/ugBbSxparPpHR0buje3rNiGAzEo1Bl4X8hUllhwNGRh
2cz/yZm8BZRLe+8jpcjh2zLnaJcL5Fk/VDHGtkCfd6e/pYlv5GQHPxClNEwlds/9lzH2LVNRep5g
vNPyBTPJUEWa5a1GBCvaSqIgrRF19Qlg7X4/esESfOSFi0KhbNACHIcKcB1zaL9fLrKOWnP0VRd0
x4lJSXOBKl6258zj4yR9U9Wc9VZVrom9GR0xn5tLwp/UZiKdRtJY8ymY8AvcoyrsRZzvE4z9xjct
+iBnZnM5qXGNTlmEuuo3+BAKGNofM54d04j8Hm126yQ5VOyexUlBdDHrJaKTETs2lEaGgeehyenT
n2Yx+S6O8V4IdF7TqB88RyKL5FKL8n5zVqzKAwpZ3jLYPNdXnobKfhPOdttPwlkU1Bokr2ZO3/tX
28oE8V7jPmBDDTnLQNaOs33wOdAtEr9CjFDA1kMevYJ5VuO2H5k/quG+ozllfgMbtfrRO5kpaORc
RkCd01vNu9Y7Y3rk70r/tUqWhM9Vn3X6F/gMZV8jpzR4F6N+A6Zpd/C0P4uRmCfiqnLm4TblWMOU
2lk9IpbV2rbtD7129vw+KzdwWtwfHiziA2roaU9tIkL1b5+pIjUeO3ty2TDF1iSh7NQ43P3/o+7M
elvJsuz8Vwp+dqRjHh784Jg4U6REUZReAhpjnuf49f6YldU5oMvVbaABGyhcIEv3itPhOfvs/a21
RkwRbiPQiU4NWJVB62J4XvUX1r84YMEpZlY3YBY4yflRRbyQ4bSewQMJUT+HMEN0HwfXioWm2STY
n4bbOTOAOeaqamhRMMY3v8oYe+wXQjhEYUOavDCcl66ZoVfqII2kh2UkwgpApF3617JLJflQibFJ
Gv0SG1hiQ4sDyd8jTRgBZ2mydPOOwO4wTXdqGbYEHQ1Whh8RYLwQNC6hIlG6qlTSFo402Zpyz8RS
i190A4pmF5dROz+MbQmwV+RWad1PPnmfLyKu9i0OyJsYu8Da1umRsrdbSUKOHUaDa+6/zA1jijhA
kAZWEVEDsKAtcin6zLoKbBDXwppeG61f7PdV7sDdwA92PbHXhmCsqQxDA4BJgwwIVh2utuq0CkaK
1erJSmI6T5ukTwqtWDMHkfPm3RTjkm9kmgEtzjuzklAGLNrQ9OdBFHuZVpKWY49wHWi1KEyI8jSp
5s+8Lbn8+WxtuthtMUmJatMfp44u2STAcIeuIi341ftYfkUS1EM8t5k35LMOB1pVgUUVG9UaOADZ
5GHN7ikzDuQwDhucy7MkyufWLScidOZV1A2hFXujqLT6YxAEUdLYTDhNpd3Ah2nTKVNkkaNi4LlZ
T4oeB+O6Ya5Cko9Rh7RFcZZusG9vzVVXKsm1TnumwLEYiudRWfKfGFEMOXHJqH1zrA0qFWltvhik
M7xZMLq9XUEVX5LetFaTKC3NOpeF9E1qau2FoCHrRpBwNKCHybGX8Bv8SOiIdWRAewiJJEQscYnj
fcFw++/i0v+UWP8/psR/qL6Lp675/u4O79VfNft/kvATe/3b47vv3fuf/uNur9nN5/67mR+/2z77
u9w//C7vf/M/+sPf5POXufr+n//tswSiuf+2MC7/rKy/C83+uRz/8P75Xv7t6X8hT/z+XY1//ze/
pYVLCpngLAF0XaRhGXe51W9p4fwEVxCD6EKRtFhN4d/8lhYuy7+g5oOsxtQS/2tZlf9Njc+PJFFH
uyVhKKITlif/Z9T40l1X9rtWS+BRDNW4z2v/rNEiq96saqsedsageoF1TEvleVIOY3gfSZ0CYjbG
4KUf/HHXFfvUUv6FavdXEeS/97h/0bmxdbQdGsxhh0XjglBLehLH8liEz1JkruFWnQeta96DrHL1
UHdbA+f5couOpVcf626d8RdAkRx9+cZsmsPrHg5D811/GNGCjaq5NiycalMsyh1msbu7EGKePv7w
+Z7+/iT/KO/HE+GfvGl8Kn8UthlWP+RJSHJJGm8m8TvRPrL4TVI8dc6cpHjV4F2rz0L6Mabj8Cnp
6yh0l/EkJjNm6UdrPo1W4xjZUXiNP/ivnIF8uVDN7CV5f+iEbZ0/Gelzag12k/syM9IAcypiM8Bh
t+Vb/ZPSwU3oxG/KdbsuDsVbG9l0C3wYGb9ZwSV7mlu5rdd7k7u4jMX2ix3boQcF78aO4CRu6hUP
gv1h2LndeiRkRPtkL8/Udl4ZvGB25hiyL2cXeTxO0TqpN4H0qlfHLHsupi1Fh6E8p/XC/N8bsxf8
3wHrGdoXNOLoR/fMWh9ojpuhPzCWybZvrW6XW/o1WvxQMY58FBSH6k2fberUrkRGwoQ0OHYzcPCE
EbldK+d0fmByXwZMa9ZZc+EBCcTsGjojLblFgZ9QOtIP4VzurnVBxvda0dZStdajtaSup+FU9w9m
CHu9EoeNMnyRXeDKgt0P6xwhwl2LQO9xfozGgIGAQwxYvqbDWn2Qyv3MYFxLH6PlgBoQoMPO8R20
XO2RRhhIZeVRenRXQT3oLbaQs6s2D1aDD68vbcvIlejB1YBy8euo67Y82sO7+il+EsQCn11QaJEm
gOUPcDYQfcmQ0ZEeJwOVFXwbjOpnGTyYH/h+vxarlje21TfCtB6f4tskd35tSS+jjgV4eGyD1dxe
ELk4XIuBvGs3AMtJ+diFQ9wzbYU7COgAvmPVTSu+WWWay/sUeZPBVBeJAS7qbpStFWMHJaZcF/6w
PDnxc5REm3i+9tRRSkpOwLazru3g177sD167Ubxsmz1ba3mr+Zav+aJnuXcUUV2lH0X8LyTG0l2D
+u9tD3/R+E66lEcduWc74Sk7Bdt6K62jB+WoHZRtcZyOxbY4SKf8XxhCSX+20Ph9E/yL4p7UGaT+
KY9W7PtrfWxO01P5xuR0pXnJsTnmr/NT4TUH81j+Xz6icRfP/0EaiwSO6TL9/p30IG5x/Loum3oV
PaQHfW8+aNvsKO71tfxiHpV/oRQHPfmzMP/fXqXxF732gCYJ936t3xELWDuM8mjqQ7VJL9Yx3k4b
fZtdJtjXwc6v81ba1GvdW/x0zVdg2/j9lv/Pb1xl026LvfUJpLxvTt1D5ce74hQzFiYqoF1HAU5U
9KNtAd4E3titob1GX6bpJHthilaP/HWmIM6dC8g9hJxRYJeZLR/I4ek/JEQQ53hyM0a2dDZmlyy0
xJM85lkGlz5nfyz9M2DBxD17RgDraLdqL5Pkx3du3w1nsaHv4VfdSkNw1W7DozXugnZPZcVENavt
+WcuXIGXfWXMNf9MOak/tNVs/UeH9IvsfJWfxQMRpeSrmO/1Y320dpd2RUMG5oyJBJPP9NCtyalB
c9bfcOOfT+gKAj8XSK6hUbQNNzzAAyMdyba8BJ2iW2krdDewZSpbSeYa3boPiVZa1fm2r78tdt8S
y2ckxZ+Y7nfKVS5+QnHTGGszWU+f8mHcCa+p4GggFNCpqxx8IVz3yDC/xQ8UU5v4p0V/l7nNZ/ix
vKIFGhJ3Euz8YzqJ52sME1fupvQNE7swdxsF5gxi10WM0gR2QNYwQs8AaNVjQbQ/BijsZ3xkgrAO
1/VVqc+Wej9HFIcPyVq3u3nHJHR80R/FR/GcbaKLcuu91OYKyFcyO5Tr3mn4EnXuF7Cnq/vMIx+s
E+++NLI9+kQjh7j4sVZkMq7I+7C7jeJmfroq1tqh8RZbdRZfPo9MpRzTQ0PspUdKVdGp9vAMvvUg
/kSnXegmduPELh+UPfLwiWNsslvtMT+86uRXAqe6pF6o3njg0NsYXuAzw9/yEqsN9x76mCx+l5Mb
JvdlfiCR9K1NV511DqG/52vL9yC8FAzNy4xgId2Ziw/x29rVj9Vr88oiqPlf6qnJqlncpl0zOFA9
lqfmNbmtOeGP6GOIED9nOx3EyBw23Aq7C9p0J3pgfGGXz0BZ/FN+gV44Pd3cR3F+MjNfOYsnc+Qo
fdRMX3kUN8K5eU+O2rm+Sef5gd6exw7tKXvZqx1AT7ezE3exL7oDEfco3Axf29/fTMGJnGD71m0s
/jbdDKdwCz/y0wOyd/sVlM3vL7rfrSJvXtf+6+R8Tp7pz/v0K2k5urr3+JQdg6f+NpDOwEti6HtK
t/Tt77+Nud922XJmuXT6MN5/T5VVF7sJ6uYayNBpR0/6gNcmetwjgVfVd7hC2NVM7qjC19NRiUmW
uWY+su4mzmB6WyrVnG3Zll/4w45vm/rFdaq8iXd6emfqo0Ol6EiAueTp6n77VB10OnzzisFI7gqr
cs83cVnlzJa8KoI936M1PobnWLiWbyhj9gMzMgQWuTv+jAj7CZFm4cvoKFd4hWPKGCv+ZPncK7XW
Sd+YDqzVreInVEv6RnqRXpS16nUbVbNNkoo2kt8fl01/rI90Uq7CbjmN5+FT1mwaf22E4N3lG9nO
dsRKrh2BlvYnhG5+JjiRsRDjiyJa3SOasg2p92haY7h7a2+mu762x95tp7OmrJt2t3QnGUmzCM/S
2kBGRubKC3z2cZq9ZTVJ3jhtq5fiKd2Fu27fptuyumIBVxkfVvqmCy/GLVzS11Y01nVnBzF6AhSe
7SWcf6D0i8RLnslQmrpLW2QfjLK8Dm0xIWyM63ge6+RAHjgFKvE7uukxsUQ6zaw1+hJuwwWi+mXI
qtwp6/oNf8q9Yfl6JdOale+0LB98atff+bf5ajzKJ/E0P+TLRJYggR528Nm9h6/d43AObzVUxNit
RH3w5KkGS4TyoCaUvb6u11nnBPFbmK20QrJHyvzK7iJiAJ/VhuRmIAhCCEu7eaRx6HRP5nf3xbSA
qjluHDIO+mP3oL7qTxQ5/XxTiWFDjEzrVkbfCRnGHgGcM7/H8cMwrMJhY8mI7H31sfwC2hyKtU5P
4Mm8isNH2n7N0ka45dfupp5FVtygkcWGZjXb0hG1PhimKYZd8v7c5dm5U0WoTK9L7weFH+N3WPMe
Un3SxjaGaV9RCtPEOVjtl2JhdcCY3a1G+v+0cTfRM8SjV9aq3b2ornEAbl9mO2bbZpPVHLJUdesx
l/wi2JHnVEt+Rd9PWHEzanZUz2TJ63sgkYf6KfARxEVXhMN9Q/6Sk5PaNDvV7A45/XBKPWgjFAnO
RCEKqU9cSeojihiJHh6el5wVFjviK6cbLy3Yq651Dj7Dr6i1cbKI8NA4zfmrTjBP1JMR5AjzZiDp
Y6bGdakyRxJDFAe6XGGDUOz8O+eS0a406XGxzhoR8y0T4/tnmvxAH6Yned+dUc7K1Tpq3hVllwX7
XP2wVBszS13bEOjK3U5qnuOG3iGYtDWu087JkAfTwp3wBHA1aafQ5Mw+JKY3+j3VGBVeoTtRes2n
FuwdnfyFY9OggCHn9GG+sjeejc5u+dYLO6U/av0xPate/Ji+aw/VTSnfMoBdu3yJn8oH5TlYQlvq
rnRbcbp2p0fp7cSe5HVO9Ry7Ze0xG6QlmBECw9dsXaRexekUOrSu6RpBpphj55ARGBQjOuwX2l27
UJKggQZH3MyceitauicApWxezx9heZafNIZCcBuMtIGFL/0TGnMdU4oX6SBe6hNNumpxyDXl1jEh
FZrt6Tx+KjPbBE4l0PrekG2W2MFn1GdBpp+lp+0TxgwvxsX021OGtQCuuG7ANaGz06fuzQxoQPmC
vLKqnaFemmoHYope3yCpzE3bdbLOXZIAmVc8A3+Zu/6pOGffAjTxgRXOTOWuWkV6/hH/JHswCtRc
SHqfo336EhwZqgqKPWmOFK4tQNCv+sWiJmOmWN0LG1lG9wv3jsMCQbJ244uPfMwmVIjo/PeY0Kqk
DNJhFwfJSGLybIu9stbN5CzcEGU9R/DXxLogBHKtHnr0mLQHktXtYNtwXWrbqzy5KOorfxQGuqoF
6n1XFMdVxSBCFV6l+r3PCFnq80MGKcV12pJukK/eVP782jP4L2iPHd8ZW/yU/180xnCe+kPr5N56
+60HdnzPaak9tAwSh79tur7pq7/9j795XdkQZfa3TYu+7evP/bJff9VvHTPV/MW0ZEPCZf5u3KX9
3jHDwNKkDYHtoCaTUKBwlfmtY6Zqv2ja3QaLLIu755DO7ecf/pXqLypGRAb+/hb2dzgl/mc6Zvqv
6RC/3035NRo9Ox4L40OAS/mvnoDVnBdNCWv33GjSVzFkRD+KTes0CVG/5WJhMKEnP1GNfiY1jSNM
5cKOnO9hjAkAlYYDzi3q14i6v7Djxcoc/NDOYyDX57bN6mM+m9PmLtx6xGgLhaiSaWhycu0BmaSF
Z0e+bwfKHyObWndhHuGFljXv+iX4xHLoDGMUQYHXtzxiJkl8K2eJGHKMYRswCYFpW2b1lM/hpk3M
VyQa54opyVrW28obCwaKucFUQcuVc5glH4js34IcmxTUBIjMR/PSkBNmSxIODFrWQbBni8iXf6GG
myFp0+Uq1+GzHOVvJTJaED5zI+fCOwDnRu2znz6AfUhEEraX0JcFpdkoZUf7XG5f5oYOkYxG6JbX
6UcskbLAsLwSrHszngefkLhC72zF3iBou0CTgORuFyHZdQW8AVFqNCL0jKk5MVmkK7EbKr+PeHYY
Gk2gcuIVCT7G0jlngQ4mKQmxjhyEN6sush8mX6LbWeJVzBuURkQKOdIswROF/IGi+MsQWgJaRF63
WMfVQyAjyAmMETmQVpzaZcKbAmASpr6MvkIFOdNElPZaRcfyNlZacEMZEPk9lgKwoFl0ooJS6QKh
CZQqjpXpLs/rq9ZpcbHa4hXaEA5F+AdiRHBM3WLDRn9nGwxXP3StlG59xQqIjRDBGrGkPg4zravj
dCCgQbIMYSuNvGg8hEFPyuinEKKfWAl/4mqUEZYXe/I8TRcxNzyBoVL3N32wESeiJOJBmBiZAHt3
zOvX4Vg9GmRm2m2FQH5eGjIQm8Ri1ar1dp54+XwX4O+G4YBcmbqXeE0XApAyR56vgxkBNZbC3c95
YFLWzenWxMbeL9pYIS+U2hbq9S0Ig3a1iOM1ECgnDIz/OdKNM+yDRtSfpnDJ149CO2jHuFLrT0xH
arxyIGTCCsEVaUgemUbntEy+xmS6JjXPO63K5VCNwvSc92hhuo5VFBLhR4RicdH1gSozE+L7fJ1S
L8aHqqHxGNdUC9PIp6gqXUuAJjd9PIIuQZ18YL4Ac86nXya8BykJk8xTec+LilYgG9hZkABYarOj
rqmj3ZhWJ3EcDoOe7ZEFle6yFBgqJXyTjNLQ6Eyz2NuO1alNNAlkkJakZOlqEutRIJNnT+7tBnKf
xQ0RVStGfF4S/SjzaaKAq26IuDktB6ZzSqmty658Egs+vmmhS9wuVyJ/acmK8jXoWCfzWJDlm2N/
EdPKB4rC0wiL+xVp7yw7lY5ghQjflmKTvqKYGp5piMGl6thfkjrnMk3mNkNiL1Z57Q10Qmhm+6Xi
+RqzdWnl6lQOrCc0yeRp8prEkUcnl6niQiguaynsRteQO4beWvIjVP2BALjWZTIIvjChjCCTXaDF
i0Q71+FFft3/UGVxgSSw3ptxv3QakVWUBctV0CHQREh3T+NDcvQ6qhxJ4jOus4m7OEFRjp7FH61M
uS6gi5RNvXwocu6Z5mJMrhjT3yF2FMhfEGkF1IhHc4FPpGwkLj3hkMqVbUI9oAXj5zDsVFKdWdi5
xeZh1M2tkJobym3KyZ4tf7a4zk1z8YTBxJ2fBF5O7x9krum+Jk6yJ8QEGLOnXlOd1VO05iXAF9EW
eTLccJtbH3FSVMG7qkc/OZqbTZmBqxnV0KFb43cXCuZ44qJtht7AMw0GoOnF1E2X9GMeMtFtyxy4
K7zfQBj/+9GIDrkblVURkQoZJz9yG/8aTSdtrWE81BI12xjegchCix3QfWjSdA+5ONgce0erHQ8K
6bIe8uXMMdXkrVCbW9Pn8rYzuZ+hELlWrY4McGAhypqJIGrsawStzKkav7Aw1YeCFrhuYMLRHKw+
Za2JM1Ggg0yW0UBbs1LOw3jn28LqycqLt1pInpM66NkLWAsp1lyu0fPREjd+7x3ddSdLqhK5rR+l
MMzW2VJ0TxDEhidDUjmywGcpcxxMfXvL6jHdjlLyVUkZHaQe4fzYo9oadYYpKFLpbcnq5Fkkd10k
rHIdZEUg5ovK6DW1VlomYBZgWl44FECGbcVnG+gX/GFI1snIghoF1kvbRT/LUCCAKk8T6ZoTT8uZ
Q/5yosUf4cw/DeViD96EDbx+BPerV4k8GGvMQAdbUflA4T5uOdZWDlA625MpfAMM4lgWYiBhZW+s
g1sxsaiZ3F2s3PoMhOhLNI3Jk+WF3TseRRt1cfAYTMUpS+drmFW3oJ3h8aakOShFPcBCMR63dOGb
k4bclDL+EUSBQUJeUHvn+RuUx5YA0cwZo/BLCO9vfamzA1XYKMR4VNvj1N6m8R46F/IcJd5mRvjW
RiBudCrHYJuasELllFOJpyFHqRTudDESLiOErteoDU9BS0kZDX/mKfQxGPkiYpytpoz6tYB4cz1X
AdpgxoG2OXLWjTGiCQIfiFMUF7pcmsEFFPWEzYEVsVpG1cU9izdJSH6smG9bI/DZSSNnIAGkPMMe
0k8R4Oj4OoNTXnoIGLvvLROA4P6G6GzOfcLal6qYrnQOxzWyGxSzadLpQxszNvd3MBpKd+juDpSy
iFmJo2rBfGgGSb1K9wg+HL0AQceK4A+1jD+gp1u3E7ITEh2VmwUwpcJLtxIL70phuqYxrR0t5fGr
QmY7SoMLFP4ZdhxBytJUHg4FMYC+oawaNA7HsJNa2NcoeoA9mrb3nZLm8nSNCzN4bwadF5O1KJzq
G0AmRmXpWKxQ7aSeSG3lmAVFTQVT5cpxbaGVKkW3bNlnAzHgFkYh6MlZtm9z6b2ckZAkQ/mWQyr6
1M2rbuxkbyjCO/TM8mO7SlN2f1EwQg+aD3AuKNDVgNwfRHRK/lw3sheh4VwJCjtkMvCHXLE0DcIp
7ERl7xaGZjiOd6+UQRPPYoL9cyhL+9jgW9PxZuqk7tAFrU4Dbj8cWBl9C51LL1QthwGzX8hx3m5R
iT+anG0nyzl4p04T7HK+e0t1bGeIsrg6G9HTIMi9Pzcs1BQCxJHv54uuhF9llb6FozU7w73Exjlc
P+A1gfZMt1IX/BneZ8rR4wbmBbEX5TT2dPa0SJuwqSD3h9XyETQyvTxlFj5CkcNMJb3XxkubVPFA
nTa/bobxXZgVBvKW+KKfrkDKkpTq7FD0XNH/detxktuVFSgpIp+UYxe2zB86VrCsSvMuLDjf7htL
OPL511PIwHg2LktLvQx2UnOpR0Eay1OJFp2TKEkm3sZUV7Yiwaar/6qr6j/lPf6fpDggHP4PFEeJ
42EWv//5Uso/+QfEYf0CIwYvL/Ml/juq8XeIg7AFQ1W4cCqyJINr6DABv11JNUgNlRunIencR00D
G9x/3EilXzRTBOsH/+A6qWHA/WtcBfzKb/wB6AthFr//9594BPLh/jQuRRWvkGSj3BP7NJ7Fr3fp
P44VA74J2HYY+SFSI+hhQ8XLzUHYguqzFlOO9RZ/wVhxSRXNx/46kccHIoCyvqR1aMpC9ZygoBS/
9YiA+QdYSyywen0eP+Rayo331CKpeZ0muaq/U/2Okl1iYwvDC8C2bOFFKy42CSI6ED61cVtEstSn
XRasxJpgFGrQqEPnCh9HMCh+fljHpsqit5QEQnzJWk1x0LOM+aVtURac9E4u8r1gqdnj0A26iEXo
AgkbFml7RsiqXtGQJMJ2trSkfCFTRcnRLVMArPHw0lRMQ4Wc+UQPXq1IdjG2eXyQwgYfCJ2kIcTU
FvIyCkada1sz9Un4hE+5gZvSiD7iS68Ecy8nEmJmRH09jbuhH+hLRiPWt4OU4RxVFF1xaJE9MWAb
tFKBMx7FOV0vyH/0HTdvcfGapMy7Wz6msnHENzKONsDYZbsGIZXbL4CaKtwAzebsy/2YvYVLdUcO
Y2F8kEqF8YBZRkb8jIlL6eaihsBUNiHddASSq15rMSzKO4TbSyKrl1HsDIK4iMBF0ZJlmzoKNROP
CK2CG46mtJCdJBgFxPka7PF3HEPjUQGqxeQWeFwScZa3yBlx8JJxv9NjU2MzMhtOkLuXGmdSj1VQ
DuCk7PVhTNibp0iKRa9CQnJnQLBcoZcYY3EZAAA3YNFlgbgUwpxnes4VvQq2KmAggv5aFtbGlDDg
G0sGBKw8Js1ZWHcX2ZhStfaAXgUCc3ITtWtvGjEDJBxlyuakmVVYHkkHIWiJbXUAg3MB5rGaJtM+
X5gHtGY7dsfMzKX0pVbUQkO+FGBcck/BInc50iNLhN3tTfMLjV2q4kCWTLPGmC6tZnsYcW33pUQK
el8XqCLcwZq7kWak2e0XaRjVV4mVoLyMlUifeyiavAeMmPoc6xoUXVrhFVwflGd1pELflvjd6K4V
GExetKEI8k2I/0p0AkhW8EbGJFjAU2jItbrililNb6oSmdC1FQbFT12f00meCxN/O0sPiV7Hi4b7
EdepyVhbQYwGsJiAjryJ8oERkUjA0Tro22p0him522kpSyNIt8bsi9bGLNFi+Crxymd3ynBo4SPH
KT05iEaDhSP2vKE55y6JMYiDdUTHAuILslDJwaJDNzWkbBRYGGGymfatqiABn9gK7KhsNevFGkRr
pMUy4iH9bURTqX10hnrPcMeqIxUlO2lSxG00TgatIxukrLRrZS4KPojCbJkpk99UD4xDZEp4OOFH
gi+DX+UqpsDbuL9bWmx7wQBQh/aacu1JX2KKxGkeG+WtUmZGb4rVdpgqYmyhXwJkYszNpA4XkC63
hux5QJSGTr9Q2tjLEC4gWVs6amcR7weMDAM1pzIXl8YOFDUvdxY+Igw0Zy1m7qkIhnUKS9Qvzpjg
OI0a3vTEblaFddpGQu6g0xfQ8wPg1kBLqnrJhYJ6siUtlwlQLHIFnQ3aHTfdLGc2Rg15x6qfTRH+
mOq8xN9JJCic6K75puNWF69qoqvrS02aJfOUVIlG7jGleuOKlrn1JE0bNY2sZhfcjSfbqcUGQWnT
ZT+SoIgVSc2grgjjUFvpJSYvqU1/VajpasfDI1VVeavDcDkqZVyg+autnZapw0Nr0bbl65+KD2pO
aw6n8omQhCLGQryXmAJFVYXJG5K313ARute0ZV6FUEGxGJM3hrIeR4hnEYE6s1v+rS3i6crkoy22
+igxBK9ojphSFTygTTeZkOZDeDVnI2S2kEHJ4c5Uo1hZ0vMojfk3ho7LLZAwGbLR8M/08Yjv1jbY
tGPnGrCIlYe2litMRcjuU+15HkXTyftGO6hJVH6kQire0glZDJVzHR4QIafzk4yz40GXQnwvunqu
NnOBHNzmSyDOh6DtccpwMEIyu405thG8VBUI+gGn875EpRf3T6VEPPamHFuRX6Upj7NSR34gj7PX
IzdiiI4WBgK8zBmvifSGTzRFL2lK04mJo3ERKexNG4j9rpiMwgK/UYRqIyGuQkswioAGU0ei3L3M
XGGvoQbx7PEaRCewcJdxwlCtDqjN59e8wJN1xD3kIRRN9gXuMMiypOgRia6wxZMr3NelzP6DWgMj
v6IJnlR1EHYzBqQw/AJvSIivxujUOVOiMZAoS1shYTKZFhqeMrMivJL4DcrRq9YJGwsdz+XOPIxj
NG+bNCuY5mEdiIukejM7A6fSnIvAzsTIg1fQts/D3OM11czCwUQu4MijJu90tXtq1Qa/lVhOgZNn
whNnrGOIOuUQ8+K+EVnLIVg0dm1fhK6t40TA0aIN03NjtMlTOibiGksqRvGKADtCF7Kl7xyYt7Cf
slfy3HSPUHrWDpT7Npir8FVcMOyw+2U8ylM274JxuLd6xmyjZhwgoxHGW9MQcias0p0RxUXaFY2s
L905xpHajAfjUcecEeGEXuOBZiy63dJ78QOjZ9/gipG8qwkhlLaKLwWN30agL1r1rFDCC5/Eckke
xIk7DlpZczcmS73uSU9b5d2SPsfCgJ15HkDJGIl11MeMZdnL0nuQxGwGWJU8YewoYh47pNZNpnnM
eC2UjgY5txt6wuiwugXj/FKxjnjdmu+hPn+nGa4VXDWMcxeq6gq3pn5X5TL8HPjvuRGt9DGIGQoj
uOJiPNB+fxiUMj9mcR3hTZed6lidbSpZ2E3sLtyAYsqupKHY9oVhrZk5FDs2YzxHwzmir6uK/kzb
w27xhNlhoEpaAy7z5s4qIyJe0NVcWokrWCq2+n5Sc+MskFj3wg242FosS7ZLmK1ySU9qgelAhZe/
r5eq+hIuHbYUIkJaTD/h1URZupTlcpwnlbFvsijgoTh8HHSLkrTrl1UiVXhr1Oqr1g2fERYUq1BX
At/IkmTdSgzUEXwjyhTDz27okovZSAQrcKyukzzJ2G9n2WsrdPDoZrdZF4v7qgN7s5T8NCMN27QG
Y8EqTo6GghlVLYBPLmZQrVpjLPdqX4DYktsAeFTXYXxiTSiQrbFiZSsjkHTlVJJpeFT7IPxmQpW8
KWVfPuLeSPwvfdv1oEfznsZwxQyZ02JisyNF0GGOgL/2IjXXWs1gWTXV4s0XTwUDH17x1D6Z8l2B
zE7j4hDk6+YSrTFpQSeYg0fky2jgVWDlb8qikGZYCkGPX3inJqcQu1yswzq1O9Mhj/aENGm7kkGS
z2EdwtdiDqPVWaOhg44Gk4ZIY+1IxFxoTY0l82idpnqZnLoWOUk69Fm0Jmn5TqzW6ozbA+ET9HrL
A7oZMjqSezKzIkDG20E9KKiCp8AeJiy5w9IoUPJEP4KA/8iCQOMeLTBrT13S0tTVBkF474Hgd0HW
9seG+F7Qq6Xqfc5XOCJk5Z/RDOWtmmKO9Kmpn1nWptNMpk5FCsRezJLl5l0UcB1qYZYnQz62eoKn
3gT91U1heSg1ajeNcmhVJiiA5Yg7QJxaSWg3Mmgr4aeQUhVlGfchqkL83+4TC34a9ZGPVNHctVUa
vwx4EVBhW4Ff6kpxmPjONZPM4K1Q2w3puYFvIaqzCSSCIaCZO7ltB39cZ1wsbEHWtbdwqAMf7/R+
N6vsMdMwyK9mJg8bsS04O/Qid0PMJH9wSTkiVESUxsFyyAt0mZGBRbqs9rlv1u20k5b6oVMl6bHS
epzW/zd1Z9IbuZJl6b9S6D0THMyM5KYX7vRRcpdcs2JDKBQRnOeZhf7v/fFldXeEXmQI2btCJaoq
kXhJuTvN7Nq953wnTWxcprPzosLmMV9sMQ7gqJmQAtRSs6P7XqXRUaT0OgRWnm513c134IRyHP2+
uAdoFO5c9M73hqheuiSTq9mksgdgH2+1rGPDGfOY9VjnXhOCOOauVd8FQZzuJex2pOvAJcc0bs5V
BY0Z96A/eTVolfUAUZu0WWiOZuD2x6ZESNkSdvDSDe2Xyg3TK5lECodUpljk+Ws7RiFV4azvXGCm
6coB8TF4YL6Y21lzuY1V71wDHzKuwii6a3sDcTTOLlRcCS+xGZv3CZPPhzwS+TI4Sl7Yfr/ktoT3
FmUjFkxqG80A9VfBb1CtY2071bzxgk17nepwoyZR3E1FaXtFyndd0wzbjspPbg03Q2jT59lJdKHw
KAawuo/lvbAlSi9LTEfZgknU6+X+mwnxI7VQrc7GGG6nGTWMPqGVyHqwN53GMW6PqKyoh7FDsoGt
gkrGV3maavs2tmZGcCjAmqmErmKZGRyeMvPPpJfiPTbID9g6cAGOBs4wVJLkEyApoTWx6uwaJnQb
vOn2WJ6cckgOeaOGjZW61T23fFCUlBnLaz1kXI1QQo7hdLHiMrgEhaPd41MSu1lz3atWh5qEfXcZ
KLGX0v+qH8mHdt9cuniXqOCeyA2VK7I7Z7QjJ8JyWo0kMMK7UWPobXhf2n6CsjDt7nE6vjfCBZFu
lklPKwH886qIsORJDH58WSBpbvCyIc1xg/GO7iiONMeKD8Di8kcuu/3r5Ez6rY/V7SoRpbVBDpbd
NKGKj1NBEZIu6HF2h2zX5GN3toe8QCk0PgvuBc9uEYVfHJOwAaTR9oalic6YI4b2X5Me8bSKC1S4
h4LQMqNOoPD28Xjl6mP1lqh+PnLMdHtDL8Vr1KH4XKgQN0FfjE8li+W5hAfGlaOmqgvDDkBXrT1V
EFU3tH3TUxaz7dbco99USEHgTDGKQK069bbod8WkaKTPI0KixYqYkzB7tGx7ApotL9kYC/SKLUDq
zASJ62NTaKxCvXBDGU9jb8DIAzxX71r24WMJ7e3UhvXD7CLwmyXt0TxodLidcbF22/BqJOLjugWn
f+iSkm7HkmoCXK/zysDyPZdk195o/A0xbo8lQ4VNmwcmuxTthKhub9iwh+9zrcDWGUGZ76LAcg5W
ScZCKSDlEohsIGNob0XaGTvbFP1TxEB6Y5TLoaLcEXMyzO7I6aodcYTFQ+GqC+RbYx3mJkHUpGOs
whpepOWQlBCVIHLLxDdOLlY3MgK412s4Am9r28aAGDN64YpGivA6NGpV4aytapiPKfFrzLXsQi5L
tmQZG/pbpfvBPnCYV/v8Eisz7tU+rqN6P9swHdIKE1EXjvmB87y7KqBfXGaXAazvJPVVpc3cPQ2r
ptAI5ZEPnx8zBkVAtsqKwtN8kGVjbVy9O0ZGYq+aQu8ewGoyTQNCTUO3ye50fQROm6B/l0ElvgzJ
NK/zksCeKPe1K9QMjY3+SUX7ygmCmyYFW1zb5TfssCGJ9PkEywUqMSZD6zusZcvzjSLxkaAo95hm
NelFaEwg0kLq2tC0dKHYc60VM3z5xO7Ei+nM5Vs6Vwg3HdMwPPo2DQR8Vd3WdYnkmGsQlmw7WaSi
kQj2dpCAcaPx+VUHzIb0TpMbHJuK8qbtPQIGwFRUU90fdYroNZlWsQfCzmW0M+THlCih5yyuFybA
oG6bsDJ2qZHXO92W/hNHMjkulkreYsvHjzQPiCEwy1HLF/GVTszLvtd9nEyR0zJdt2jM6x1qfSpg
LowyT6/DSO+vxKD0Hd0sA1H/rC0DwBOi4x6XoPKx6MzDQmHJgZ4HxNYApNEBHvt8v+g2QJZ2wSu9
lGDbzHG/SQ06doji3ew2GiODiVHY4QVp6slTlnyrw5IsggHGbDUyPse9ZTkbA6nALoqr/IUcgemk
l12yN2udmLK4am/lmIM0mMgAbMZ8wHo55VtRhqAPfdl/mURIsIEBSAWGiTPdjGCYnhlPDFtyeooH
ASvVZOae1oSCI3DzofTeVJM17ThA8PdgR/umMJz6qzbLLPCryH4hSI53qHu++bY5X2fjPBzMkLYM
ogkTQ3oWONsIqvzGhBC6Wq73J4ZfDplL8LhIRhsAcGpOTT+HxOsVUU7OJrY07ULPlD4YtLOLjKfo
PoR6s6LrLHd6K+ZzG+bMZ+JMh6uqLDiCwEYvA2CRK83Unbuwm8drN1Hwc2xrXA0VfqjS7QXlD6zH
bZtzGrrxwFCGe/t2LHuAPKpYLFqx+lK3I6zl2K5xk8wJyK7K4uQzLYR/igAq7qe48enOk53ttMOj
EWH8WwWWpQHYdjoIEl3oX5TGVV1rwxnXhbu0ORNwhpxJloZXW2P/W3q79CZo6KiD7oMR9Ui6KMlw
KDp0I7oFchYa4waWV3dPG36s9o0z4lhh+YKMivV0ZwZca2czI66JPAEuR2G9MTNyx7YEDDVfVaaW
+nnsjDeNUc+DmhLA+Jw0w+NCD6MVVTg7NY3gAgy8a7osYbOLeqSKrhTNH3+U0OAB8sc4Kaa3IUjN
czdQb5qToKLUnPHe6ZYkOSRB3wut7b/pkSH4M2zjC6ZOIqLoMF+EKt3rnkVscHGvjZ2jQvmEEgkd
aSisG72ye+TfY3BQSqM93gkaxkghtDW4eGsH46HeBo0iX7xoLk5a2FvB28k9VSJFUYgClG9+yRRT
+zKi6CB+JX9u+pFBHvGM66wCrNxW83WC9XWdgXGnzQikCyr2ntL2uxN111rclGu6Ru9O3Z0jfvB0
Ndu1cTtbpcC9ZlQMUYd5G8YJUVv03Ty6zuYR6G+9JRkO+wY0rhX8OPRZfBlR5zyJkQ195HClZikv
IiqOJYnua4B7F7NEM0vx+tArjBLT+DUItNemsKicwI++ZnH1LQiThGaFY1CBxEBxhJndTEaJhplZ
9T1lRIUmz6InMVntvdZASF25hcNc3U+w8Ggx0UJFy5VXJdyrVFb+aFMjfZ5jRHeSTVNZtMXDjqZO
n4V4NIso4tqfWzUSdWm8TRXbBRdzuWPbvh8F/QgL1ZJHM+00txV1oA7t4wBJ8hL1KuHmQyaZ3+sv
dR6MT1VotV6tA0+mYR6uFXnXjM3n6LYewnIJtfJPZEqrTWWIO3rojxXC5G2paY9ykvLsOxUqdEjJ
rKcI3MHo3IJquiqUPp5p2zi8adxFgdueEpIY31vBhtjZ5bix0UBRxOVcg/wuOpQBN1JzAhgpxqHf
tPDi7pw4cb4YBqiNwXSp3IqiOYzJ2HyxehMjr2+aXLVByR6sJkftAQ1unpLmoNfVsBVc9vb+XGi0
UCZzy8jEvVWBgefGzvwVvEL7JierHuxU39zpssOmVcbDXSFYlMPskAAngvbJj3EqcBVKn4dk2WRF
MiTrzBjorsnMsDAgBOARIo1FXJlms9cnWAEAaYZdXDbTvOoWZkkUii+OQYOVxDQe2BIXUxm59rWh
JXBRtkYEA5QQHkMbrdDL5jYA/7lrgik+QeIZHgKD+L9OtxS2TiuiizYpa6vN1V/7OZkglRvfDk7Y
bTJgmmRWTvKBQVSxK2nYHVtkYfvWVaD4GykPmUEz2C+S60E1wW506EiLAtC6oWf+dZ0O87Ejg/OY
87G+z46NeWxCdpb6CDqZNIU0aAMX7Z8W341FyL4Wd2qrRYP/iE2ZTm1c4UuZiOpbG3M9PNg4GXH0
QBy4alKr5S7RsxL6ycAGVBrsx76Qpz6VaH8aH43QCuwpIWcjAYRUyApVWVwqajutXpkMa04MwWi6
gG49p4k0g00Z4fcNiubVbq3iwkEC9XwkHBuxSA1peaSLpPeI51TT2be65bA54JnPQeW7McyP8gT1
il6c3p0R3Nz7svBvZeMbVzQkfJvOWQvdCFXMmb4uUPuqA59TTu22BlbEJqbBkbKcqgdiSHd9ZeXR
Q9S3952fZjdF5LZnPgj1UUMy3a5NURskgaS7mU1pwak/FTuixggyatPi1Jel3GOO4QbPnOrk9Fl+
67aOeDNDjY4nLY/xLiY9B0qDg8STwMo9MRH2NVMXErGczqIz64Zftal7y5MqWYJJwvqJxlQcQDVR
4U2rsBFJs+mPZclRCCGVxFLiT/N9MkOa4N7kerNuQiszEZ2kC1Q5NYb4UqNEA1ZDJbR3KvNSlMbw
jjxoOE+9q9E9q19ck8vISpcVFPOu+UpwxXDgejfRjKRIsl1SQBVz31IWJ1NS7c+JjT0IeS0JDNY8
IVeCAIlDigfRvKlrGCIEGgwzvuF8oVZw+PlleWGonN2h26T+dxNhPXCxV+I6zwr1PMW2X0frCkFW
sW44Ng2MMCPSNYRQbfuetQh66KAMzGAcGdv9drbJVXzJq45EK5jooiL0KC25YIkaVqzsIvPdgMvB
kLY1/f5W9AZ1Yeibd7VwzNrrMnJOt2NhEIMyyh6bqBvJVl8xyoANZKbkdwSDad01LcqcbQNo6rGo
OeHpVBaVN6IEJNM0yrfFqIKjxhgsOERVHrV4Qxo1eZARnS+d0KBmMlvn3+cdYE/OHqCx/NDPXRvg
hSSH9kh3rLuwZdJfMBzsY1pmVthLqvRem5rw3ZbupS9n++vEcGhjhgO6o9y5rXmRSIRDaOaRPxfc
RZmyBhaBP10bBZRjVFqN9aCZJihA4svbQ5nWoruWqV98L3IxXPResuoJbDWGg+bb8lIngXiJwsHS
D11cxgRJNSkGF4Bv+PFSB83L7Bb9WQx9OB91GkzuQyIcwt7IWNTkmyU03DoDBFVSQV1iLwBvMlZg
/+X6mo4WXyJSZjo7qhVJeW7CVqMjBQfqHgoOGsrYFnr/GLpNrR3SVgThe6sJcnZTjbcH4iABklFT
/DD7QMR7JfheZ8vsb3pEozsAjjRvjL7JXycOr61KEpxPWSuxlRU5GIV86CJ4WRG5QyhQ+4dIaXLL
F2ZetZpeY2Ya6Pml5jcxsKEvW6Kswdpx76v2DiGQZ8lV4TC2Q/eVkhfKqlUvU+Ym9cA3tiiwQrw9
Mqm3DdO9XTEP+j6vBDklEaSx2hTZWu+t6YfLQXCfmS48S2QF6tGRtrgkFNXvuprFwzwMzrMOo3jj
apGtVkPCJBeIcXjdgYE6EojovxeybEkYzyEoqI5IuKliVMvoXYI3w1FwjSECbVZASiC7PK3mk43u
8VvfVNm+rxhOJUPzLPqOzdSqjrKo0Mg1WVM9tCMJIggfgc6Hi9a0WcqrwTRfi2J8C8qmuIqUQZJL
LFtseU5/O/khfZ4ooNplhwY9GlJsmjG6MrMe1FH3e2dX5SzZAejaY8ZbtAYjVVwI3DD3oaaKUxWM
vMIa2EhMDG3uKQPZgkllcIpYlQdSkp/TMTS/VMo0vsaK9ydBE/0w9pM6uzVmq9JlloL1Qnk9wSp7
e46TBzvp5wOzmXvKbhPnNvj0HZoEfmLwfCehuUyxun5yrixyn/e8/fY9qBj9UeGivDhFp56LHCg7
ukir8DrEi3ieejQMkMidNVuUfkY1gzSaGe2zg5b6IYDYd9LNsfeQPRQnS1mP7EjmQ1vl4bGDSIZg
tOXOaoL5ZGZoLbjyeMkeMNsBwQbt6RmZPyCQ7qgPtn1PNJ9cT/1851f6t3EKBnKHI5oOBt3WY67P
HVc06TJeJIFRIo0jl5EKhrWbowqhEVcxdUOmrgPdN3IPU4qzb3QVHpJUIm0trEptZzav9cim+5QM
/rxt7eJ9BlhJsYTXYeX0yryDRFusARgXD5Nt2dtg7PHQU9osiy5Jz1WBGECpsDzogcXyCiyK/WCw
AEHXYXiqjcrc0Fj6Sq6TogyNYX+mDqlUQUvqazdhZIcg2uxZXuaeUTUi6qWIR/JXwYaenbvJ8d1N
WDaXQCjk+lbXPYVpGv1oi9FwcFDCj3X70Ty1ZVV8HQnsuR/YAvCeucZDn7f9D3QK44/KLex9psWk
TTASJ5aiuip1f7zWTJYZKtw7BIq3sd2RD+X6G04FnfLPSg+J7+LNw4jnmBX2OP6GaJdrdXnDKKry
NOJM0XtaycofZvMujqf6dkzH9ykhBReipg7v1c33BLQ+KNjn8FGa6pa+ZT9sy5riwofJHDgzQ18B
0PHKHUcsr8QeWdulC4tykxFrxPm5r80c1l5vN0yDR2YB40ionS4sKhCrCK+SIH5xwjA0UIbG7VNS
kOaoi0Q+8GrgnatE4q4cpfbEJaAF7iv+pH62rzv0YzT9pLl18hm3doYBUdfnogawZS2CRDdBOcqt
/EQojXVbZfHOaZvamyx9eOOt17yZCu0+Lvpk07ooTkKAr6DzQV/JgvIDGKN4G5kZ7JVF/AADIEJk
IKaV94GWhPeMioYHSY/+EBEZele3PRVClYBnkKLA9odfznwuGCVAJHNf9MZXR9t3xRXeM7FCfRx+
p/tBPzaEPEeQ9eK8wqU7yPBbQW54gQM6QzYNSwsEWYLEnlxp+3rmy7gZtWBurlHhKLJYkcRuG9SZ
S6BpvNaYs3q8ZYyrmrm6523xX9u2IDgjbEPrpu5USzsPdxjVohUqbj7EnLuzaR8MYltXiSbUntwx
QkqtuL1WKuqip6ydwqM+B8AgnFruEli2m8Y1gZu0bX3KDQjgu5pxywTwWs+NIyjecLEBlUOAbyoR
8IAYmMZkiZi6Nh7nCuXGlgkJnmVlz9eAnrHlGgAn+207Kyt6jXW62aBttDEadi284vZH5nTwaXwD
ddMKo0YVX0j9MFugNpV8sAtUeZ4I547k9iUGWn8SQMKdi2GDorvWFIfiPmS420cbN9NJt6dtBZbs
WASjRPttRdI5dQmqoyuRWX7vWVqKub5Owqz92k6m0G7QkqXBhVHuMGzaSoj2fRJunyADI04xe5m1
yo/rleG4OYInepyxTuYiIF87fHNL3Uh+hNqg+RuGvsxh02TeSyrYYyerOVtNJW0NSLdEGRGLcEZx
Pa91B5twRHP5nn7MjHEXaeEVJpjprLPm96HT1OGBxFW38loD9czolsHGqDIyPDos2n2ku16nC/++
xalKXCw9RXQ40kiuY0blP+gl1V9sNVlvUpNInlVAxJqXx9P4nQ7F9G0uB+PYwgZ76w2rtY9DVpTp
bTFx2drmhK+I41hUvHNTI81vJZl067LARY+zxmFk4+NgQKpGeDrmkOmHCrkujaSnsl1PIJRXlNau
3BDVDHdgdKSxbR3uRBmc873kLBk3WVFLjsKOccNdq/vmD2dU/aE2Eq4/o4u0J47qyadFgRCT1EiC
IuyLBGTaQsg2IdCvGUrI6UZGZRF4ZDfHJnjfcYjMl64yUugko5GM0TdEnyHdNHyPddc/aIkq0psM
BH2AKI6I0q66LWdt0mC6pCJFyZU6VWef22i0sYS5buJug5LswXjrOG13J3DjkZpZNrrEEYZOJKDl
H3Y+qrgNpjbyWoMxfbZrs3G8tuzwKdm2P5xpaZOkzRWKyIG70KpbMqYIrwC3+ZoXJDJ5Q7AEXlgu
XaTJM8CSEmNcTCILntkc0+S5abh86TrB4HvQwHXmwev0yZnoXYO+Qq7ZLTKNtAg4MzXLCtpN7xR1
fxNDqE8e0BBZi/2r9Hvt9n8sSuR/yzv8R2geSuH3opxqAsjb//nfSZSNx0ZHr6kWzbKCQScErt1/
LdL+z7vN/ebuaeP9r/94/t603+v8P+751L+Itn/7X/lPEbcl0XAbOuhilNeWCVnv/5D4+E9suQD3
+GsMpfQFR/VfIm7LwjxMgQz2nksytNr/p+K2TKTfaL9dgm9s2xCO+LdU3Mvjf2Je/fYP/1nEXbed
VTPBYRyb4X2spUQsrEISd8sl4iUiiphr1q6Q/Qmn0iVmouZ3yusC49Cgej7qJG2u6i7fId44d+wp
YNC9zm3OSdWkXxyH3JReo+WcTYyXsUeYu35Uz1aNvCUiROKIR9gAXjqJG5BY0SaO5h+pDF6FFuaM
qp3hWkupp3LqRJ0O3lDaJeGBtNY7jJ1rG0HQAdtVyWSRIFE8h/CWXWZctRuRbNgXdXVXm5yT4WgA
6uiicTcNeHBSm46Rkcdcme1NnXenJnPE1u3z5yQOy1sRWdNaOvB75qh+KIT1FtbROc/AEIU2ph64
T1blADmIw3NhYbYuoqfWjS6xZlxjwz2Fkbmr5TRvMkh117InkKyX1uA5MQgFSo7Oq213JxBfbcAm
n6yS9CJ8mus6IB5SLJTUbr6eZpK1LEGoTdY73WrQ9e9NmL5Rh6DsxjQaOAQBL1ddgl5rueVKCLq1
cQ50RrrNcnJe56UcNwaa+rBJrlB+J1zh3HtEh4fCdShv6aNm1LHf66biQug061CimMXadWgN7vJE
yNJvfSv98eBDYfJNTLbrmHsydjIXoDQNzwh39VTP7D8d+x51/Mq0qU7VTIHQpQwOYmbwHslFA2Ec
QdswYNURgdeaOOd1ksHYiusdBSdqAZR69AzGfdEY9v1gfLXRra27sImOUxTCojCBXDlssivZ1j0E
Ch+8C5HHUTQ/ZqG9ayJClted8jcVaRa3UyiK67Yehlsuw2rVc3of57x5bZrQ3WVcMNA5vPfwZ7ct
3VsuaD7hob19dOQce3U15lxapmtb0/Od1o+P+AMm0OA00NYm3LzRRDMQkxtismfb2U0SNw8+cRLA
QyE8Mwiof+RdtI0wFDJb3lXLkdd0Fnm6SLghVYdBCRMeVsb0BRz5KumQ8RJq2Ez5pc0NijFArll5
VQXczvXXHvQLmvGNrNFM+xjq0bz5lP9VLFkc7i0Nyp1d38LV3g3tMV6iKJdgvVWqypWynkQkT/kI
jhoO+UrTjBubphPWgQAHM1oZaDT1479/cvx3Og8Mxe76r/f/01v6Leq/N7+YdJZ/5J/7uw1oVdr4
bHTG+BbTuP/LjbDNfwBKVThuSDJBUPWTScf+B74Flgn/SzG8UTb/0H+5dDT9HzAepM4/KQX/oHJB
PXzw5fzJp/MrZRCzpu0KngJm3rUdxxX84T/v79E0TpFqWt3j5umqu4L7+Ro1croyUvgndl1HV4Z7
/dMX9BtWKY6ln88UYTuGxenK+NOhG2yKD4RD3x3DHPU/KqkqTzyDsBSYZma7+fNT7N8+RkipGzad
F/UXZfYnrKHhl5mVDaHuSeR3pm1tLH/fUKvCIp1WInotkuck3ZdI5dNjNW8qrK/lGiMzQyFYFNUj
lDzNPqr0XGokKqxboj/AQRmM7LEhM75fQ2ynAdoQXsIYESMCzQNjg2bMuTbOYDTtYjP0V4uNo14p
Y2WFnKHr+C35Zr3BgyUE4S+bMNl32xjO5fv0Xg0sPI/pnAh7qEFeNF/Z7nWOFUiDtT9wDyc5Y2P3
NNE9/5+o5H/p1/rbe8BvQvEMxBf0r5Amb9zP78FQc7szet6DykSboCeknw1ucBXH/V1C/gWG52Bc
T7O6/PlH+t1vJGzDRaluKyWsD49NOYSmIuCxOq6vLV0j+sFuU35C7rR+pUzylvPpbNPkg4EnXgq7
Xz9d35hgqgWqjdA+9LVX2Z7Id2FzGtxiVfTvkLpKE+tn/ZblT016NuRNVmTwqLYOr/+Eo2k9EoF8
MPBAcJ7e1u5zAnQo129s82jYtEFuoh4JwewfxoGEx0eFGdPuX4PuPCZf+/yT9fPbj+PojhJ8deay
in79OPUU2mNmx7oXOGtD3aD+g+Abb8Pgeph0mGSAIeMFO5lSAo3eCF1dDrex5N/yJiNad3YE/WT6
Nqyu0vlN4sMOD30lvNQe13VDjxEiQ7Mph0NSbcLOs+OzKzxpyRWuAsQFF9UhVuZW0x3+/DYA6vnb
xuAoW2cv5CU0nA8bA8Y9H8uOmj2yUOhdVfOWAe9Ic5C0Br/rMdWTvPznRxofCty/Xg0XFYUr2aRN
sSB6fn7xLTlniLskKHQB9zN6S6PEP4dS4F4puVNVaG6jpNsXLtthV1rhzplt789/w/KS/8TuWf4E
YcMPgt+jCIv5uFEVTJzsOlej16HOXYNetpp6k5HnQXSJ/k8j7b9c5797FqwMi5W+LHf3w8cV5Izo
KGBnouqRvY7dCg+/jQC3QDY76P32z59s+W/7+Mm4oygOKsOkmbss/5+24Km0itnErO6ZrXVdxBVe
HJTCq8yU4E/T+imx7XWcNGhVnE+W/G82Fs5PW7gc3xyy8sO5No5kV1Wt5CPGIYxQ0cYgdFTwyRnz
m6dwsLtwnIyFCfXxhUUXbeaCz+iF4BNWHQGmG19Y0yfvh7G89x++RqnbrstZhqtX/+uk++lrTCKr
yK0OHRPesQ3x24xMkTlbnQGSkhEtwWs3uZagjh/RH2nt8Mkm/ZuzQWLUFTCLOKzZb379FWd3YM6F
wtSjZ7nIit6qFqmkPvVYjIiOPAYy8niDP3nqbzYD7r0m24DQeerHyoSZCXJlAglRco/JLjQNJpou
RiYo0siiGNr55erPb+tvn8iuausmAjBdX7aKn79mo0rIr0dcEhdMygW6Czp8PsDBOTPWpYb0gmSn
4JMf9zcL8i/evlzc0vzP8kf99FBCDbFl9uPkZcaNrLnGBApwee8WPybH+uR1/e2zBL5v1j2LcaH+
//wsXwyhliQ8ixH3llghDVgG2HOCB0scYcYnS/B3T+NJ8G2ocdltPnydfhulQcoL4iXdYz+ZA5qk
gin5hEZlBrL359/udytRLQw0U/EvNtJfP5qlByPqD3poZoTxwcTXCgQaReOfn/L3j0SHxjYszPFC
R6f6ISigC+Yh0F2eAv5PbGT6pe+B3khEJ6YVfXIy/W3vJJtB0nwCZSSU4HT69RMBy7C6ocFL4JK4
tcLqOey7LoBym+hPJPus9Jr09uUa3qjw+OePaSz10C8bDs9WzJFM26ZcYmf79dkkGpYMbc2lwIje
5zp/bGJc+yMyeug+CB31CsMcxCrE+ds+YOpSz80jkrDPFsffViR/h6tL2lA2LQYqxF//Dn/EZtIM
UNSGuf1msjo2pS52k5/sEhOJdaQxvf//+OiUoxQCituQFB9+4rhy5mzsidqzEuYsi1ZzqNyLwhTI
yEmEKzsyL1FXDKRUVg6jRvEj712mBvSbPvlLlid9+BHwEkluf64ylHA/VEPgpQzDtnE0oTgk5S1r
F4c0tLm4QrlPDvjScaZrbTlb4uYexnEAh6M7R+mGZ0304SdF598OAS6cXBJNyUYl2I8/HALkRaAp
MeIZUW4ZMEUPl914XeWTVw21wqwYHrMy/PHn70D8bVm7TApdU/DbC4vb7ocXEaQdVDEiHj3dKIAn
/Oi5IATBS1F+Z80AXpUQYADbbrRw06itOz9l6iySs958SfunrjuY2pcQojyGdlyRl2ih2Q8g5DBh
0R7Md3idEvkdWxS4X+Ec7PTeD3EabkqTDsxTPL32ILCcy5CcyGr880cz/tr/fv19qXSXwg+GB8Wz
/PCmzZoyYtyYHDf1XuhHjdunLb9Nzm2G3qduXqsc+4e68SdoT1e+w631ASwzKqAs5Aojz/XwZOBU
CaqLQMsWtS+q27X2i1Puc661xQ6Mw+RuIT2hwwNJSuxiusYeXmpr4DnqNhg2dXsomq0ctn58SK1r
3uy8u2jBNzM99SY9wbciPwHMfx2TvcWYg76uulgG7TXPehlfU3Pbtc99eJ+mZ6SRsrsGpapI4Pwq
w5cxeulnDFvINO5ncbAgdUdrMPq4tQZ/M90tBp95pQ9YSlpUpbdtfQXPxqgeC5f5LO/Vw/Ae4zmM
7nJ/EwU78tH92DMfbTQy+m04nynH8ZaiEmjmjVt6OAe4ZkvrCoMQsLMmB3rO3HF4tP37qls79rXd
7yhfNOewlKIIzir7Ckm5QyrbK1bvEYceKtkWAqJHTMq19Nequ9HNLTGFk1iVOJo1umfnGN6FcRv6
Cf27w9x/zcKvY76Z7BXyPsByot7adCELYMIwEnGEvenqVMHchPrGZWzjj1ckxhiSgIzDuFhpPjnh
/75h8k7ZrHlaS7rOlffXDdPhdMpym6IpLCy0GAYQYtrGG9L9nvs4JSiVff2TM/F3S1RR/0qHlo5w
jA83CvwvRV2PS43P/0M3mvm3A53ss93wr67Qx+VCZaZDkuFkMvQPW8GisSMN0568ob9Bjou/XpkX
y1+wvvN7gwhT/1LWD1N3N4pvlvje4IDuoeFjdzb1Q9h4mO+AdtH1nHuP/HcM3W20ke5uWJxA4dqA
Vum8xPAz8m7T9y/hZVFO3GlXWQMre1VswguXFmGuOspACOfB0T5leKnUNrxqT60kSZzshNVcrYG2
nepzdW+C1U/XCgp15EEOLC60FAogjcYuIO/7uuz2mbUlH/UAYx6eJR3n9sGJ7nNIxNOPeRvoG9q4
0LwhMrDoGcGupgqZUpSudflczu84daV/1QAc6z1nOkf4OhtcnS91fS7DvWngtPHG/p6OgGOvWlQQ
466bPZB7Fpj+nCWyCqutcI5N84qSp73483ORPmZiXAlWWW98ceBptNlwbA2UoETJKO0NH5Iob6yG
dhjq9Lq67bPjkgqJ+GX69ucN8m+1FndGZl/0ONgil//766vcwjm0K/y73qDiypNR/y5r2P+aFFez
j57o33+aYXDGgEtyuHN8eLtM0uz7Bh2plw+gXARdvKGCZ2mjz/VyyBF/ftrfb3S0fOlFQRTW8Q5h
6/j1w9XE4DKtnSZs2yRIThnmqMDCTYK3AM8mb55K7BH3LEOZxrhHRSY/OX6Wb+/DaqJMppaVhsP3
+1db5KdrR2wv0LuEzzvOLsd5GqFQNt3mk1X7m9/QBGhkKqxTy5f64YgzU7e3BNJycJNym8418bU9
qNTW8AO0NrP5ydf69xpleRZ9HHABkp7Dh4oprgo363qSWmpC7/fQmFydDhcXEQILcs/P8c7YTlh+
sud+/JCO8b+ZO48lt5Gt3T4R/oA3UxIkyPLyZoKQ1BIS3tunvwt1zukuoopENEd3ouhWdCOJRNq9
97c+zidcBggDEMjkn06/pV34U2kgj3a1rP9W4JhKfce9Ov0s61BaecHlnYCmaEblSKxxIkawedpU
1A1ZgGKHiLPikJackB9S5GeWzqe53Ef1b7qwci0tHPeXx+tyW5kD9javRthe4+j3fF94MVoUiRJW
dAbAV30WQXzYydgqZM6g2FDr1UMDlayVJl9NEZsEtu0YXEQ4AXMrX0wR0oLAgTqLmLdRUEwjgfjr
QtfqR/RPUrwjX7eJKf3w2rbE92xS/uXQpXmH28+M7ubgyR3stKvDREKBFGM77KCCtKIRGVbOiaYa
CQM0k/P+cge/HkMG2R72T+JIHHOX+7aqGSbaH4w5pDxodzKiAbuk3CkCn7ajvGda2bNffU8eyByx
ND4l5Q7O4uVABzQTx0tMUcgOU4qJmYqFHsEtUaNtq6L9E4NgXBm7zwGbl0uOrc4xeEIBHM0twnKL
eYLOWFLy1k/d3H6aSEPGFPT5d3b1ySq1x7YCql1wjqOOtKJEFDZiQdVmese/ULwy9d/jeD9JODLg
QfJddJ8otqJECJJrAC3hrsXAu7gb82jXO1xEQcdiZcJ/6xRPrfKJZyDu4wEGcBVOvEk8/69Smm4U
/27KP/3Lb8l7WjbhAY5hc0B58Z4wSHVjtOPMHYvqg99X0rYsdBTIA0Rbwyy0lYH6ak0gssKgmZMb
jkO8YP7WL+YmPNTRHEQaUirG5YxKXrZ1Z7Y7VndJkvyZNIFMQQ6fukx/uvyib7as0DxHTvjz2qLl
SaHUusnL0B2j+Dc1FP3O6g1sQToheXhI7p162lKrqk7OSsOvZsv8yoTpiGOzZWPLfPrKrRrGtVZG
IblD2RvlAOlyaHEFGhtni/Xtyvr+KkVg07f0q6LPEREioYvZkhj4OBrNNIBZqEkf1W5VUa+a1sPR
6M3xIa8HMMNd9kD6KnDNBPw7IumV2fMcsD6dPaSxyFISA+a3kCI5fWetwMc1rQaKPihqSwHqYagd
dJ+UjjOiipmgHu5k6tcPshJ87CRymuQ9w6OOz0mWHBnwU44DjByjI9iNMQWyoAxVxN4IECkgZoJk
HwT5IrvZy+aTUx65bnM7BJPQKj7lfxQiRnu//EFKBEQ6k4k/mYQKzKCKsAPcwCn5jPdyg2CXc8hG
K2jszufRQBYBP62M+bc+CV4HBMPJ6xKTcBa90UWKPRckdQSHH0JloBrcSJvbhOsB6k2FyhQsANrc
cKvAeJc3cOpVQ4iVT7I8bcz3Hc5QpPZxdzBhUJ5+Edk3QnSjHNCVDruFCfjgYOOr0322BisAR4Av
UiDtL0+51yOfTdiwqQubs7Wso6dtJjbFsU1Vtu7UTG7b4mGEahNIjU6wQpdXdglSCzzuZNBpBKAI
4VK4QLNsUKfNAWlHqS71jSu/037l71lb5M+QqsxxFwfv0Kz5445/lX5lSPpIMlZu3t51hGKA1sdb
Nd7U+kb+NN0GxyFzldRNoa0Zf/FnO3xpnUcKKaPSsxVcXhoWbLTb2o8ZisEQkraqQeDzCJMeRXhS
7TL1fT5+G3ATEuMGUWBOplLapjIFURv+pGYHRSmQhajd6OW2Tl2o9ZTPlgYxgZ2hbq3StTPXag+z
bhtvT+0ghV5NgEHsAZmUhudHVG2BbURUjHJukz1pj9NTgzg+2iQfrS9YiFEXILA5kw5KdsAszdE9
Pfgrs5GGe0SEpweHi1a3JStBqEn9YAZubh6ADCTOQ2Hsq2pfRVuMJSL5WNT7RvEyGXTKAyVfDUXw
DgJMj78EowPsZlK9sTlCLp0te/p99L2OHrXgBjetcINxlrhTH4av/Z/01vyuetJd9hssZhcbu8B4
hAPWj3e51qAe2ccYBY2/qvJTEf8K03cp8n/80p4oJg6UG2qI8UU05a3zl7ifVlboV1vDPHBmuisF
inOuYbFCS4lCDas/MXDqkWHgFDAzLEItWk1lyaCJmwlk6ja01MCFBWgeL8+S12fH5+ap+phTD5S4
zOP6xZ4YGvlgq63SuIac7XJY4VBZ3H7sPAkIAV/LIMPSIdZGjEHavkvTlS3j1TSlfZMEPZEY6qUI
oZ+2r/DCEf7zDDWphr4sGrQD7QcAF8QqsmGlsVfrEEdywi8Ge5M8L0eLNcEOhdVYNarqSK+CQz36
98TN9wVS7Y02Jj+ChsEQjeC+L3eyOl/eFosD7VLCY7Mv2gToT18yxZ2iQkLVuGmERkDp1LmqAu0B
HFzdY9VOb0NDmysTlC1Z/eGxSUyc8LpQ2ZK5nNyUY9ouT8Qt3qO4VrTqbxQR9g3nNhUnTKMT+yaU
iPqFjb9tZqOqyz//da9xhGBwzod7Hc+ceQS/GCKoT9VOcrCq7aTytjJapLfU5PecGds6mVET+Zc+
Wrl0z1/itMdoUwWiOBc4GI692LVQ2ts1XNCSY1qJxZYxeKbZ3nSlekt6RWJZTdeKoF4PxGdrIs1R
8Q7ggrp4y85H+qJ3FCoRjmhuEulnAsPQxoDgoR/Lj/+2R+cMDcUM8zBUHHkxDsM872orrPAHYS/y
SpkYGeQo1hl8Iq3WzfAEuuFYnO0vN/u6Uxl7ssIOjHEGAUjj9EM64Sw3z3Lk/LPJS42kliIY2Ut8
dQSdAnYzatOVof/6+KExYOZIJAlqEoL2PDVeDJ7MqBVYYnHuKkOHoVxD7K/vZnj8hGsNTgV41ZhJ
D7EzxZW5VUsAcb3Ydkr8r5dZSN1z7RTXVEdXl/c4dKqAakotdeVYhZ8HMiB1EuC1mOz4Je6rJUN4
MIU7GNO7y73+emCdtrzodRTTrQWRjJYt1xpsf9c5oYOM3rB2QbTS3a83k9O2FtOmICpssZylbl1K
30ebq75oNYoTg43WPEzNna5i8YFxl1hpV381XWmXZZWlgHQvdZinXzkNQTYUrSA0ByB72441GnIp
C1bOsm/1JMd6rhhsFNQqLqZoMBlRIAk1c0E8zIbEJhK2Hq4nFcC2IdZKAN4Yuo5O7Q8DF9kA81Q9
fakIUY8z5dAvoiH5FZrxH+Rj6DgV/75n58j9cpdzphaJZR3JBwYHEpTHy0NHfX2qnH+CwQKogaKn
3vD0JwQVKUQ2R3hQ3fdCzEHuzBJk06PsDioGPKWqC29zuKibRld+6KMELYPwPLxHfxMjiLqrCGxg
rGNWu7Y1YJ9HnDnt2dxHSIhpYOX+6x2WHwwOjIHG1YtuO/3BrWZEmkKxqisi6bHowFYHerE3K5w/
zHE/F7BjJ48f/OV+ejUwdLK+RIMokSUQbpiLM5Qt+ehk6whrFmgKe0iz36V+2Dq69UVLY/uaxkAG
4SXATZ4Yzekr5r6NLLgWMUyVKmD3jsk0xMq3tgAqSjb1374ZVYuYEHB5YwC+KgCmmkjuK0EaAr7u
z6qss0NhOx6gAzdToOb++8bmOjDOotocb1+8mV+3KPjBAriELg8ITT3D17sNgCIMdELzz+XGXm1G
iCstYvucx9hv9eXsGqWBUjNoBy4oY4JOEbafpWP/mGXwSmp1x1T05soqpay1udiMJACOVhcSDbF9
KhIg7nh5gTVnnLXy17bGFHQaSC7jzhorJroWUR2wNXJuYo7u2wzsz8TlzBwk/dbybchDmrVSTfLq
pEWfkMInTkMax5SX5WPDCDqEcCS4nsKW8PrWkke1+VnmPjzwdnSdWDzZSV+srDLzZz05a1Fyo88h
eZqd77DL0+lgIupWE0CgTKRjIk0/oaqshf6fk5v/tGITDdJMeHZzif88kJc1TjYVQYGqQiaOE1Hs
5TCn3FYQmZbT/h0q1+In+IR3KJWVwyjBVGwd5a86br+O+nQrBIw9qZ+KGYX2g4W3OPbyjERTtA91
hdbw8sg83UT/80sRtHFIIFzHMF+sJvDaqx7PpoiopHmvOelDU+Jv09ZBdCy44zraNxEGd6E56iuf
Xzn9ErSsEj0nmD4biyDjX0bSRRboLZkg5kTYHCIoJBtEB4eqTJI9JgqqJ1OrXBvU+fpKEO7GAXUZ
0N78mBlVhUvO9PlyRywuh8+/x3SIn8zbOhWNxmLDHSKpt2T4/y4IK9PVSqyBbVcKrGrn1ETbgzz3
psb5Sj2MjJiM+PLl9k+n63+bJ2iko7nglLysawz9FpvdiOY7PNJcMBMfJdDJkyQ/IZ2GcoHd4UqL
pxPwfy1yS0MRiFhwORWKAZ4qKYUIvYUabIvMGR7xcJ5yG6ypGLVD2cG0gqzynxH3rySiZ4U+J/LQ
i0LS/x99e+Yjy0VJ0A/sF36cSoL4X/7x7SGArXGcoKxvVpj+T/LpOP/Hjk8BPIkn1pXnkOJ/JZ/W
/z3nagln4CXgKMpcJP5fSZCM/SyxlllLhN3PfD5R/40iSD2drxKSUxLCNuvE6REg6yyRTLGvHUEI
hTh9ANPaAFxP31tj298iqYfhlOmq9MUcOhzkK4hhpF7K+DgFtvJumKQcKmxTQcsDupr0UILB6aWw
tUXTqPd+oaAWbOv+KGS4WwjO0mw7KjP+Te9RkmIgAM7mRbc//WcdPjEhOh35/7zKIv7j4MlFaWVL
/DDhvLsZ8cn4XVt4pWx8Q8Jtz1Dnek0zNCW8pLXauAuqolS3vg2pjQW8LX7DvLM/T5g/ghMph8hG
q9iQtM5wXLjHxkH91ku2/YAk2/7Ot048EWr4e2vFkP6wgYzjyd2l5bexb+x9a8nSl7az9bsJDtzK
6nq6rP/9hsvwRd83uBsYkXHEeSOxNjr+Ib9UPSMUih5e+hlpefLFmCaLMH7g2JTcozHoV9YV42SL
/aftxdY6GFlT9nY+HTVtkp44OivfSqf2v3ZDie345U94egj+p415FX1xw/alYjDMup8YXNrwy9LG
7GdYSfIHazQEOP9wSFauYc9Jo3+28n9amn/Bi5ayiHx51Om4h9B7fywsb95XfiV/aioV0evYWeOh
iFpuuqbcS++w9LQeY2fwAYFUgfzJdkqZNEhr/0QH3UEtiwlZ241ObWRVqEQe8PQcdzo087+w9+3v
/CGJ85U+OjNhl5GPHJ81PYAB502h4WXOdIOxyu3l7j/36PnvX3RKW/WV6o9TgyDagi+fHZS4WBm5
5x69OK7GTQXVq28bD+u7R0UW7+V2bYs992j19Fc7osQ8WSv51XVMgXLpajmL9N8L+RsryrknL9ZG
Sx8DIN48mUqZvZgw58iqlQPauUcv1yozofYpzRtPlciVauCF5Na96lcvQwuxOqiTZfdIwWJ5H48R
4o1xZdqc+dXWYg1IszRMiZ7gH1hq74Qa/a58/boOsRZTH3J1M2U5Nge57fzMOcEHZnl/uUPOrFyz
rvblsM6GHgNZvK48TuPw7rLJgl6rJvXHocyCP5fbONczc9svps7QEjX0U9poRAdXyNBL54fm9OmV
33Ru9sXjkwiieu8wEtPRMTcVXB0q1YBgXffjF5Mzc+xEV+K4geYJnt0Gh4M31HWPXkzOOtHTGvAk
Z/0BXUGAHxiO3R+ue/ZiemIcUCnJwD3CUusPaYGL6KqU7dznXExPm8hy34FL9PB1cHO0v7VUrXT2
PKDf2HmW0sNJCsmHNSmLCoV4X/w0Vg5+FTufkw6avxUY0fsAkOFKHf+Z9zAXE7aCABqLiVnVp9V2
UgIY62tZ+XOPXkxYHTJjoAYBXcRlKetJ/ojV4qEzXbSYsIDAAO84Ve0JGBO2SdlZ4V41ZJbKgrTw
dTWs6tojvv+5kbuv6IpW0j3zj3vru8799GKKQpfwLbspas8SkbHXdCPeNLmfHUMnLLcWFPvDda+w
mKyR2uEOluNU74AKAiwEW7G1pGFldJ77qov5KrLeTHG5YF8qAYP7v/vsvwyhs1rUc09ezFbfASs3
UmzqlWqF4YE/fElx6LruUGQu5msBdSQtGzolUc1tERVeoq+VJp753cvAAYaZmVCKsobeIlcYa+kO
1AQsgq76msZigiqt0EZKA2vPnOxbvC88nL+v65NlhnjIgU0AVGWgGBYkFjO/qXL0TNf97sUUFX2b
jDk1Np7sdFvbbN0Ri4rrHr3YSutABH3XtbVnKOlnp9R/Fhi1XPfoxRwta0PN4EvWnorSPLbtbaWu
ZZjPDZPFtIR+m2NRwIeMATwUmCaN5v66H72YknliZELUrFl2ph2pP9jV4/uVJ8+j7I01y1jMSSm1
tSHLGdudZmnETH0ORpxzt30vknfyqDl3yAxnREZXkneLRaQ/KkgsDlYTyPitjV3czn7rxtfWHuxv
IjVlLN1NzY0dxXrKgaDDQwoL6wcmNdL7ENrxQRrM6JOM4Rg845kBDRt8UJzuOGmAHwMKoPdVGSdI
tEpxKETYy5tQVtK/Zkrtvo7H8dCriEEGCZw4rus6XuB9jrVSHbW/w8QALtvbNXXKUaFaHwf8s3f4
CcnvpdHMG8QjUvNehdTc4IZi9tedcIzF0iN3mE061Ad6IJOxxcB+qjKvG67LPD7u6KD1AF57hWO/
x/f4Pdy8Kx+9WHfwepDInzNc/fAYq4kLJ89dGVRvj6llsZqZBH5TQHv0pgKBsRG2P7H9u66v9cWq
oxR5ikQiqb0ozjArqWMoSH774bofvlh3LLw/JkB/tafl/m2uhze56l+3Zy9VLVMBdzrNMsZISzKv
1pGWxAok0+t++GLpERTQZK1gFmPZsovM8Xaq10AxZ1Y1fbH21OxKDnE/PiaoKhM2jhoM1y1ry0p/
ocUDVFhMP3Gx3A2D6fbJ2ua0CPr/Hd1ZsoakzulKoGu1h8G2+AHnEx8wfcQTbfKdjwlrARKnye4e
FAzhbjAF6jaa7JfXTa1njsuLg+BMl53aLmK9Fkp/K2sTsjMcna/bHZfFmXiSZLpFfJNjt+Maw12P
5eRVw2hZ2M2eK8a8UfggYCdztGJOoF33rZfAn7DtsTJOGUaKHn6EJ5tsMBe5skMW0xYj27hNMOzg
2dIjRsdeSin2dT0yz4oXXzIezWqI/JxiarV6SvJuJ1XsLdc9ezFpqSOvFGP+2QP1SyVlnuXv6x68
mLK2pUxTY2DOroDraNQU05q1eXVmNXjGRr7oj6LLMhLrPBp/jzKYgYf1yhI2L+BvHES0xSaqKJLU
M7CbOSOFMYtJytgY63QvLG14LLQkuO4+DEXt5IuSp54MUfJFweNrFIJ27+yIPOjlnn/O97/xFku1
vCplRZuUAXNzmswdWr5pR2zFJ74XYrdZNCmkwFG+qbLKuhm6AZsRQ0/QQZvyH90pzes2G3VxMS8G
3MNHLX2eEPdCzhKw06vveGYILKujQq0o+hyWkDfhLD2kzVOhiJUL9LPs6a3uW8zkIG4riivYx5o+
hvxPEDB5yGHsb6E9+/uQ7Bl2lWZR7ih0IHPUw/jG/Ew62mHtfCjNrvoG1S67KQundsETOU+WNBqc
ZekKaP749+LysJv0QL3LJaO/Ta3KX/nyb/eKshQmTJnUR1nbVZ5SpPKNMWE7Yzi15V4eV+eevuiX
Clu8OK5wJ8QWYut38dbo5ZWFeX7E6y4HgHE6H5S+VZ2xsPH1lXL7gz7UzQ3+adoPfE7WVIxv/3rK
JU6bwIBdLa2Ur4qy1uWojxP22oQ79+jFGprkEUQkkEGehtfU6HwnDXDVB1WXyjzwonFjYqAIDBWX
uG7ECEFtmpV49Lmfvbh1KYFEN1gxV8XaBB+QfdBtrAuuGSvqcxXeiyUahkcCJoD5WY2YttpNhi+R
+ddVz15q/pOgVOF4MZvYAm46v2/QUQz/rvzy7yPbsl5IN4SBnrYACV7mOYYfHd6e5N5W1sTnx7we
6NRFn47CEkPOiHxceyydVt/ZAG03XSvh2yo7+1ptwxtlIIaGFZd826ZqTakEPAoZAPq2VbPxlvxS
e2yi0D4oA07QHZgcF2uP6DBSI3jduXEmP788bXBP7u3SGNsjCkLNkxmC25ENa2VgzC/6VgcsFhGf
OiDTLGaNyWQNN11lpMdIaorHxrBD6mDUfNo4Cv4ol4fKudYWkz7FSLceIxnksYNnNj7y5p0zhPr9
qNj1vTC1OUXaW8MKe+rMhFqi9EYRFlIVkb/Qrdy+UVtcG1qfL3T5Xd5eIym2OP0uPglXs6Mk7Jg4
STFXuMvHoMOWZ+xE//NyE+deYLEiCLmS6qyzwfxOKK2bNAY+m1232jzfkV6sCIgV20QSXGup+vkT
hMVXnNmuS+rKi9OUhA8H3qNc4aRkb8u/1fG67pAXwQnDGbHLyG3GapZ+5wQYP9hhYV/XH0vBQjM1
Q0ZRt+ZlzNymyXpwb+OVJ2R5OYfT3iBBx+0Mc4VbQt6bWXl01RhZklCiKauKjtLwo5Q1qtjIBP0/
dKFxZaJuWTDrqINvNuPEMAnUh55LlVsiMV6ZQouqwL9Xd3mxU1dJ4xeSHGkeTt/R0TK5bNuUUe7a
XMVcJNFx5RNN+CviVPyhLGdHm8qWbp2skPbYc0i7urd8/EoymGjX9eZiUmOEkwGESjSvCSkVMrsa
h3PRHC8//MyKsdTBBanKzqFG9VFUeSVAe3ftO6ud5M+2HiafLrdxZoWVFzcmLcDtZpCcCuEJjq+l
USbv5/MtRkIjzOAZeqnnavXhcmNvr08UnZ0ugYYyZhrW3Zo3VsGnaOo9v4lXHv32zU9Zlilm8H1I
5Jqqxwx3vAJXto0qRw/KFAa7zGYlv+4N5m58sQpq6mRUsCVVL9H0P7KRHkgtXrUKKks8oK8201ji
bu45QACOGLNPu16x4pWBqs1T5PXGjezn9JfH4Pcm7IZLLx+oSL6LOlP6lOYJqm0hUY8kIrX67Pih
9sSVL7yTuskONhGVsJsp0LWnarKSbGMk03gPbrL+o/gtHgp+UD20IpUf2YOzPbHDFIty6VskHLFP
QZtsSU2X2yRqMCpt9UzsJ3xl7trIGu8zE6cfPR3yL7Nt5zai8uGLHCvy3sJVuVx56XPjbbEfFkYq
lWMUVHi01aGnOvGtL9TrKk0oxj3t0KwywkmIofQoNwGxKMKZoQL2/vJAWxTo/2+pe4VpbntH2GMl
8iO5YPMmpiJ0F+llfDtWifAS+LcAx4SSTcjwJ3/a2JOvQl/Lpl2dYWzq54E0uSpHy+yOclDsMQS+
V1tnQkEXmZl8XSWPsqxHjvQwHDRDbjxJtro7R8y1i5jJruxVby+AIBROu1jv8XjHMrL3SkVSvLbq
sl2Sqfk+7wB+XO7nM0NkqcOf+kQdoyksvZKmdji/osapi+rKpy+WiyaMih53LdWbgRPvheS0twr+
XitRqLfXbmWpCBW2UjdSiu2JFTrDfqoL7UnULOVm6eOmOZTWJ22osy+XO+rMt1jWC+rEwZ2ud6Zj
wqD60jlaf5uM5fCE+5e28rnnc9kbSxTuMyeLq5yHoggTwKQRZmO3TW/pn1N1iD7Wsp4ci37gct6p
1RZjpmhllp3rwXmxfLGcW1Gqdk2oyMe6woZsU2IcCR9jKLTdXJN6M6b59BEuTbl6O50Xh7decbEK
R20tO21nTkfDwI0Mr40K4F0vh8cSUybkJiZ8QyVRg5tQIwXYdriKF20HRAP/BQ8jdHQ2cZPvsPLD
XbBPMjoj+t2XhRCbJOzSnRyn6begz5RNLk3NAwQk/KUxgKrvhlAMn3W/Nx9VlLb9tk6T6smp/OAR
n5ZkW/mJvedwFd+PTYAGZap8rGExidxiQo7MH17oToTh96aFKKf1rXGP07KzEj46c62GFnX6HXBr
92WdwqVjYjP7thOilz/4eqOh0FMhfWcWBcesUkC5hki9dS0O702orh9E4cSfpd4sngTxJrzadcxZ
h37cQZN1sNOGNPqnadM1TcS5xWKx5EdFzvXK5Gptzpdfkp/3WaoEK6e9MyeYZb2lwIiLq1vXHtsy
GO/xmtTuA01vvhc6EEtVjQ338kQ+8xLL4stq7GQp8of22A8Vvn2lP7gj8Z6VT3nu6fNMezGjjCbK
63ZI2mOg6GO18bUpTCh2HqPr1ohlEWavxqqTt3WL6aGkjvhx6PJDU1TxOwRRwzbJtXwHlA5jI6GO
a8eI+Xj6xqSdDbNevlPRN1oZZABhcUyLf2qKwGJZze14O+QBMNg0cX7FdS/HWCym/u2YFcEaXPxc
b85//6I3fcpL/Zzd+ljIzvehNHEVL8eVvWkh6v37hGEtFj8nTcthCEQL3zL1260jR91t45fJL71o
U1wYgxZTAdnx4XyReY9T07ifmqL/0eDid11UF8zA6Qtij93rdogVEjP1a8cS5ZLWa9becH7KWx9u
saw4vt1pQWk1x77UCOxq8W1kBZXqFrZCJqWq9eRgVmF163dR5ZLrQkat5RR9ZRlG4l0JwOXylDt3
mFuyBTnxCtEmSualKQgl9AfKwa7KkWM3tSSI6sr4kOVRsZPJkd8NBg5UOCnjxy1yPM1a3K+h+qab
QOJnkvQHmlGL2WlsDFaSn2c292UxqUbRYVaEfebhdBVsAq3B8RFf7k2vJmus9eco2hsfY1lD2mB0
hXVh2B17n7O+7ddq4yYZDi4bIysNEiqdfaON1HlE8FaGXd9FXDEENty7vBZ8lLbTPlQDFUJrCohz
E2ApJU/iojdqQbYQPun0uzId8RkdlRJt2mroXT3I3wsiR6gzmR2ZGhUgA/rUqDaSH8prCpIzZ54l
pBw3DaIxlRiPVfNV6et97I9bvRhd2/qpNpbXN2v+L2eOOsuS1brz62EEIYj/j+QBG2v3SRHLR0WY
wTafRLizckjJl8f7ueG0WLaCyRImtBLloMYjtrz21N8kaBRdhBude7mJM7uluVi8pikl/qZX8mHA
BAJLUSizjWp/Tg0qMciQ+rvLzZxZgGebrZcL8GQReWmmPPWiEWbEAIgvWFt/zz16sThZSTWYUsej
O0ifjnIc7CsvZcsqVrudjfN6PfF07DyPZT3g+upMa+jAMwNpWchKpTDy9HBMPETNRb+JzVlCFlaV
/kBAfjwECaYOu9Qq/rr8Bc6tG8vSVqFXhZZGZeKRfTa9Ou6svzD6qT6bJieXIYp9cIF1An0npB6E
/7I6JoMWIQ83arcDbQj2wSnX1owzI3tZDDvplR0YZtV7Eq7uFhg1He/jwV/Ld5ypOHo2fHs53vp6
TCfh14kny5q0F/187NbsqnM2QxpUIRzIsPDkNvOfJG7x8b5oqu6PKI1+LXt0RsgJGep0xCcjRRQE
THsv6XOovomyacdug5UEp+tx55iP+HLsqjJ71PrxSJHkjtQVOM6JQgvfVa3gD+HQbRVJtw3Qdyxt
kgz5p1/fIxt11ci8Mcp4JQJ/biDOE+vF4QjqaZCYSp54HRJ+NzagDo5RaGTktUNY2vI0PthmsJqc
P7ddLHnEoax1cTFVCfA2nElc4CHyL7XX8l/SFDTcIBEbbEEmGb+Qs09/Kb2CyW4hoqG+Ubq6Wrnz
P5dfvLGNItc9eevE1kUayUbnjSbi+Y1hB9FNkqDP9jsj+sm1J/DMOFKO1Nu5kwM5yZq83iH7DCsl
OFhxW2Ruk9TDRoJ8syv7Hn+5NhyDjR4Awsm0QvtkGc6sgOMqGg+tL4BQFOXnRhr8D9EoEwuUB+W3
kTdD6V6e4mf2wKVrRsV4xstVEOYJ6vQxSgtrr7Uldb31NE13HZiWG/yq021i9v1Kqu/MPF4WJEpS
rRWNKSFomWyM6QMTU/gOZeptkIXl+8uvdaaNZVU0BtO5hMlx65U6VxMM0stdhIOVq4x1c7jcxJld
cFk0XEogZKtGbj2zBG8sDLU9TkYS31mDkB8kuwhXFuF5Sr0x6JYVxDiqyVnsi9aLA+NHM+rBt3Ao
7U9XvYQ+D4sX8ziemqjQKhwW5FQLb0D7TOXGsPLWQziVPOn12Kx89HNvMS8kLxoaUr/WBNlXz7Hq
PfBmfGjXQBnnHj1/oBePdrK0mvwoSL0ZwRR37ILGyt3hzCde1reyCuNgJfmNl0yWf5iSxLiHUBjI
GxmD+kOc4sGzufwdzm0+y3LXWgn8oG6RBFddjR+vJrX4zmbhcKtzL9mNfmW5bZYfyFHc2MUXMZVX
hiSWpa4+sB/fsaqUaoVBPoZjVh+gpE27y+915tssS10xrqpL4jUZn73EUz35Ecnjj+sevRhRmWSE
ppl1mdcHtcaOOcg3bVStfZBzP3wxqIKyyM3ckbgcGyDEqiTUKW4WXy7/9DOrkzb//YsRi8ew34eC
K18YdNb9pIfyNqh140MZa8r3y02Yz3e7N9YNbX6zF41Y0F9T3+TeGykp+ZFJi1qBxaQy7kFcxkfh
KMFnP4lj6MN69lAoRXQbB225aan/Sl2lb/ovkCPaTfhJu4ksgpKa9JjHmGjkvsi/y3bc7K3YwUkj
i6HoaaFk75Nebn5HEyYvqd9zqrba8IdczF42pow1Qq0402/EFqS8wogBsdO4hmcbHXm9vNGSVnJL
Q+r+isZo2Oua0X2JhTa8UwNJIoyqRm4tovrQVD4O0kFelhshCc0LWjX+0NYWW0mdTIeayF1dfsFn
Qt4MXS8e4aS3xHqzcQRBZoSHUi87ZUPYcnrIJihlkfyxm0YZummqkpqWbaf6Ejpt2IIYH+Nb8OZV
semNSJa55ARwzAn/PnB1yLb4pcefkjz3H6QpGT5kciZtwk4HAd/Ko74TFO6C3e07+YNaD6lrU9P4
iZS18Jw8wuO7BFHzZKqq2e9yoUePqQiiewMAxsGva1/bSLWTbecrsU0uEtwFVI9avZ0qo6o3Ri5p
B+fZtrS1LdfJ4vAQRAI39Syox99JLNSbEFBrvnWE1BobOQp7e9uNqWO+M0qsS/qhSUm5TFn5lIyj
/stvcZxJ5fksmSJ1uIeGlUPUhQj+ydBSLEpZ7AZ8RwLVZEsFaAouW5IiGNSpU2xtBVhIVJfOV8lK
zNs20sU2G9qZBWz0xSYG5qNu6tRqdo4Ra27bi/xAqCl27VLrP0bY92X7wSgIv6foo3AMQSeNTC8r
b/Uq0QoPH8OhI4dYFNkmzPxJAyvXwFcz2jZM95HI8/5j2yh6v5FsnSWgVgZqpqGH5ltN1OPHOUH4
XiVOaN32dauM7yxe5LdfdPaPNGg4sGaWZBy5E3YPiSULWoUt4kmiwxbYoL4EQxqLm247SEG5DYRR
KdvSihXFtQlmfU/iIMFwxEqKT1IpGfe2MumHbDSLj9NQy9sOkNEW3GS+LexOFhsC2eaeUnrKY4GI
NrrXc2H8oah+XW66aAQqnAJndfMJbh0AZWs2g50y2dgaIe7FdVXDEu6YEykpg9Q42ENZb7nhK7fN
pFVALdUiMACiNlV616OT2ubFwC2hKoh8ueHg2NafQk0zQRyiaDfmEA/iIKYxdv1abw9Fo/n9Ngqy
au9IStCRd+6GCM+lFpLdmMi4z0Szp41pDw9Rm4QH0ykF5sats0/NAceZVhvtI+BS23aTUlJw9+ki
yKVKYoePIcYG945eapvCMeuN5kg1Fip5OGuMMMg8DIaT3LZimGCQx0qNkXoV/z/Kzmw3ciTbsr/S
qHdecDBOwK16IH12uVxzROiFkEIK0jgZaZz59b28qnrIi0ajG8iXzFBEKuSk2Tn77LOX/C3NPtH3
dcNG9ZUIqPFTpvNa7/28q/vtFBS/S5Z1T2Xr2fKilrGGR+VZrfnW9eEfs8qzalNzS5CLMybwrwjU
966zWvKDMS32d0vQzVULL7+6tp3Hk+tVoE6XdK2i0TaAuOeDhO7sskn+lveFviKHtY98+/prTIOe
XGJG9s+TEZYv7lIS5uEFMKX7isgGUv1JqgutxTqq3CP3fRrbkzvMmkzzyYFQKQR/8iotArhHisa7
1CC9x4Yc/8L4PriqZuy2abXMT6Og3UGVLPxHLJY6TmVqG5uS/LWNUl54dYeMCW3XNuRszvpUWlLH
vhxa6je/vbAqXW7qGaAQSYdQCMVqPiJk+luJ9kXktVEPkTEa3sZY+Aw8DLkHdg/aa2jM2bfZlsYu
CLT3XQrX/41nhDIrzapPS/mcAaYUpGzD4InHzKHftKrx2tZK7BIvVdUGjiRnv18EbGqm67itjUaf
tKWIdpbrfA6npng0xVRvvUA3O00QIIHP8GjmqKj0vYPc47vtzdXoF83dhK3EK+stAWDHIKf1YmO9
drb1SiJwNBRjcqdFMH6FI5C1QQGamlo33UxpAho7F35FSHkOOm0OVMbZ6npxas7jtTP1cLBVUz+r
3LEpfjn5+yibhbNTuarmuGGlZm96fUkaeb8WPwI19C8EojHhCH1lxo4KMjdK16x+zZq+ZmTIiRjJ
NMke+pL1qAgvNhyvWoPC6xa9XbtV3t8ot2mE6Oe/upOv/4xgPTZMebGKGiuEsd5rXJLvJZcchnrj
WbQlPUbilv6HPXQOfLjOKI6qqNd49YzwQlQhbLS+kW99UM1cWmQjxwPAmVdTJ80pWAK32Zj22nEs
DoCiYqVsUPHDgPOI07Ikqh1CZfbg2oWnNoMkaS12M2N+ENnEiIrA4zJidbPa+Wkh4nqyu3u9pv7F
1HzHACQqO05LUV/WouFCz92uelCrw/5EYoUPs2WMx4yQKNhfbpBTAUhna5AkeunQESLBqhWQ7rGp
67huzWJveHnwjnsFx4jv6t9LIIoLOQXzT5nmw8kYivQjTBJnH4Y5XO91GbeTm04Ba4Q5uwx+24Mp
zSf729R+egJvaH9nYlYHQV3x1E+e3IgSZHZY2goZf3T2s+c3/a4MVP3KCE3vvaR3DklhwNhSVrCv
6zw46xBtPvA7ru2ZCLae4g19oTQjyy7VdK/aug0ew5D0641QgmfDy4qwJLXSLYirKoLJ+PIw0G3m
MJ37fX7zfUXC1cFGUos9zmlYvDpB0nzMeD3PaTb2zy0ayitHKgn7iWXV86YJQ+DknIscv7CuHzL1
XbhOe6hGbp/R7HogeHZ+l5MavnGMNCc0P0y9uwK+pBOZTTI/e0WmyczrONxLLdqTbMvpcbHncmfn
WZps63QOvgercLaD6SXBacqn6lwrajKAdGELbUKqgWG3Fk4ThyR2PPZysQpG9555LXJTfRpNZ/yE
2uA/9Z2vdtZse0fdGSwI14Z9HhL25OGgLYzrsD7qN0G+V4DGFlJiOda8vJPExExiDWe/iLVbj++5
Habb2c8K8i2LvAVX6TsNpDbFEytr0T6k5dInWzUO7l434cIWtG7P5pQsB6mL4jqjmNa7VAiDbH5D
T9HEOJu4WZXAVPO94uTp8W1QgbO5TUtHND5f3dWunztwGWv307Tw4rFZqMRXn7YphLGkI57ddYFy
AOxgtdmagotBNQ9/jZWqG1f6tRVGNey0SI1mV7QESqUJXDY5LOQCtBkrzdGcNJLEwAb/RtQEDevW
XUfGGKBWqexNNiR5cJqhgOVfA9X2jvoKkUmVyjhPngGJkRyDfIkUi91llIt1bzuGgkTA26Vi28nz
at8bDqnOQljVluzKfMUJJrOLH+p5nzN24QHNs3okPXJ0Txj46t+GC/Ig8RrjUzqzkW1SILx1ZBjJ
eCH2ydgYmV+MMYWnlJFjWG1cEXmyqdyg7LYllrUukklJI8NCXDtxu7kdecgiG7fs+uLM7LPSek1X
4X6lDaFsYR/0N7tmOz2AUA1f83axq00/K2qbmVJ9VQK8ZIe6ehILZ/naCyyRM6Y/v/QRQfvRq+9s
w3J+mEsP6J6zDjd6b15IJ52DyOyzkOS3wimbmDEny6E13iUYZkXh71J7wV/nBFV6CKvJutZlVgDY
C3Zp0BXfpZ7a/bTMyT31J2+SzoetWyzfpP7N4RMGbE8cnIacz0OTdt7HkgzNEC/NbNn7PhfgE3Vj
tEG8rjncQsOUxX0um4btVIbUE68kdJRdVrNVr2i9D+HMChnhxykOE9l0Y0QfuNpUa5ll3M9DX6X3
KTH8tUuK1Xahfpq2Ydi6uPnYbu533dCf7cpv9Z6du/U38fVru/u/N5AWQCA6xf9TB/lf5jzB3Nst
L0l2WFqDv9hC+vS5Znp7L7UcdtLyl+3Q28PJtbPgfZjyzolbNYxHRhE94cqSnqfjtff9dTbjtu0a
KA63zX7LHZgRlFmloja3qBMWfx7pNpY052ktFnB61mqUF34gk3mwjcSrYidJmQESIj3CXyx7I/LL
smLm4BCmYCfEWOwwyOcPslDNZ2E4ySVsJmFEhlIUClknDCCPiY3PyOnX4cVWdfGWQVsgCNoIoJ9w
A7w33QznFO1jOtZFW+GQDMTPpBLmIy/ecFd39AaRDLAA9dY88RKOdnA3zF6xEoeITBS7nKJkyC3e
kp+yaTU43K2Ci9FDCi5yp3zEQBC+ltqbXgxOmJfJS7KDb/jrtG0DgR0Ush5Zs1bi8nD5XnusbJ1d
GPjfKtCmar14WjN+xsXtaxVi/s8WKlUdq7ma/+jSDf+Q9DglEXt93p0t4TNeEnYqzmqyuncWZOwl
lqESx8W1l6chszl80paCNgJgPydbZ1Xjh5Ov9qFU0vylmen8DF0c1XqCs7lrZFG/zrqz3u3RpmeV
vtw5btJeBQed3IwFK1C3k2EqMEcCncTUdNLgjtOo7dZcM6zqp7c6UOFj7zrLGy3yWzKxp7xJ/aL4
Hbaje2yD3nmtgkHc591SblbpLHyEJfQmanLhMbLXTfIyLR54lYDz+DKXuckUxE0sVgCUqSl2J3Fs
09ApYxvvRhmptUGNrcz+HChrfjY9R29mdtkuJT0KKCTXyt24b2nzN0o4N3VjNGdJfGzqmbsJONQZ
ixgDFoqCX26f5T+WoMqtyEw8/z0pnd6JIYb1X4gCim5YItYdEfNxwpDnb7z5Ru+WER+aj2O3MW8t
nwhEfrbFWOwdhNcFFpCZvBq9TY1EcN9wPzI8mwCGQgyLazJDaJeVaS2chXk1YAhz5p+J6ZaPrSys
syorfZoLviyawVpfQUPRfgcWvbstOxB0fjWI9xYYU4Frxm/syE+N9J5c7YLPPp+TswtO7pjA5nxw
xFy4sS7GCTMeuZ5XTDz6uS8N66Ate75LLce/ktclX3EJBwMXiuIFawxrOU45FMEO+OijltSGm5Hu
FgpyWt77HlmeBbUfwkUXfPpTrp7NfEpie1zKd792hhtYZ6xfWLlotqSr6ltoukM0PM43QqOYDRA/
3HR5ElWTAlNuGWnzGOBC/M06T3JmEA0AUyd1dwdW1zqNkFYpTZvyoDt/gWS0BL/DJExe3LbpUQOa
NQR+vjjHQgLpjuE8WC/zIIZrb8n1jSNVRz4hoD8JHfB/cjt3b4RVr+3mNk94CGsj6ZjVTPa9EeYw
aZvMbIiMtsHljH4oDgbdHHB1rt2Q1dc6+6zMod0tltvuOMmtCZSSAPlVpbX9x0m78Q2Poets2tYK
3maBgSnuGhaOiXkdP928dI1IM2zfVl2+gL/z2+XH7BtGisEKicbIRPgjXNv5G+IgDT7ocy9el9S6
7+3e/prNsYuWPmNzvPQCMs17posOFzatvj8n4asU0v0dDn15JrLFg/EsYTcruxCvyhlKaqZZ3/vN
ED6LZpz4TiYZfrodrEGtA3nSa+/vWO6jBM4DgdCl6zL5ds2iXQkom/qdwlFeHsecO3XbuDW0J6aR
3hN7mJQKROHNf+bM8A6N1Q30CoXYtkjgF6PQ5Ws+S19v7KWXbwKlPd9yDC5gz5YlodZ0EEeSvGTl
vndufHDTGDojapU9cwuazdzT+FUmm+EF87UdfvfgkmemlPuG1qvbjigFrzqc7UOe3WqQQkOkCOya
VstNFkdSRsj8zk6t9btvhftWdK2L0FOHMgqLvHsWXcUJl63WwpdayfyaVUZ66dp+vcwiYcnUn8vl
ODow1SPmJwtLp9QeG35EzRXBRt7Zk+fmERk6EDK90Su9LRkozktVzlxwUyVnbiq3r6xNPoGUREAA
tRMJLGAX2xvXnVRZcmI9qf70h8KLLbM29ZnDcAG41XtAvhPki/1S1ErFRZc6h6A2+ue6LZSC4Z0H
h8kL5xU3unIeCiHWHY4aca1rvzqWTYc+pVRmepG5aOunsvHARKSeoGcV4RItrKHF7CUkB58l+aOT
OfbT2BTFXS1VR76eWR2LaqmZ72Tybl0m77BkCbyFuijxjZsAuUdhnvVgNlc9mtYh65umQMwU/kfZ
MvbmHSiXLSrAguGgx0jbBy3N/byWK/WDUhw3ARZ0OVAzpDL0T6uAzj0ZQm/0VKOGtPX6bEHreZ2t
lUuzcIMkWjyZvece7EGaex7kYbBTdZWqRl7Ihspkqdyz5K5z2kAeCUqp77nUWG60qG8Q4JjM5ls3
m0n4TnRpf3ghXLwWFPGJPKXh5A/sQc1iTcsYCd35WQf8ASoxVtoYKtmN2wK9jfnQ5mpHQgJ1dOVM
m3Rcq/u6onLw8eW9SqJLEEgb22o2PIrhseXZ/Fm5IVWGYt59bxStIaJRtcWuwGL7XSbae4Kfk27h
p66PXWb7R5oyyeNsLTOfkbsuR9yg881XPeLNKCbhY3hjvY+2rb3XjVVvh2lNd63RWV9jO8mH3Aim
0+KVSNVNn47XG3Tgl0YyjtcUY4+P/Wq3OkN9FFU5LJxU7DqCbyXoSQf072wWQ/0snYg4NPPQE7BM
s2v2277tXSrckUU9B2D9sLRyT2RC+AOIsXjWKuieQ7tOIp/Y9581c5cDoS/t1ps5N4JCfwR5EbyW
ramIoy6bdoMbQiRxbmbmU6db816FN6xME+gTNza3WhfaFB9tKQa1EY09fayuZTxo2SxyW7Lds1Vh
mmyYjEgZZ7MMf40+bpZ4NVMRUOKKZOshAlYbf5xa+0l6eT+8LKMeaD8Sc/W3ywJgJXFzENBG42aA
xM0+FVBYg5GSUYk23wfubPmwFof5OGjgzJFVKcs5ianXH8oXRvMMaFDus0FXv6t/fvTVBB54M5dt
yT1XZ/MYZVCZU7bWR+N5SM2+ixk7KvEaQp8etvPAyHnrlIJ2y+zloXP7YRtYiXhWGeqXtWbtGpki
lHdFEIJhDZhnRB5YkID6w0VLWLGFRWjx6pejrHGXQNS6UAlYz3MdgBRHYtt2QTtvKc9AdKIFXCo/
M++WRoqY5jD8OfipH1l8ewdZoVv7Op8PAjESiUBWv1my9uOsrquncmiDaxn07d5aq+LHQp/YUa/p
5nUZiu6hkHX/w7fRewzyIPaV7ekfoIWfDer4nd1l7rGxJN4Si7vkJOZ2/Ghb6mi/ze+zLLTf7Z4j
B7XKiHNrzN6HWTHVaadlZ6zj8lN7DLZFg8oYpZyaV18Gqx31XcCIZRjto9B2+spsJny1+qbedSxI
7VkwY/kLapG4MDXAxuSRACsjMVbLY+Fq8ZX2ov0Jp0GrCObuyu1NMPK2snP5uk5s8OVzqr4R3rmr
AGi4ausMDAqkHtyrV9+eCyA6vhF5i2zVpida5ArdOrl0lpbuVvVh87joPghQ/4z25Ge2iYKD6YRD
MLXm02rY9om2erhnMzC7CzuMMdiT5hqJJzQ0mShT8WBJM3hiTJCcK1aZ6JpSK3hS8xQehUsAfGkV
2Y96tudf65p0285ZNfKcNezG3HaqmMy4+ZX9zQ7eX529KUO3QJytccsVhMO/6cSpQuL54r91G3SQ
6qH0qvDitcDghM7aDWH0+VeaugniiJdv/DRg0X5I02PGc7vvnYI1EoaroNJl456cccjOrVmFlHmJ
X0blLNdLU3GAxBm4oXsfQXqNuOYKtFU+km3DSK3azmQisOa/OqA4RoSJzmyqD5lk5qnR/Xyodejd
1Utj3eVasq6hg/EYEIv9LF1JmooPMmPmvtTFr6ZJoaKKImmOQ+ex88e4YWI4QUHxyKyNZM7aB9TZ
6UlETZV3NDIMEnZICf6Hq41hu07Kf5ix/YVYtgBb36L19USYYl5/yc7wmQdxrGdZUv+aGJIeDIy3
mwzlbI1WqyVmZPFLSehdPhoWC392+I7+4l1SH/hbP86M45OZSU0+tQofWGcue6SR4ocKw4zvO2j1
ZvK9nHTYyt8bReH8JEmPh2ItczwvPMLWjmdR4larkEEExs0SClI+v7XpbYaYpSu09cykeBLT0j0G
/PSuTWPIbWssy34SQ/ZB052/Dk5W/AzmQf623ISjCaF82tQZI0ZE7rm+iNxueXjKddyES+JePLvO
YX1Lm5DcPnlexpm14IayO0pRIPf90oitWBZeMLwOGy4keQgLw/vDI1gfAQrinBpCFgd5Hs4psuh2
coLWiKeitmORLMtLG9r9XZdZneJiZmYQyzXUe8rQd7rO8RbWs2ZUjr55Wm3p07EhZ6WBWij2jDzu
ECMvVd7zagK1V4fMqoqCHtUK7nU/WW2kqsG60HKVMEWqcIe50TqRUrO8L50I33177nmTvEqSRt1m
jQWNYJl/OeEaeluDv9xV+uQH0TjVW0c6072ebBYxnc4ujwX3RbCt0qp/BDe8RKY1DNssdcOnnBXJ
4yQc7go4CBdBNMqZ5Ex9meZuPjGpq15bd6a3KNgqZMbr7WzrdmOQUhTpLLNic86Iry+k4gxvGfTb
67K3lynd20FpvqVcu8zzXYs1A0J5wqi3kPMjRgvTe4j68lUQlkHuYpMzAvTr9BAs1nysULXbqIYN
uB+C3NohxVsPY1bLiOIJOizX04nV4uww85d5CMu6oVAcC7kHH+Scc/pHXGwlLVI1l+HJ1ZxlDOPT
44IA9mBgf7Mjo12b97oozMe0T6wTecfWsTSt/pKAvbq6bq6/ylpN+V3XLCOuBK8Xh97R3lsxVP0v
0Oz256Rz4Kxuyg5t0C8/6pwR7nmwQmntqqUz0wij03jhcEc5EYKLOceQMPN5/JptshX2XeJafB58
t3rnYpb/HpeOcLlB1rj5Wt6cMnRvsd1lOL1UVQjSrp7D+mAQtYnMU41Pa+YHVoQ0pzeZGElk9Nzg
3BeDddRCGduE1O8TU6jpl+Mn5a4xWMHtzXxGJxDGLulxKibkwP0Gk8DwXFuh3jIOUxuvsZM/s5uE
W+Il5LdaA0RkkRsKlW0MdqMqLDueu3HYLc4ofgtnrA9OXw4XUY8ptXWjnHeVu/a2Zsz6YE1ezYKW
1vZ9jVBzMH3buMuGcb6nK2gI7RKo3ZkO+yvWSagZwWK0bwMpOjzlS2ActDS8/WCl052ZjnkZTVYN
j0aq4srKWzpsJaBHHivgKQ1SOgPiCBKaaqLZ7Mch6qVmNFY1jvrB8cfmMlfYsfLKVQPfRcIgS1A9
47qwNu5qN3AcpEHL3AZOzD3vvWKbEF6UEh+JorUwjlj47p+TUFRPLnrsfVs15rZYV/fRCfOcuUOZ
nigA5YmRHJS6ELeGR4RgvwOA+7SIouMBKKvlicOvO1KHhsiTVvG1Dj0kYHwW8cDskTWntbSeQM6X
T4Wr5FdaV+LcsrTwuxhuqrc7r+5zX5Nvq5Aod4FYgghJL/kipOIz9XW/bc2RurcaGOBRRmz7rEtQ
1yvn9vIOe5OdYkZwzPe1HIsdTzUKYF51G2k19o4emb4tz+uFUq5O31jDDYN4Dnpm+Uk+vZCZPD8Q
XMvqceliedFDaR5I4LI3dkCih8FLhGuD6f2+8KFBQ4cr77XhpXe5HxRPM+mkqPCeyJkbzuN5zHrr
WRIInsRZJQDCW+j3Mg/ki6yq6b40vZv1tkGPnzk+njx7RrOp03WbzUUVHLSJgAs6puHgJEv72/IC
/zhataG3xkoe03kJiyRSnP8rS+cN7NgC2WszFegvlrUQYkP2Vn/gsMtM2jazIsIzMcZLVXsE2HaT
l5qsedn+q8e08BVrSXJPX2CPcZsZPxKjn3ZOUhsHxL7p4CSZ40Tj2uanHDmSi0OF89scTsWPDGPC
UTWWvpREV9xZ2nfvg5rFsri0+3KbemkCoZ0fQ7Wvi04WUePJ4p1D1eue7CGp5Gby8nBv2lzGG6Jy
a+ez1qnelKZiQFqTi9uvdocgNpLiFFdlM5kb3avPIG+hOBeMG/ausyYv3oQ16tobLGdY4yS7F4dc
gHCXUb7lMctfeb0foWfye2Bieekz/4/5j4/uvwGEUI/YGvjbbfogTLlxV/nD5hROd5TK/W8LQ87V
MjxUF8XrSeCDP8G2Yz5dZm89mXkXAjTzSAtjjGv2HiOWVf1IcbnGmKjb44xb8+wxJeOTtlyHEb+Y
LoZ2sxhgMTDg1vbC6rAmRQKXPgjmYopJy/CT9Hj7wICqJ7ywG6ZkdND0NIQRFG2A9i6s9NK6flI/
WY5Ur6DTymzj6yyEark4rN9kKtdlFBJn8EWtNZhUGHrRR3tAKGBeWSAxj35C8+pUvsOX64kiaMm8
xYhXavoBEhBbXHZeJa9TvcgJn47nTnvPnOvplLZFqqKUNDnjXaHPHLTNSJt7ePzCxyP8X3XOdCDK
wsag7Kukm3PjpUMf83MSYs8Iwv/dLmZgbsnHLZAXbFWue8vG5r7qbBAbuWr7ujIWQkUpMnOJvCYV
214IfZ7dwvuwwc/WXKVBbUfOCsgiwVH0WCyJ99JVCodJhqnJca1540/DcqoCFoxFePN+KNTDOOAI
o9oXnZvx0eG2p7EkHaxMTWtvBl7JkCnL6wpROxl3Zp6yosAKHj6bevrFBxbs9KCdU3XbNWqxXX9O
S88+m4Nkdp/4k0gOlLuzua3E2P5CPe2/0XnrXzL13GfXdLQd5fiqzox0sMUVHad2Y7jrRg8pBTr+
cLe8L+U8/2nFHB4UogzaOHkXn9JcKfY7O832urPNC7tP3aZDpONSDtJwn/Ngv4ckXrbxGBpikyfN
8M7KWnHNsHQ98yhn911ZmL/sUQWRcub5YifucrWc2QMvMC16A5OKXqRdvOfA6IyYm8P7U/bpuhO5
arl7lfmyqnXY8f7PsePl9p2gvP0W/U1Z8gOz+tEEy8BDxdSaHy3qqp+CtAbqNf42Cskwust6psxI
BH5fMFFOVKMOmGbajxEbzhk6eX8WQfaHGVRyt5D8YEWMOdOf7OdAty2qPCjjXhawEMzcdz8a90EU
B6MmOcAGdC8YnuoIwiRct9ZqzmgE4UnbAaug1ThRvGSBynEJuWl6ZvVj/ZqCbGEKabGmgqT+3AHt
uquwoH+5g1H9EowaCeaWjR7jERt8ZDGhOWsekR1FtNyOhhE+8gKGT6opk2s7iC4eKPB282LVm1Iv
yNfkcpchno+U7ptMBv8lzJv8oTFU/TEZJQromijmP0mvHkv6ExFP7Jc5/7LW/3+B6F5UxT//+ReY
3D/+E1TBb/z7Gq9R/4/9t7r/qL67//pFf/k93T/++cvpt9p89B9/+Zdt3ePXeRy+9fL03TE9/Oef
/++v/H/9xf/2/c8/5WVpvv/+t99qqPvbn5aiI/7vNLlb2Ob/xBbdvpF//7bb9//3vyHmyfGv+Lnb
b/gXfc5w/f8Qrh2GISzyEMang6N3+u76v//N8G78OcvzgTQyXHCdW8DZv/lzBr/kwXqnPIVaB0jq
Fkr3bwAdYsF/wLHj3cdLAFfx9vv+x9/94V8TYH5s/Kz5Wfz73/9CbXP+GR/7v0bFQCpd9n2AEnih
C6UY+vJfTcfBNBLH7/jmdmSPM90mHvt7Xky+zYCNIJU2k09mMubJLycDyQIdgANEsa7+6S69+ExT
NID3HnNnuu1Cw+h5WZmmcrqIFCJ9s6yFC5LDqJ96ReDJzuRawJHS5yFjxnmlKuG+W2rr2qI5IVzO
zURIi3bc9s5EPgsaqhM/m15qq3Ev2Fva+pCQo6ec7Vi46yxiDiECcfuxXYq3Eo9xcRSt0gh72p/+
TBVTYiJtbH9HKiMByIvvbesJImQS4ukynflFDzdjcKZw1+XqavBmIZsME18q37xhYF9pwjvbjcDW
/XT5NGXgnFdY66mZUnP5oxllPUPqlQF01OCARXKwxH5lpcu0guZcFG4HPhvrteU1CXJ6eGYkU16d
4qYfZj57ko54JAQGrilgvNskJmXi0Y/3K14IJMEAY6mfPSYVNNsg1/f4EbNjny36eRgbbxtgajxS
2NixtbjM8N3+u664jqzWv3INsNA4GqcmUH8sY3l0XPRr1iGMnZ7lKzvCw34aOXP9JVePBGl8UoWL
WIesMYukaV8Zfuhtgfd0m5vFp5EG7zWAi4jnUnFBr78dLzOupjM0W1vmbST0Om8K7KNMLuX4XITQ
V3kJnhBsvA3RYgMDpTR5LeyleJc8AQfZMEI0OlC5vQ4mRI6qbPFsTcP8Ii2Wcr6mtS3e7NFEJm8n
LCPPbS2XI5VM4pw6LHjOVzKW2Kk1kwYj7pzKZdKXS2i1DL/xAe9zwzPvaKpp30OiNLNThvv62ZgZ
VZR9tFD5ULuLFk/QxhktbpQLQLnMe+AuDQO1ZSu3doM/jZn2y3KX+gNa9QMkOGNKmfz0piVPnXbZ
EROrP5KK41ZOthXpOjylZqMWJtimpTepoa3nqXHtDx9GWGxACT4MedY+WoEIH8ep0wdpuz6WY4/u
ZeyxmnhMhn7y2NKrGcPtCqUmipBOeyK0NA7RJG+YRzp9VKe1amOP5N0TivRyP6SFj2CrmqQ0urdO
JssU+6x9xsWIDJOmk7y3Zuch9RU6qId42AfGyKCs8jKxKYji5AOYhmY8V5wXxDpa5dL4+641Zpz6
i9/EIp3xNFk0LUHYz5HA+hALw2DZMbObKJNJ29H0E1R94BLKzVvXnaC8qmIJPynrk0OJojnEU5b0
PZPZNDkMiQGntu1eCW5zAW/j9gyqMQPPOxnTbhma7EEob9kzSLW2eJzDnQpqcydazeAwxBsWJAFp
UhWpzpmSP9eGKWzS1+3Rmlxjo3OUdWx0SRTWsniU+bqeuptRBIlZOHlw7aQtz3gu62MDmvKMZDxH
gamnXZAK/VNVi3GG4OJsJtUHF1T4/CNNUf9Y9mu26bLyw3BSGnz39iV4SqPptkscFFOw7zorQ8vV
vjyzlBrsTUTNPVpWd8SACz1ycNeok014V6xhcK9qAQ0kzM2DKWR+nrLJOAfCEa//nbkzWY4cWbLs
r9QP4AlmAza1wOAjnaSTDJIRGwinwGCYJwPw9XX8vZLq7uruRe96kSmSEpHBoBMwU9V77lUg7DFk
QQsOv6Ev43UrjgNJWs8670nwzy8pYVuf7TUBo/L/+bfyX9OeEytQs5+7ET8Ovi6z0/d//gSbodUP
zcIg3DNvfwI7KX76pa8PTpV9SHCxM14Cjb01mTqyj3B5IVmL3wYD8DCO1hAaAgMxXEd+rOcRosl2
+f6wRu4UAXx7Z5JbIFqfJY89sRFqWc2HDmmG+FeeHubHGXMG97eHJ+Tjn1+/8d3sjYFoSTIvv0OH
Bbn/52eIgr+86MRdH73ezpYLLrHsTefV+07h5i41YuY3i8h0tj+L4mMgco0tIFvxISerfyc0fftc
qrmKKkQ/E6idFdDOMri/paEtxzHV/BcxgFj35Ei/5m3WBaVEMS4Mz6QBqr07BYIRVqan/uYKvVgO
njj7xoYzoK/91nuzHMfXxLFNioXcRj5jnCG86iBX84k6ty1Yw+JAHDaBbRpmJoOyncYTGzwZSLfC
kURKNvJlyB3rtIh1IX/bfWDdyPPYyafVrQ8oBFvUsBcuox1icd6xFtPOnNbDZFmfreeRlFukduSl
Q33SBVghktqDsjoedM949NLtbYYdCi3ZUfa7ttxtlUGCuEYaic2iHxbJbOsu7+En/HSQO5sxQZzA
VdICbF7gaUQBotiyl9nL7PNgEd+uZzU8Cyxw6NbCAExx0kPv8ojT6FdGiFHzQ3S34RY0c5Co9ZUF
yTmff/MizeTP1CdfOFmaiPHCswGzd89d4oeTWll5aZhVXEyKp1twFE9b5sfQPuXBH6X7a2mcJTKz
bXhf0Z9jMQtq43zW9gPiWUzS0ULecnYEeF05uG3v76IPu20VB92Yg2otoWmtfHsaxmQ6a+CUeHWi
WYFwtlBgD6Zk4t86OA1Y34hsgOZ0XstapwMe46py/aBts19JDZWmQanCKgynbize4Af2LQMVEPfZ
3Y+etQWdIb+ANIDgcXERr2P2f0d0Z8zDzB2IyJoDEC0RlMZ62CatiycH4Ef3WQovXD/UbAXRaDdH
e53NaMWBcJeWLZNcVS0Rq/G8mFkAx6AjtNOsb0sACH/kfS322rK68WS0x9G/ndUNTX+61h/FmrP3
BOLpqmwX35UiGgul3H+snLF7MkiADC1R0rF7pffc9MLcpzU7qmWVkBqi0RlGKemGGDAMsUW0RfVh
dg3/mqTWkWqQdSq5r8wjQaKKESR7g+6h1csHH0/BjrN6zgJj1fRr7yX9Gx0KOYX9nE8Exws/oiBl
upA2XCPuao4n4Sek73rrfWIa6qLXI0NfaUNxtG11zfWuCTca4KPBJU1zSPwWV547Mp4jUrbHrhB4
9pzdJ3rdYUoo+peqlXbP0dbAxrvd9qeGBNqLyQElc/oB1jNVx3mu3NNqFfMOe652zitPHp16MM60
m+KgOK++l6nByikK7aFo+pnHNJV3DHq3HeeicZwZvsKHLXSoLWl1VbTZHDKZ61trZI4r3oQsF+YW
FCMRJSmj0SUw3cy/yzeRRoxvJmrFpr00edNHhbwRFyusUb3o/XOtaGFXi4rR9VYWiUsBam1qY1CU
JtpWCij/RHcAnurM7DtYVPZTOI0TqxpQs+uy0g0yGKF4Yu1zMFZ4E3Qq9SjZ1PrYKtO/tsyLKKEX
NFSp3atGJV/8wfLRVwzUwGhuj9i4/QKIgK63R5Q/rThuyj/RzdqRy1Kon9Ss3G+vJe1Ic0XYtaCZ
ubTsQw5xDZmTQIcYBdS9cgVu6yYZqY+5k7wi+UuaUh67pRABd/I7k5nhgpraXG02DIWqbl47WPAY
WGs51b3MXnxKxkhgrzjC2q2hNVKAjuvkxmBWeeyJ+i83+tNm9jXK0sKJpnv3sz89kZOWBcoswPuV
MqdD33ObJH5WXRn6whywDn6vd4t4K/3xBQ3cOqXO8C386UsvXWovR7MYedIrl+qWgZSamwu0f/Na
zWbx6aqCzOu0+BDlxu23QccaU/fQ846x58y2ccZM3LQt8gClxhCmnmsGriQNRwdMiOdRMCitzTt6
EQaXy1aEi860T4cBzzFcld45tTiPmzYdKZXN0Kf6BtZo1G6pOUeJUMDGwvqLXa6bUBcl31+h1x/j
7YmgiD+tt6A7LWsQz+28vS41QXaTUXbnihxWfkxmEqGOzKdJBy/K9fV5rT33YHcd0Cw5fsE8qDJK
Svu+dtwPqPFfBTvJd7qQWwzC7YSGdLXd0OEcCvRS8tJv7ZMmqCm91Lv9UH8sqIIg79zpMW3UEjOH
+VHoq6HRodL2bc2MCfXj2czEdJ1JWG4CM3fNm2Tehg7jRx62KXkdulZrIwoshiFUS8Habh00YG9j
Uc76EI3qa8ZSGkp3qkPb5uc0sFH5OHPVHUpLe5GNdbQ0rzvhbYZzsbCTzbK7aLax4Ris2ALjgymW
DcutiItghJL6LnJPb4blNCBq8jEGXNtWHdOkp8fUYZ5LPckgN9/0J6bW2hvQFY7DZLmu9fRhADP+
qkmKsEe7fRo0q3hJbZNoKuZrv+mrht3i6d+d7rsn31KchaJ70BftYdOb+0rgjvaotGqsCCG6Xo0s
Va1Ho7GIh/OzT7nkdzqf61tiuA68fMfPEZR2KHP/JElUDvpkANxxUkCmcijj2Szl3hlNXEMEqdt3
yh7rJ2V7BA1pRReuiVExFWVnMZk340GWWxLbdeqf5ySlPNMAPjNGa/68RFalzT/YHPpXKzcAxRFS
d7amnAPnFyi4bJNXdsPVTBR1td9cJ7lgguUKSzyijBZSuaycmifhwwRCTB+VsOpoY2U8YFcm29Bt
ANKAS9TFGWXGgjvLuTiWWaFrTON9weEcZhrBHNtadfeA0RXukUVnoEoXH2b69l3b/hYVSzZfl7XU
9sutD6VYwYBijw6Ndzd92tiKKN/MFaICII+uJ6uhY8bPbEaAtQRMJeinuXdzZ7oDQ/9QsjV+O5uq
Qowaxil3Opvnf6XWGe33VZVp2BXQfytn9htxd/1edYl4KSGeruk82neF3zJcWGDYdKxG4ZySQZbX
8jp3G4IF8N+OzJg3L8/cg2ezSxd/qwjLsSP2a4Z19nBbcGy4ebdz8Tc88t2h8g/NvQ2a0waTpZzn
rbB/9669wSfKbAqm1vYfa4QGUi/N4bNxK6DkwuNDr4wEdVGnEsFE1lGfuVOwqbQ8OIC759otkgiO
G4WwWvyrbZXz8+CZ4IwlW+4jRElkN2bawBypPDQ1A22BueuOFpUxK2zRcUbYj9hmLl8av2qerHq9
obecsxcAoO1QlWN/thpH3k+AV9/rIjnHq84kZKVMnyuHNTPl5tXxAqP8Plrucmj8CR2jr9uHCpru
t97Z7SmfNOj3VOI3R2YUwcgKi1dA62umNxeb5j/N9D8lO0R+eYyzQmkKlFt1WyblJ91+W5xfWKic
WDpr9d6ZZXcn05Z1hobK37pWlKQtUwQYxvbRm4Q4ENqJhN472x0M1g+JrsY5Vdl2x5oDxYh2Wg7s
UxupJqYbqscr5xfpcLBZzhg7GlbSNkm/CJAe4qRIPudumPZlX1162i+41uahx6B9Fe7q/k1cD2dE
mk53IxXfVeuTnJjaacsDfU4R2munvOOjyyNBos1esNE10vVsuAqK8ceJZuvAclr93DJ0YC48EkPk
dBP+UJeX5fYZAev5vsmEO9lqwQvhG5GeuU4EdgYUuxZd8aSyYTnMeX1LUTNYFOlUau/jsg79vtPe
fXb4hrqz3YjNpHomCHjBVp22fDBZd2oph3ZDy4wxKABQ6Xsck4fQWhw4MBzpcbWa875hYzz2k6S7
l8WU3C++xAadrbh9QVz+NCt/qWEGXGTOwVoms+2qp42yOmYTrPbLHWlPsn4Zo8kUcl/fpgR6Ouk7
0jm7YCWbzWdJxIG/V4b8zzCJWUN5seey36f2mP8tSdb8qEULDSHH8iAaNqrMXbX+HloOHz31EbE4
+Owv1+yssEW1//CcRsZFW0+HzRm9gzvUzY6dNN07W+PXuMhtrCP5NBrf6D01cmw7EEmQT/6T0Xr6
Q7cV+lftY3VzZq9n54GwfybGSVEKtxE1BQTmtBb1zp+Y0JgJD6WP3/KVEVTyOdVFc483cgzrEXdb
2iK0EFOrvog5eLNSW96rNO8O0zhQ2Dj+0vxZl8V+MhddwQsVy28vb4lxRPz4nIndPrMFYD5ILu4q
hEV1nwZHK57nIeEQbro2VNWt0a5X7dRA4WJJznJS9biEmoyuGf2+Bs6+OSsvUnr5ucVh/WlJVfa3
ayd1g9msiseR0POonK2iBXmCGZqHXtxbribXs9p8crgy10I0qYBtTHIE7FawC4zt1Vw6kIDnSfM7
pEjPoFdLO/+hXgrxxLRNXowW+2hpdpjoSw2wr1foWHPmzW+kyepRsnL/98zcXuzUTc6+SyhFuWrm
Dh+iOjV53oaTBfnfgfL+TOyyDEw9fxzYtfSID2s5NUnF/Ew2+T4xOs5GuV18w0/3M/NGNHeZXKHV
DYrS1X80kd8ZcLpgp1PZXtpET06crdV9RuJ4XDnd8sDrMQZETWIwoRAi1ejTMv1PzdGfbYard1pd
v0EvPefWRj0063OkOwviIY+Jl5nfVTVN2AH9P+5UxGWZ8N1aVXpmuFi+jIYNlO6YkS7R01Wbs8yB
oaG+oiAboxUoW7fgEBJCOlYzcihkA63N0jAriXJIl2JXF+m6d7qZI75VFJhre0KlHJ97MGLAd3mZ
yVjguCs3uMJaEZYMudhZ5hyV4/qa1tN70/ldmDlTTLDvrqEbJXFDny+GwQQxSaoDL/gGQqgll3Yc
zWhjyH0Wei0Oi1G2fPCKcs3y0ij1MxGaxVgcXdcdD+syrCw5wD9EnMWp6ZPxQptUpNzt9ucsiiLK
Um5+woyvVtOpQ+drO3u28tDMrXTf9pv94+ptj1t20GKMCYxmLRqpjWVModUb7kFlOAw18idCF8kt
prfyGd1PmJRrn9lrNbIEs3NqusiieJ9IhY5EZuuPRTFql5xMBFbbbrcFRlPvP7iCEa+fzy8V4duR
MYgk0FZVBd04kjHhWOWuwyR2nUemB7oSWjRYwwUSNOdlYXw7TX169Ae3udTMknaiV/RRFk12T3jp
5N2gEtfQThBofGc8Di9LvT75NaUyrIkN6ZNQ9XUdHhw6K9OH9ugcYq9zZzkRFLoAW9ftPZ6do9kU
b+2QXuZW+25JdIi03JxjfRX5vZ4O7BlGpJzFuGKqT8Rh8x030lPW5tmO9+m5A5kFXv3OiAeJFwsW
TZSXHVcr9cI2udXtlblrFua/21TFZKNZ17m1eABUxUja0sOBdiIsNjztOE01MgUx3QeL8h4yXu7Q
Nls0zUKyAKESd+M4sA2qeVer7gRrKWiDsWNKO38biryJaR8SiD0Ct0kGG3ao8h3qxgbIkfcwjM0L
fhPut56ZbG2BkPqyD6wexYAFztj0LLHEW7XkceHhayhtpnsZFiBMp2Zggpy9CG34PfmM6UyL4Xyq
iYUbU2cngJxCwlVVVGXegFSsfg2rnzPcavQd3NJ74VkpRwvxVe7kvzQuJVeH1+tiEusvQ3rRvU88
3Kl1pifB/jwO5pKwEibjBH64Whv7zZKTKrLufHPGRu0/A2nyoDWAobXCfjiaLCqgOjlOi9RfKB+L
fe5/bR72I5udkIHU/RfqyLc0Xx5oNMAkrCZ7zqf6e0XPuZcGttVJF3CemvEtEsGgiUSBHDK3Hwlo
6bb6oKwpO1nesufGLDnTeCSEkav9emsD4AJ3pd1+z2N1JFkX9COxo0bqT8QdNCfSu4q7vqKzxasc
mX79gYWE+VZF32PkM9JWYg9HaTmUFwnXh8a63LutKFhhtqQnJfR2b2rGV2m0L6nMP+Y8N04p1rSD
VMRZYMVDSaJgPacseN5blGp3uitJv8CYfxgaf45Xd/MfVsv8trDTP0vdXI4N+ysIQWjbK+DpHEAI
NRGJzSRokK9xTTdzJRpgIoyNa+ROpSrKsxeOdHUsKzJvLDwSewKAeC3cJv3TLiCiU1PziOtDEVJ3
HUdVkHaRaOQakSho1fhv1PYb6vRuSCecFssSdMt0KuX00JDIALeZyB3bbn+zWenK531kSWTs1LfH
E9uDtXZ6zNSVkM78GXaPdE6kv+6WVpln/KZ5qs59N2BaGNonlLYn67a70syOreNFFRHnAXdNTH4H
f0Oscmc7GYG2s0fM469ayqveLkfg4oxfnb4lwRZRohmfQ6UfHd6GmUdjD/R+aXXvqJkeJhwcmLNd
nZYhPTmWjIXNNhNfmo9L0RgE5CPf+UwoI1fXT2Uz+PSTnfua9fW7w27vzKvb392iPToyC20D11WX
YTnZDNKkxUNGtxij87bv+oYRIFkCrRrZPM7+CzJ49AyzA1XsjuCNe8toh9hYV/M4+cl6n0L6NmOe
hFjY7BioDUZ9ResyMbCqdPncbEuctN6Tp1lTE2VW8u7cKgtHo4Jy8UK4U6OCdkrxvIP7VplOoMiW
XEzaFmfWdcI5E84G3qPSFyi4jf+QIiDsvE6cUi/zz91gAJStVi3eGIjh7kkJ16mTUT2Q833uNuo4
zHpFDGqf7xg1tO92v46Pi7CLk1bk+cXXNji1SRRMU90+KC2XDVsYl7JBc3ejWc68uWJqX/GhqE8s
hV0wLMxdeMjr8iN3Hbp16mo74cxvcdfG+tC3MfReqLXy23VnO6xgLhBk9Cla/C2dqb/QdCt9QM9j
9JTNtogB1B9dbFqsRrW4vSlN7MSIxNDHzsQkOWWakc/iOfd0eSDaZo7tYfqypWTygEjFzAITVn7k
JxhSDWJLW6c66lTTc2g4zslU1ZNRuTOSBnzLtLI5gY2g7F4IJl1/dKdNxqZoSwIIutcymx7VbP5C
CsVP0KL/A70VEV5CtiptZK50jveFN8mgMden/Vy4zcvUzOKEC/dp3Nyjl/jWbuqsJLQWXLaTvV1N
lp7HwPLNqZ83cq5wEW+18XsevSFUXVuE0HsB2feSNB4fd7t0A1gxCtdU4LsjMsljQGtl/gD7l8ho
8ZJ7WaVPomZoMQisPWM2Btw+hznDPZmkya6ZnD+DZ/wBxL3lt25M89rcCPpifE2b6QsbVcRaEaQU
0LvZTnOeY+sxmwhiwhqNFFTqX67Mq4PmelVgC/Q5ITNB6WDGs4d7dSrLc0/8czop99iI4rfWIEbI
0qRUHOFBlbW3s87YbUP35CUGLbfzNLqif0gXseCuXdy7vrGnKBkZb8/kqAccn9bJq0UoVNpEaNDZ
aZxze4ejoYHjp2xHPmeYntCECrchFSH1Xg2/GAhyks4F+8N5qAmwvVHmmCgfCpKGKSe4aBIaDEzr
cdUMMcoleRDS6pkAoeBKs3hQOlEazYArEGdnHao8l7sJwT7ObAoF6Zm3gK01Z5kFQ2vdNUUEf34z
o893Tmk/z9vsxrgJrp0FMaILYqIGgHQnbW3+1WTHfDY/rIUxRlNdWMZRxatZlxfMYdjRLdJ1DZtG
RawW3U2lCWC7lMaOLA9VMPe0XmdoupLwm7Q1rB8g5qSLkg71PnA3VkwcrWYS8rwsm7sGbcfGmwua
rNGHhjPL/jh4mmHcdW2fkZhV9h1KVJ+SsrZzBl9hjO7s/qMgdYY5/ThsbxmjuuU6MEoib4hhpNrz
i8q5jPSfDV43d80eud+T/qHXmvXvJhevj5HaW+b1lRD6oSJQXe7yBFIckyVSSRNWKS6TqHB6zbiD
/qAgdFeR/cacmVr3o2OL9slEFKOa5rmXOXn5RMI8zT0W64ANlPCoE4xSfSLmzp92PnI3w3vHn9yw
tbpZ3zeu3qM1S4hA7Zwye13v1ZLwzSUJRj7eLHsYo8Ir6BYCf56NHGfhqBb7HVfXpp/81SDHMCgW
2xhj6h7Xe8iBJ3iOYTrdwNC8NVJGkRNYU3n+IzSFd28L43PpnEePQBl8XLNLlm2d70c5qCfPIr+q
K9ruMCRJQv5XPqV/KhLOHjWJrQhTMyhvaOJYT0OWI3hHQI+nbRbOS5XK97THAl1kDMANDO3VNO9S
aT16qvq2kinCykyXUqy9fUU4b04pmbDgg8s83Yzmk+f9neHwb19/dlmTN/xS7UjCQ5fttDT5yuzJ
2Fel2PskErUzNXBf3hHvgL+3YElDVZCUotxsQ4TJmToKE5dPVR6HmV+si3E74jkso74jCYGs7OW1
25xD2y/NOSEkaFdT9p4VVt2gwgl9rpwMDPf2IdUOQL908dFoVnPEGocFyGo/QVbvM9Nn+XXenVRL
jUd3tHDAYT/ntXSyWCNzYeeabR/qGW+IGoXxKxkE5/FiuheciiQutfUKylAkR23u7bd1mVI00O2t
HeV3Q9ERjZiQimHDXdx2hOaM5B/mm1O8kf32TWZLcZwafG+il/tmVi+YN5czBH5z7TqvjG85Wrsi
1//UY52FeTZwy5BGgTKwtSkZgWIChJ+L5kN4NLTgpjt7QSdfsuGYjNnCojpF1HbZIUR06wnRzjoI
n0vQX802tg21wtmWLlWCeJ+ygk65HpZraiRsvnGqNHRNeG0a2DSHaPAvnuifbLzAL4LNF4TIbe4V
ps8/qC4VEeJK95WoUpKFhIWXPJcFbYbIfojx9twDyQZmgVKb4U8MLL77gHsW4zLJ3ySfEbjkeN45
B6b57hAOGO5vsVUrtT3g79VDnNpOkDiaGahE/pYu/eeQc7U1ZvEsi3kJK49tTsiwz9tSVReQfGRd
v6MaFNPoR06FN4wojIpiBkbqhOCN2zdv+eyxujarEwjP3z7Aw8xP8nyd5jpizHgzmeobu7o0FmiB
tbmZcbDonhwSpT+32WceGMx8o3d2WW1NqJX2m8yNHIWxaX9BtjlnoMcp1Fjyx3Lp/rTdjiysmom8
2DiqkcPquxJcMAT4ZxLqYx4AIO4CY9C2AzVH8VrINoN5ytTJHJLlxAFGYe0RcEogD89BXLM+F2PN
xPb4YKhVq58MU+fts8Zp8b5p+uohJEXKj4nDru96Urjx8qoTbk77SXPc4QSNa0a3zIJHv1pW1uk5
xf24ZvVT1tZfZp+aF17iOsRhoV0bWV1NIkmPfa/Zz8gie0bHP3ifvIgtt3fsouUo3Gz72k7GNGP1
SLRoc9MigQHKNrJK3PSPVTa/UB4J/sy3eOp07VhgE0LTyp8WiZBnr8ymuIcPhGhqP3UHY9D4IhzW
Zl+YNba8jiAbToid48ARebwkcYWJa+IhlwRhk5nCzexKjIb68+yj7eklKYImSgCw/7m1R/NoWtoQ
JrpvhljEdpsn+eyVGvJHPNg4DP0aPZKEiaBbqzTCEp3/MttR3KduJXCP9gPhk0WvA1ibI8su2NeM
Ub3/tRXy1cLmDjLcfdMAjU8geFAOjXrOOHYB8JtlIW/JxuLX5bsJvQWl/imt9CxMehLE2km9UIIS
D6JzTnQYyXdEq79tfuUzni3VKRlYTLQaI5o4hqdbd6F6pYPirIs/Fnep45AexvLiX5Z07UsJub4D
ZMj3i29imbS+V7/a4tson6/NfMsjPmuqJ5dQF/ja8U5kXW3j3tE+J5jqmDmRdzSXXL/3ptXmreMJ
Sww4FdUTkwLPRcRe4bgHCzpABe64jqGxSeN+a8Y/0unUZZKG3JdE3sTllNpnxMjh3lo6DP96/X2L
Z4/aKZfnrgdbxR6e/rhZDinUxWpcdkz071aTN83vntXcgLMhWhyqbr4jWei2rD07VBZAB84Gg2K8
zsPG0nMedZPkEhxmFMzNjvD3wwD5g/R+8ifjMCHJkb/B7pthCuceImIojGc/He9F1d5VJtzrJpt5
11YpgK3dO+Qo2WKK081v74qi18B3iMJwIJWinuyJUKbKiNyM5N8u95LDAGN/mBi88f0CfuX++loZ
5LOUImOcz6eE7+Zm2SvwYSzFE0z/qzbKFX0LA9ktrCgYweC56p3HpprlGUstmhaKeZ5Uw1mTqt4B
gx6Q6pYoMyjJm4ZBpSV1Et6k97vMyJaxF+3LMtZnYlDNcGT8Hst+vlNk2ey02SG/Yd1oDx3P/rkN
n49qEz9GMeIAMNx5jCWlAva3bTvWfFiXpMYm/J/7Qm9Y+v8Aqv8FWP8XzP7f/vPfL/lX3wzN3/G/
w+38If/1P/37w/zTj1P/82+Xj3b4tx1TmY8R8vy//z//HwLxxm0H2v+diL//aT/K/xmg/+fv/xcQ
73n/IBPCEsJiYavl+Ldw8X/x8J7+D6aIluWbt39RQvMr/4nDW/o/bFuYcFL/Gw1vuv+AEyIwzHEt
0zIR0f+fYHj9/7wmwmFQ/r9C8IVWMbFXRU9WndNfh6qbHrB/V8ce4C92PE276jiHwGTHuTI4iBzf
35vEJO4LWvcnKmP/ds3hW+mr5JBnBFf4ljn9hXIh3578nk8mbfPBk4Jgj7Qo5p8Sm3esjxWYk5oo
huEjdpXwTXJL7ey5S2i7soZy1mYPhWSeYpESOKnl4lVJ+ryVzBrTzdB/JB65qGB1XB/0yAIHqwFx
9fUqP1Fv4aBpb6ObIk+8J9x+BuD06L3PumMei6osPzdnKX4PkgV0Uad1aMxgxhEZ5N6ZroYeK9Wl
dzERNEJnqIl+7rX6pBZBcInI2cFYZeIpqWCOrUx1b53ZMK8cFcsIgTCMmpNsJJJ1IQXmJy/q5dqZ
N+v5NGXab6EGwlnoQdr7Ll+7i6vPDoJa5TyO6N9A0+kZFx+xSJWzHDpIwqe5aMv3ynTSX7nsAB/M
wr/pAPSfoZ1Z25+5GcdzVd2cy6TM5e+JkIRh6Lbr7eHTxjui1No/dJHEsq3u8NeaOu2+sCsGY9uo
3xWDT2mcpw4qAdg5MatEsBDpsnlvqOpG1A+bdVpJ+8kDc8rSkkzLwrSjLrP7t8QmhJDYbM/4arlV
vxpw+eM2Du23dFpE7UIj4Xm7RXTVtb5GA3O23WDZfdzPw7NRe9XeGl9aanFOPFJJSP15W1h4RitI
yC4LSoJcklfDkVfAlNdX5H1GMi81ifA0feqWbqIqhgeVSzfnA2ZJrobMxh0/MkpjOddGql0qTJxD
JH8ecKBakdb8TS3L2OdWXjLBxnCmEVFSF9snUMTB8Ku9ZsgetKwHapFNZCriSif7aahZ49NViPlk
rcYZhTDV8AdDUVhm79Ek5O1vUWtGKCDMl8AwbQB+7Jfwhcbftp3Vq+56Q9wBvYddyZzK5h9vMeje
FVECZPUr0h0fBqaj55406mX4dE1YLhtT1Kj5e4GaAjt8i+/6w/qayJSASEmmHXNZAIf79R9zXZyd
xyzKnttdrclfcvaDUn+ZLLI4q+zSTp57LHG0ypyyq/aIQannq6GDR9iVelQWhASn9j4dyoOZ1V+4
DbzA8MjzMpI3skCOFoGBYZZvbliv1FOjpx97vXuwOy0/ZVBuaeOgvabfwigepr53Z0JBfnLhEpuS
qIApcxsZYiwim6xxrrPMI7ss8dhToJ21Mb1jmxHOYgmy56tHAQObQWzZOpiX0WPRtKv8Zlq/Vono
fyGCoYjiUNv3IH8DEU/3zow8gcJcAR9H40ZoqfBVVOLpVhbSyii84tAaPIk4klhrk1dvOiGRjH06
5llzAqDs2Ecw+mezq/9O5S/lbXqYQBKgQmJ9xF3xaBKgQAqHYcf4lJsTY0iyAAhn840RKzNv3YuY
Te+Rzp8HhJIQE/HJE7e4vLJ+JI2db52BaZsLj7TyKho5Y6WYdzA+K/qeReqVFjZ9evXECNamLTrZ
Kqn4S1NPmNCaxNMMC8sMxLoX9vYhkhbjLRld3oe9tiM+ysZn7VORIWYli11d3b6fPhabHxrJKP2D
sp10r41tca+bLbB32lK5t4atR3NrJCfZ3DJatW0zfjWzTgIIR+wZjuAB9qz9WtVmfWiNyr+gk+sf
2i1sFP1gH/OOrbGJ3zgRIkEbNUq9gtQMTE4S5+Boxs2WhEPWQAOCJHUCz8FeREgNPRN4EbPl5ebg
kLb79z+4O5MluZEsy/5KS60bIZhUASxqY/PkZubzsIE4nU7MM6AYvr6OMauyGZ50UorSi5LahKRk
BI0wGKD69L17z3UHa19zfMG8GOBscvViCS/0JYV32RKUubC1adgbTIR3eak7y3QgwNVomyOTqBKE
ubLvOGd116Y97MGDledoUK8dx89zbiEXx6vUoNop/JPvyOzNL3znLc3AHMysLrePHqIMOsYmnaw2
rN18bkQEC7oa1qBhzEEHBJejiN/cab0a50NgXAPIe5vsqV2FdDlWIpTmndJKtYCdxCQJsAjzkCQZ
DimzQ7LEJ+epHapbUG898wRG3q+6IxC5xUwJVYxaNICFjOnAn7F9sKQG4KsaJEG73jMYCSUDzn5E
KZf+78IIGpv5zdBAehtDBza4H8r6S4kwfSPgO+9bZVPopW4PjkZDnMfmTpfZnnqjXLKMpQsaOgj+
kr6zikXCc1bXV0bU0s/x1dY2U2Zn6mLTjitmksjeGb4erKyVx659Sss6+1JwSJ3HiW0sEZD6S6Ro
AhoDdA2HZmvYpsmKnyJjM2aSDmwxxdiqbfgR+emTkfwIUzvVNMWwl1odMzmHrpJr5S++kUz5Qrf1
CbZw7z3GYWIxl54ctgYv6me5C/0UixbwBSuvi7ndKm8xlfUyEOEZQT5kPC+A/+sjAU/zNUOGbqFa
dAJDnM8riS7erZ/qpEWSZ39z9QHMSjUYy1AygLIndY8SmE16qpyrSLMg9vEqkRIicdTAreRYzhya
YozjrqtmY5aYc9kwFKgFG8d0+VTMrAlzqVVhftWcVgFN8V4Hh+uUudgWNl3Uoeu/ZEl1cAvHwdyn
kQiX9u9qgFM0o7HNOa/tl0gFcADYegQVR5kbSxM0kwfA3M64c/Gue9BnO8fAygBjtZFmsur90ptb
VkDgpAAgk3qLMEq3eake9FF7GWSVHyfDEReda7wfFVpsUFDfHNPC/t2B27f6naXZl074VYzptx0g
r5fTAEdF6m/IQBjnjRPSDg82nOB/GFgtlo7VfBt1CR3+JEX9rDLrPNioLAoLFBS8vJnverPQqbL3
tkWCErgL1iLOc0H1QpHT7mnf8D1g7Kw9l3HjZHG0VCK5Drq9zjl7RuYsbfMQf/F45ycw16BrYsGo
rhppqadIdRtruDGgusw7GpCVb8L8lMt2cAktQ2QDpnhOe/aYa+FKoRIIUrVq2vwRH0eL1jJ7MEQ2
nxx9O5pntH9X6Dy2eiP1XVwRccDPsqDN+BrpGT1ZW86LlqZBYk3XZMkdxqjA4+2cVcthDfbERrFG
bwRyxklLvBUo4q1Imis3kgbIsTZwdnRyGaJ04Vah4hmoAHaISx+alH5LPrnfTNpHaX0bInpE9pQ8
wdVkhQ79N/LhpqWeHZJ+QCGdqi9yiq6tHthJBWF0ztmRIVD24l4okBXdwESne3+B7IW+ODppYsxQ
yS1yfXgaMzItyg744OU2CTNOVxLVzpUNLeCYyNsqjR/cId8KDeFAFaU3Vgf0UvoG6idQTorW1bZ3
7fqrFol9E8Sg8/z8XkX6Xe/YZExlzYFnNqHoyp5cL4pZAnq0QqkL2w0QoJ0UPVvelM2lmM6gJpDp
FQw12pRGpKcl7rzO0mesFbNGob+QdrMyMDRio+BNo42g+WssWvYcvV65TPL4SC/ukJUUtd2Q33QB
bM42ZGzm3llMmhaGIcNb4PCbGP0LNQb2qKjgjQao1EVfY1ecO0sni4lZvcBx3iNiAertHYxyWpN0
sZBGdyY0cE938ipE0zzzVWDMvChXmzJpXWbrPG+40cIZ1gJITSYuDU3SSChFjL9GY9Y9AO/21FvM
W7USTjnNTABlayG7be3S/LON8Z2FX0PiNFKLbrtx3MHxpKZCL0ptiigAZQhcMWHo5a0YA23uJHBl
YOHudOGIA3rHPWNbYAbxjcmnLRj2bFICTmgB7WNNv6speRD0falUzUmhFSfVsIiWCkDNZJx8gXOX
DvOBPemg+8UDLkfgkqa7C1jEsVit8W9uwjQN5+QIn3TjFLnmtpHjdR4zJoFygsS1M3lZzSmmlCvJ
PyD6QW+9ZdOEL1qTXcW0llTP8MVrmUljpw3q8k42PZ1Qvfbyo+p9+Ywdf0ZeEccw1X/hgWUfHutw
HdFv1sKuWbGBfhMCYSXb44GmXcvNDo7aACHS1Z8opogdRAy2iCNEn77HiNup81sncjAVmmT11UXy
oKTgwYS8xJoU8zhMKeEchYmHb0TKpVVbr/5aSx8MmsFPHYXTrcPeMvf9B0hyO+x5NhJemnglhWuq
FWBM2VlkSbcxAWPhJ/SN+kBM89w13TfSjYaXTnrHSNtFWot4XAaocKyDif1t1raqnI3gbjj3YplC
bpMuwtjtV06LaCYp7rUBzZY0vyadlrAWkHRvEWKhVfaatPB7ppCUIV618poWb2Ah4jkZOBfzX3ub
9VbIK1a53M+OCYuU13nC/MmM2lPRRG9Oq107BoNcR2RraaKOAPKEIhy+RqfPeyjJKRMOI1yFRAso
JjFRpo5mbDzVFUWaZRaHIm7fB4jDR8KhaEmZ+ZeR/6T1zXShlF+vEs1ca57xpExQWzzMzY2BQmc7
6HB7bMxlRKxInGSJ9xJ5THuLASFi5mbTtRvySEGSmctaQKeMJ6aWZX4uqvYmMkBLe1kXz0uVH6xS
1ls8tPWCcfuXrAu/TlX46oBHmms9BhtcmHBFZP3kFCVGyN45MT8gQ4Oad8GIhq9RJmtpoKiBRMFS
hHojy2z3BjvjXaWl4wach0AP5+57r3yvw7ZfxHo97C3LyeY+AC60fkawDvBqi3LAo6Hf8MtnUDhF
tBS4k9KmZXjRtS75KQjaeDyZzLYXpikUcvoZAWkc9AdkZG4Rhc9yVZnYCfzbxh5WPVy5NRiBZB63
ao/WeCPj4M6os3I9wLheN2amL1zPuZ6oBGL4WQ1dvcA7xSjTgs59C8CH0KaJ3xG9g2Ss7aVh0hTQ
A9ROeLczDwvMSEntUHmNdsFH0XcPinsFXog5ibEOwmhfxSl45DDnyBYbwJtAofY9swiTwJ8Z/qeW
RqfOi2o6yzJG51ajQA5xH0SO6BaTXhubCYJSXqH5oPRf+JKIjEgBnRw1RDVKRcahBJzXISDJBCk7
mgpORF8xze/B5vbRcuRXndXVI+MHsaVnqhahhDIFa+GZpfZoe/5temmsVkjz0c/3fNG+5R/hCWT+
U24O567qk6Wk9X8IyQUpS/0LeWLvXYE7ZhqNC62IOCqK82sjx7HpxC7FhqDIZF+lmdp217lVPRrK
undDdl1JBErlw7xDrqQb1FZtmczbNFt5g32XgTI1sSdFPeMDrQq3BE6cbcwHbZbc41CZI9I70y3r
5kGCqQHC4B0KjevarL75PjS9ArDfHOJMwSIbzTXm5ytN5IcqTL4lKBHmgaXdWFp8Bg/Ik55dVJaI
v1HIIm1i70t4euzQ572dtC84xsmSGWMsyFPKJKDrm7fG6MHHCnsVmCjRofat9Mm+KsZwiUt9hUTm
WwxNuG/xyBH6dY9zep0QizIraa/MOkRlUCwqTC9Mz1x2AlU2/JdNGgNFME+ZkM66rHR9mxJs3AFs
0MJrAGkMgTzqBw5OC9DBT1zx3FLZTZZV2KDspVZl9clnDrWz2qh6VJZgAN64NIHa6Llzp/M4oqao
LXlbBNzECWXnGFEEmKF4KIeBg8eI2hokhNYl1W0cpsvQj54wcQzrrJZ3teFc5VN/xVydw0F2lYp7
20E2lmT5Y1Tj2QSl0wjv0Gj1CXzFsmMTXVkuk5zc7dqlptnPWW4vNIfQ24j7IeMG3WeSLlMeRQYK
y0KhMCVR04stnQf9In620AKmASFOAbTrsgLLKd1k0Tp6/FhfFhdpM+MUj1GKS04lIRbRctvk06GR
0wpx1w2T1Bw/UggiMFxlhh6vOpsRSnVh+qHaN6rrLuiuOMIWR2YTp8KdOHHApS9tTJn0Bbiv+b62
04Z8ZWfBKG2lp96ZQLgUPQMQBMJkZkMZD3hgimOnuSevMmPq5+Tk23a0jsdgQ+ggkkeatexPiR7e
pFP+aA+DvpLKKBfCQdvStqD+mf7MQRBcB5wRrLhu0dTgdgS1Qx6cCnTUfI8dDu4IYJyLsbcTQT3P
6P2M3qDjr3mjIbZExNICtjecc09YCfEpYg1OnUGg764QPpwAoWVAyU/oPvea7R4Y/Jw4eEJyFV/9
ksluYtwNiigXndSCkEirWVOgA87Hxy6INiYyZ6cub6VDlI9TPII8eiBILcYah8O3H26BldGA5ezf
YTWZmDavYr1rXlLDeNF0BjIYqy3Nr3d0TyEZgxcf6s5iZNScwY0F8ykc79J+PAEA2PFKHawpuVcK
3GLvEBkRlegk62iWjMUeWfURN8UaoTfmzKk0rscCP35L8qFQ7Z6XAuVZNod0/+BzJiBbUkNHXp7j
vn6K0RUxnK+7NUAcfOaWX+5N0oKSkDafsImns251+Jxu557wcs5qE/FWnL47RJuAoxPJ3Li4BhgK
W+blrFy/lKWcpZ2kLWv26ywACTceBfxzxKr5DgjZtKhMjtC1SWkfiJpM7rRa6BT6tqT4nProiN9p
ZmRjPcuaZh5W1TzuE3RV9jjzrQs933jTQ+3BahnuXgIMFrrlvUdhB6Tq4gXTFWudSlLSPJouWqLq
Kh/pLVpx4S8AAfdYomGkWcGiGsWzo9rnlMMSnLo+OfiwDlgm6+BI+tJGJP1O4jFZRaTwjHVBmaWm
uZ011qaob23R7owo/daT/nQvdVmvbOHUm2niR1GJp67zCdnVGI30O5uqXsrWxe2DAAcFfLd3TKfF
/50cLN/Y5M5TwvFjOTZgW6f0LSJdZwJUPcuQ+w6EPGqSSgk8tCv85zTDxEP/ZRbpr/BW7nQ1HFzl
r7LpJoUOYpOBqyv3W0Cljp8E1Iv1Yqb1W66Xq3CKkHkB3xHao2B6J00mlj2BXIN6mJJwO+Xx15Hf
FhnDLGvDW8281jjntbaz12V6beopum1pHTo3OEBHWeIv2cQ6XLfW0OIlKRtQsWDqzSOpxr0eBfZV
JKN+XuOo0zwaU+NDbFbmnIZ1z87rkXAQ3xFffmY+QnnrMhTwaR3VHO9wRxCJM/TBnSQZjwqCNYWO
EesdQ9XKRsafQ+DVE8pYf+V4KSobKB4SNQNzFOOcDChpNbu0MM03/SrqYbEVTYe3iJbmshqvzMh9
G8qburMZ1EdcDrK5N3ZvjoRtECsOHPAgwuDYtgjrhfMK/BaAYS9Wjp4se6hzntNQl7RzU8vCtWsD
aAkL/djwZDVyuOUAdwKpTNSGRuiMcIutZ1Y4GqhdhW0GB6FSgDqD9tLVWEIiWt1a9JWS8sFlILVM
Sp6ZhPptS9YiaOzBJPecYXaYXXqgtZxFli8XAbmBM1w0mBDfTZe1yQnjDebFazlcDC7KEItCIyiI
7jdtYigJ9Do0ds6FsqN8nzNyGZDuRhlEZ2iIZFZOUbnHRGSgmmYArrNfEhQE/1SZHspgZPmNoYOW
u4yrOyU3jRuuCl07lx2D86Lx6a8O+ib04e/GFXTAyHyxOl6cydIWITG6ohIC83WUMbZoeftImqNu
GaWmXykhmk1mx/Rz4kne5ZXH1Dua3PI84GbcAl3xXhzTGGHy5MWraGiisbgFHi5kA0J3JzOiu7wG
uk6DnG9mFfGeFtF1P/YebiPhyIFm/yDv0lJX7ULzs/IKWfYlLkj3VbvKDbvCdx/RPDDBf0TRl2wk
AMETzdnrinABr/tNH3EHGs5qiLNsNmBgMgBOYEdGROzK8jjRLvgCqjs/E76D6iON3evAVjTuu5FW
WupWWBVVkMbrsk35rQIT0SIJL7zi1MDmXK+zZuUbkbkojHzaIaIkXFhLBgqQUlZrFdjhKcc8cBuG
lr2W8BZX+VSg46JB4n0tjRjyQk/jum5jd19YAVR/Dl5L3yFpZYDCfikzjOXUdtEh8aA5hzrDn7LH
KQhVB0W/n5f1+xgxAgVD3y6djmtM8k4v4If17YYkFHOHFTc5Ok6k3zixIoqud8W0xezI0Y/K3o/m
SdeYoGjx62EMl92XAEfJVjoJh2asEBgAMWkKcup0jZKyrCYem2zsD9zR9pKmKUyMhlM+zPG8BJuW
Osec+2aNxZh2fQYU0JFBMM9T6CK6iDKMCYN78DXHbecIS+tvA+ypjPMcr4zXO/H9pJoMk11HxAZV
p+Y8dnHVEysCoxB7MsfrCcvMNqs8tW9qaqtV7GvsROiCsLlMjY3oFB3HqlZZS80UkAfYudFLMmXa
V+J9aLSEdSdXmJ+CrW9kJXrUjD9YdB5wSZ7Y14A4ywXdj+koSgRHTGpBqtN1A64MPezankpz4Suv
XrW8IsjhfL9ZA3Eu9wGNoA18+2eIP9OdYWjF2vI4ZbBf+QSIVMPRpZ4508O4xFkQoYFYNkDDatNl
EKUNA7kLb3q6WKcQX8uS/Ad9DcKrENh1Crs/cdZhLAesDT9m10Q1ssiuDeio8/Z/qZHxHZuxG86i
0Dy0oBzYkfVJ7cqit7Msh2hUMy32oufWCzEHhW566o3C3hu9Vz97nl+Pu6QhiW9DyFR2oMfe+Ehq
IhxATuJg5FUDVWUBmP4b9ntrXQYa4PgApVa0AfwNsdwvY0VTJBgZP+aIWEgdCVOFFyFLWhJoJ9BZ
TMvNAZULc2p6NEnlHk1ZReEG91d5wX4wzUb1Iy8GxaZdT7bm3+ilBqoi4SfQXJZFaKnZboKn/zBp
qnl06eUuq9QgwMlRwRYk+3BVu4W1Nt2XzK0E8BsDbIFqDe82mqxsMZhWuZxM3SmXoo3C6yZRZOV4
RWuXM9B4ROexxN/4fWidSeyRqM8oS4KDrXqOgn000Gt3+15Cks2Vt00tf9pXVkheX4eg0ZhLl47M
ym3asylTH3d5F165HCPrma7BAVNZ5RD+FnvpV/6/0nqLdVp54FkKNKpZju2ejQFZXNynCBz0vr0L
LFzkzGR78dBxuHqspIO+WHPGftdhsj7QZWu3bSH0Q4EL/qXTGkFLhP75vMinceEi5r2qkW0uoaz3
OzrVVBGwkV4zu0tuPDmW6lJ9Q9MAbPdUAT2f4XPBko8Z6LpyKtIB3UmsEhJ3YU2Ety7W6us4UPgq
o5qOJ+un84xgIIDxYUubiWDu4D+UuX7W6qnTbse6d45O7zzbpJ68d/SKZ1HTM+kT9iXzqCk5r9W2
J+a9k3nbZAAEeDbSXN5NVjjdE6Gxkg1xrehG7plXerfI8nW6zRpd4XK8jPlGfabhWqJTkcc9Bt0B
MYSH8vpmhKz4GNlkl/dYcpA+tZcuVUx6XWbJ8ZHbTaS07dHQIxYy2escfOfpSBsHPjMmWkALhxH5
bshRy7ae9dD1HifGDGthZ6swpj0VKFA1Od2yx87LnGskGrqz9ULu6UxHI7GMhha6etyLnULxsiSL
lrMMXLM0Zm4f36Gep7NdMbONLIOTY8hNjWPGQ03WAgzEa0cSZIXeFcULeziZuKfUVM1+TFL/ujH7
5m4k5nSRpC2CrXBEA9abCWfaoZwKekdIY6TwDM5UQMSX2IjdY5mY2FKHvEDEW+YT8rEp7TwcLjwv
V7UN7mozMmPEeqJn6jyNeDVnvlPaV+MEGhWb2ojhT3cm5KdlyWlDWrLhsDDAcqjbdhlU+TWtbY/U
C4/uq4f6EjifTyewGX2LtY8JilNX/Re8VgAjQ/KKycETM+nL8iQKlc+1XAhsJTX0bFSkpXOnCgj1
C8+REQQENpZXiXCNEBKb2giXOv1WLUhb7KNGBUtHZz+ycMtFK2JsiWdxa+JCQvQqV2Ot1KsALn8d
o+m95M66NkFOcf8Ufx+1WcKF6OUmnPgZ/WYn0+5kszG9Wl9YPGLrqUQjYGpeeHRgliB5HvLd2Pb1
N8mAakZkxnQ2wUcc7MEKtqCn7KUlLDHMvovF/lsKuv9dAFnD/aVe7vxav769p/9n28Af+Nr8TTl3
+ZP/UM4BQPvL06VnetBgOQub/1TOGYbxF4Aa4eL/cITBa/9P5Zzh/IUi2rEAxloGtbvn/JMja4i/
AL5y9nRgPdhC6O5/Rzln8EE/zRsFYlu+vd5EedD8+78Z/1dDPF/AJm92SIWO+HkBGWS7pNWPSWEv
pgEoiKU9sa8dB9HRnqTd7pkBa8HFQgR+BKPCG3hInGz/ySH+mw7zR7Ct4H789IqMv1/RgMi96J2x
2cXoxV2tCiBPlYzYvIxcyJB6HAYjjChMy0SeHlwRu8wkGyh3U/eVbuoDgZYA7OxpZyjjFWMWJnQN
wKjTmIyOM4dIsDzFIkCUHsNSFmSk0aBrmD4h4UN3ROPDz/BHdtGzbU27aSrupiw+AuR9GKcmYP5V
95s8bYJNVmtiObnYuijPAyYz0zvZZ9sgKxbxFJz1orhDiXZXZR0K3gS+CMzHWS/iJwsH1RxT+ltf
6w9GN8h1nuq3I1hXkjD5R9fK0zQ1ix9EnD8hBVswh396Q/W/31CjLaXWVoPaeQSDzBTO7M7gOweh
i8gRIQfwERx3IRHkCCN9lM1l/Fzkzpa+pY3EKVioBikMY8x1ipUzC+R7jSc4Uy+M7wGrD+c2htLp
AoFZuXmfbfugpGtoIuzzYgzrNUJ1IJcKQzQGaihwePtSW97Rv2eu66jrqnK2v/6qpvj5VzW9v39V
mty6QsqpdqPfnxn67es8RkJkXXGTN4y52ZMBigBA8J1H3+L5HZ3+GS1JDKuQEhWoHlMrOjJlcEtx
sxae+da5rb+eGlwhZCA/WUQfAGWw8utwDM5dwODyN5d+Ear+P5qzZhq2g6bRuCwPP76IxMCokXln
tcO/txkneltiBxVs4bnAJSxkpbZ/4zKcCi5xh176rKT+IBMwL1kId7hf0C1J52nC42tUTCxgmaHV
94yDB7bMc4qbYOhvf32pF4j1Ty/1spb8sGaEeRkK8kXrXUcrwIjyBbipJQlNi1ExveR49VYLHh+3
uEut+HaqG+rtMNA3VFzzukDLzqtCN9LZ/fp6PvvRL5f5w+VIqgZDCMQtrgU9Cauv6Hiz/nNb+3Q9
Qon88297+Wt/+Pg89Jhf6XVNKHZ5oJl4YDYGbEJO7UJcmhfo+1vwVaS91rax5jzBbg5El/yG7Bb6
IiN5PTz5F6lIAzc0AOZliZBZcxo9w1y7NcxmU8TO+6/vxSfLufmBBY4/sB7GoiCgFuerHbx7GdlZ
VKGCji+wvt8sKcZl6fjZw3p5iH+4J4L1L8qirtoZRb+9NOZklXF/YK6Y7sy+1E11eeyYsnmw/n79
zczL+v+zv/PDTgW+ExBxmuOF8yZQuagDEhRMnh2ms6aX34i1A4Y3Dtp9EnTzaIw3sRR0J7QJ+0+L
jxle9WxQ9B7JbniKKxqATa2+eMgBAaSO9Vw4bva7a/3sZ/iwh0kxatIf3XLX9uq5jIhbMqPLsM9G
KObaBOLBsFrLwLs3zQbt3TTMXTt7rM2QjmqAoo7tZTnq7VOG3cgPaBSCVM08f4H8cZ6Ect8P0VsV
mTeQ7SaEiKa+KA1t2WT61W9u9uWH/NnN/rBnTG5T9aFtVTuCeQm4RGza5BCaLXmnT+YjQga67N06
sxOIaPViLOWq4+zbCe3EUP1qTCOEXPIaOONsMrubvmBM2jhvLLQbslwYAwQQCn99qdYnl2p8WPPz
nIF35nvVLm40JAad6R6mFpHexDHj6PWTxN9FhRIOCFQRjcEeM5KbQpb6SRgBNvKLtgdhJQ2mwIYn
R5NbYE4EEJBZDKSaZpOaqF/7+IFe+v1ItJNnMAvoE0I4m+hV5+ROJQJRNxp0yLjOuIeIgq5C2HdW
3v3mSxqffckPu4NP4KFb2EbJhAO0eB7tyc/cQbZ9V8KA5dYdk/qJn4toaWvFEWlPSwVjYK795oWX
n7x838vHH1743G1rIlxFicI21ecpCL+5yih6ULOFZ+DUc89OyI0CXD/X9P4LENG3UqNPG3WEe3Cw
r9eSM5TuAs5KRyalXveVBMVqNgiDjKomxnGQkWo2L+uK6PihIg91aq9JGrA3QzB3MklkSr3PUrW3
tZwRUx5egvBckFtuBXWiMw9u2SdrTws2qW++TqbmUpopvIsZYnFDo5ri6HwPkHhrNRcGYQ3qy6/0
m6I2+5UK6xfhMyOqhH8WxCjR5NWOKm/vk9R5DK3kWbGIo5pBrBVYG5hMy6FnJIN94PnXT7H5yYr6
fa/94QY7etO7UpndTh8oaJugumsUCq5S0fFB5EUnJzQ5N9YW5rGuharX5+ZSsigu2ImTlUspMmcs
/eqFtKii8nL697FXgWjf1T35zPVAIfzra7U/qdCNDzsiTo2gUlanwHGGx1pdOepooXOBOEirE4eF
3Ykdk3ecm46BSQIqoYEb0sME4FEwNEG6HjLm5OGE2aA+JcMzSb5XjuauK/o8pVttysGhiyVnjWNv
6omAUDvgu/o7xhOUOCQRVN0yKV5og+KzM2E54vxNpENrmkE3o0jMnzDKrlN5YO2lcXLI1NeBBImA
kIWISfuv78Onv9mHzdYHTxWFpG/shObZa7rf6V2SM7luIeFuDbd2SEbCflBc4KwFfU6eTH2hTR5p
bmJ6jbQ62NjxVKFQytNlo1fOwqqwKhgmSYoWpMtNA8j7dxd72SZ/sqJ/X1l+eMC00aV/gihuF2eJ
MLGtEgcYyXjERhf61MruCTlQT2onLyCCZmduo5OCDVQcbGkEOEcInUVLHEZnlwHibZ+5TFMnu77y
FBMG9xLBRbMGe0dJkK1sflPPyM8WvsvX+eGyR5Q9F7NWsaPp24JnhjOTQBTfJPirV8orsWGHZYvO
Ikb3ZqPOVBkUMNkhlYOrcIin6MapfCSj40YYCBZLQc1cpnAMh07ac6VD44ps/CyETbYA25B5S6xs
M9OMJZD3TEcA72DWNhB1eMG5LfCdm4FJODe5nxuLgeOs0hSgWTC0ZLdhpkCeDGiixctQj/GN8Cn6
LlWj36TFIkyajRrTZ7cOz1FvrEus2Ve8RdvKZyiskdLhI0ybOV1IMoGl53MLCenWH5OE9+hS1es5
8HMlH2GTUVQ7BUkj6BrnZpqiGOxda/WbR/uzp+VDAWNUoHg5vJY7rMLcr5LDRNP0IKp60OKXtiME
a6K95k7RvQ82Hp9WKycsGg1UrJzc5sJqSCwrjEejEbtkAi4WW0gMQtzjUEBOg6kOdo5YJCc8/deX
/Nmp5Hut+sOTUvRlbjtxme5AHD6Gqn1pB34DofewGs3w7Hjy0TSdx8wMTwP6tnWKS2URSY1pTH6J
yzSjc5MZr2Mc3fzZFekfKhPsxEE4ODmdjMqITsaI2mgO66S99a18g6kdl4npVQuzHMWS2C1iUYH2
bUjK29V2ETprFhhkvRM9o6sA5AQ2IT/4zXv1Wd+H7tHf3itTjfBMWr3cBeHU88JXxE9ZTbC2Ung3
FFGQp8g3djR5gsii4ztvCcKVQl86maHQcA+X8Q8cNZBNJv0EvWDhRob4mzv3yW6ofzhhGijMXGz6
apfbyRad77ovgoWuuVcOw27Jq+52F4+9O8+M8Po3f+cnp1r9wzEyQ5ZomCkTCz8yIJX4ax1Exywi
SwD9HZx6fd14BCYLB7MJeoLYv28af23ifqSDggSbWOSzG7b731zOJ5usLv7+A/Gji74yjGHnKHVv
xamEma6Q2iXDmbwKTnUNfRSR5O9Mc/c5q4QVFrdQheN5bE8C6zmaidGAXhvZiBXqGLqbdvz1tX0/
Tf5kL9H/dePTy04DlNaFyDPo4QQvPjXzN2M0PABOBU1pZMGzimI0itQ+oRuWNs2LLopDHdENUIal
b5SLxY+OQbSjuuyv20ASsgjqRShrOcn42XE40GG4RJzWnn5z4Z89V5dd5oc1gkQdQefP7XZGpe4F
AUGIuIbZ0GrurKyzZyNpX/qADYJ5DFMowjBYn/GYMWEQXXjMGFPikScOpHOsVTDxvHMTTDRE0XuQ
U9X++iq/n1x+dnsvi/IPVylLbQqx0XRk96Do9/T4yqiGBN9L/tWqALhYRXAiVRV96YQJxy4ORsF2
5+guV5Zxeaywd5PLhlX5j05Ncdb1C6002/X36/v/3ej/1E3/P9EZ7/GkfO6MP78mEREof0uXMy5/
5B8tfsf5y8Ua70jmMpAtiHb7L3O81P9yXduETOGAnoXTzFbwX+Z45y+dP4J6kuHAxVLPy9QgrQ7/
/d9M6y9HJ2bU8yAe8O/5Vx+S4X6VFHd5Kf/lacKY/2EXMuIpTOSUy2WBLWKeeqFPNzb9TaHw2Yd/
2EYkfL4h8flwQ8seTM++N+36H4/Zp423zz76wx7QFpadxF4m4Jlyjh6QT8w89Dt/+OkfVvsENQzS
uoL4NUn2uu3trYgT4Q8Px/kf9/bHEcZnV/5h6R5HvHXMScnuUNpLNggArZjl/+yzL3/nD2tD2MdN
4ncMHgrTvgUJ+dr03R/+lh8Wx8DGngGeSC4pQcG69b5YQGnJ/vDCPyxqFtarHq+FXPpolOakl22R
QcnFn92VD+WqVQpnVGSbo5ilDO878a2yunL+Zx9+2Ux+uOWe1/ddws6xxLHKmSfThgXJnX92060P
b6dj1h0DK99eogXTYA7D8gRqgPvij679AuX48drJHJPKHTqxFFn37Cusq6V1/2cf/eH9LIB4N1nJ
RzvZGF9GJ4cModufffaHtzOt0zwlzxlBUIkefSJ6dlbX7W9q309eT+vD6+nHHXl2PlE7gZF/BQt2
iLLq/GfX/eHt5CnxAKewZgUjKJHUXfSN/5uC8HJ1P1nGv7c/f3gKJ7uUDVA8KBuUdrMW3cmJvOx6
z/L7m6bvZ/flwxsaWqEWGyNUE9PQt44OK7D/+me35cPrSZfAm3o9FEujl7taqFfycP5sHbc+vJxK
hZXAtEAjEFP6NnPRyHSG+Zt68ZM78i/jRGyafqr7w1JZ9kFO2X9wdiW9cePc9hcJoAZS1FZVKs92
7DhO59sISTqhJIoiNYv69e9U8BYxE7cBooFeNNIMi7qXw71ngMTTVHgtidvuA+0FJIZz3ieA5FZR
dC3Jeuk3tJOYYTmjbxigNtpDq/FaQB37ZxYDseg3upOaCYWZJ2yWESWl/ZzMwz0q3Z5rcg7930I8
YtCQKElti4BE/+4whgTfMvziN20nMyGE1lGIH9pi5RCSo4vJjjD77f222cg5OiE6yGBHMG5g17AP
ZUbBx+if/SbuZCU8lfY+thuUk030aaXJv9ACao5+Yzt52SYyFnM9b0Xd05ukpfeLXN5pyr6VOk5e
KiB04T+32gJV0Rhmns19u2b/ek3b7fjYWGWLJmtSdJBNhi/kckHj+avf2M6BGYFv0DM4qmM/AW2m
T7Ofgdr91sRtoozDCgdzPOKLgaw/DMxdRfw/v1k7SakSuH5kDVZ7CNX9WbGTCDiy+o3tZGXYxInJ
0FYu0INSN13N5uc50sJv/w7P8fNbzrMBRh/SmK1YY/69pclH1WbvnJhvhKBb8R40oOdQB7EQrbXA
ilbhdVdW3O9SCBPvV/Ne9vCMh9RbUc7rRThGKJBvR78Fd7IS2qAwWs6MBX0LdhmAygPh6BndTla2
Jd17KHPjQEvPcj20voW4vvCbt1vuhEl3yagZbGHgCNix9iaEZLzXkrjVSgFFlJafo0Si23vMgDJA
x4EOfhHuVhtLDivFEpFYcAFOxVyBzgOFN7/UdMuKcRfB+KxHoCwzdK66+B+BPoPfqjiZKQK5JEGI
AJcJAc6q28BQbaXfVdat8TWSQskpnnCkmekfoqHYNhNy6zdx57hs+70akhRbioZh/aFL4+New9Hd
b3AnM3udkrA3ONQAcX6aRPXPLJnngjuZ2YRoZsIuYStiXGahkFkvn5t28NuuiJObfQyFBD4pCx5w
90w3BqGw1muzglHY680K9g/pmAp1Puelyu3CfyTU61OmmXNeJt3GpnFsN3Sf4muVJXnYxs8+HzI9
Y19/PxqqmHECdPZWjLSjIP6q50runmM7B6aAsl8AP1BEIIfSbwvjn7bV6uQ3cScvcRNMOM2gETUP
6c9mm8K8BfbQc/Dk9aqsE8hRIq4Rg9EC/IXovvadffSbuJOXVdRDB5JgxaE9eBfLsKBj7XX/hg7m
62nDYC1uKyDSi3oPfkAW6zv0sbwSBwXW10NXmkLzPIGSbwMYz7FMwfyFmt+T35I4WbmAijVRvB4K
Dhcn8G7B5ZTynT7K+ZP9+aSHhPfriQ8twEZ1iKMhSSIQ6SgDlk6tgV/Sn5Hov6dPSiZoT5QI8aki
WSFWSGTZoKu9joeUO8mZyiaIDUxXCvACyZc2nLKv8Ater7xWnTvp2bANXgIjhe+Tpp8Ia57SyS99
uJObUxzOzQYx6iIJJjB36xjKiIFftS3lTm7CLqAn6MnsENNIHjsLTtnQvfN2OP/yv8WKk5pB1Cyg
l/S2ICCdw5ugINP6bVXqGNb10W/RnRQFDBo9xVnvxQY/hJCKE+GhZyw6KQor2WwW8HYqRASdqcDM
n1ZUVPym7WSo2CIBXSptC1jwBEUi9y1faPDDa/DUSVFJBgtnwWEHoGF6aYb1f73xevikZ0nm39Oz
TNsqWqIY+/ja/ttO6Q+8ZZvcb9ZOcoJ+CzbHBn9CovQXHZUfSPXNb2QnMaEVtpFsL3G0NdOHsYEQ
3S78YiR1MrMlQ9138HkrRoEW8ZaNFKoIfjWxNHUyM97j1jYrMnOv7UfRmY9k4oXfkjiZCWF6vqQG
tMnOKDjHMoggGb/NKnUzUhnGsaNERT8FuGGVDLKK3vN2cnKZQCikC3Ky76Nr2Jk/Z9bvCg5a0+vY
hptCmA0UrXu6L59xab5mU+IXJcxJSKBPOWj3gH3tKv3YCPZ116nnLsWclGQ16mxpzbZiQFsfeiHp
AEZn8skrTJiTk0ALwIyLmKiA4tYN7MMf92z2KtynzE3KejA1VItsoWLzHPSjLAQ0KD0X3EnLBkqX
idkiW1hdgyQcXQZievJbEicpIVlSa6IwdNhF/9TJ9hEg+Pdg4ecx/nJe/sIT/lZXqisAkiOK1Nmi
GmqNqD+mfP7sN28nLSHCC1iehbQuBLm/t2b/ws/Mfr+xnazMMlaPm0SdOrPyQQsFjVY8fPzGdtKy
JWHSRaWGrtDcnroSIpBx9c5OdY7ivyw3ddISOlHdbqAVXZCmjb/VC0jl0FADoy5Pkfo04Z5p9Is1
+Nt3jeAxG4walc40br9A6gXOtuW/XstDnQyFSZMkOywmC7gpQW0k+bQz/o/f0E6GAt29nbVhcP+p
pie5gUOsM8+hnfwUbF7AHkW1UJD5QbDsCIqM59Dn3PptrZukhmRQjVmb2qwHqDSivqS9ymLpmfP6
+9jDlEJfE+oVRd2Y7djA2fGq04F957Z8nuHfwtHJUNBnFt6mA3bEwE5fAJcb71RZj+8E+1ujOzm6
WU7DVODB2bHwu5hgzAZm21e/SHFyNFEQKp/ON2VYBz/OG3C365D57VsuEmhLsnRjGdqZqHPCZQG+
7jmBP5vXxH+RBX4LlhF4QzBe0bxLl/QuApBfxLHf+ZY4iRmDgMPgooHeXVve2gWyFsMon/2m7WTm
2jIofmQVLrTtR9gJfFVT9sVvZCcxcd6PZRrDJ2xaO36h4Ah/U7Jpf2dNzqP8JcITJzdhFwVLd7Ab
CsiDjGeT3HZ7aOk+PY0VfKWOXj/hjGf7PUmbMw17ofgJlPc3xvLPoeEXfkM7cV6ZGH4IY4XVseHX
YICXh438yiqJs7VYA/IyfEPRmukhEboQ/X22td+WmDgby0SYAksCVfGITBdQFj1F8XuFvbe+qLPY
XUVJuGuc/HyE+TeUWA8L+OIpC0q/TTFxlhy8edaCF4kCs5Yfqyj4tFv+r9/XdI5/+FJuIYxu0LLq
ZnqVxNB2D2qxecYKfx2GM4FDi2lRGW+r8UdWU5CA9s6vdZ/GzuaSrO0YlBmeV6SCvQMEpz4JAG79
lsXZXEYYjNvWniOxzh7XdriAq6tf0yp1UUxbIDptIdVVZEGg8rBi31cGQSq/ibu7SxO1sBTFxFVl
IQq6NSd19vvxG9zJz2medSjOBntg3IETCChQP6rEc3AnQasABk+VRKx0oN4eRqWwA8SBXyC6eKBx
hGPKwpD9K7GXZ6NaNSwfvBbFxQOtBMLtKsXnjIg59Nl8vcjmxW9oJ8IZ7BeAwsdVaw8gLg/vh+YI
7Ui/4nvkhPgEvaYtRsu6GEr5AErJ/UA996tfIg+/3ShEW9G267DaPWu+hbiohIQ++i2JE99A0vE6
6zFrU5UXGz5my4Mrv6Gd6A5lB/59um5wQAca2s43QDj4beC/FAp+WxDGli1tuhCxneyncpT3c5Od
/GbtHD66hAg3tzAlS4O4y1EJuVnS1nPazrkTDBqgyJpa1JUh47VBJRxMFa9pu0ggGA+GCQlxiygB
nL1My72CkuzqtwmGzrGjLexPTJZhE6TBhbHZJQTECr95OynZG71l0C1F9yTZDBwEzjrq/ea3lbhU
YpiiNGECkGsx2wCawsqCzN5pv3x3ub94QEAfHHa+0NUN78jQ3ZR68FwUJylh2zZH/RDjAhSDsAz8
/M+083yduFgg3sBceOoRg2al91M93mQANPz3t/w7DThLXSgQzA0r6CqibEiZFDuo7e2k8y6ss2uS
JOPHJWnJXbpv/BG6jgcGb9+7EPS1z1USrTeg84wQ4W8Z1ASXLU7mi23poB8K4bSHmDBosA4TKa9Q
HK8e7UoC7YVsTV2sDrz2xg0iVVjrNP6cROUNNd3lf6/H+XP95WXiYnWicoFn16oXqLm1L9EwXZVy
8mNWQC7r9U3QQm7dtLFaij37Znr2OO2e70AXprOG6O9OgTYQ7ocmHiTkIviO+C3I+cL/27bdQjBq
luFmirSTtwZK69Qwv6PdBekESw0Dkw2V3zVgcI/ta7Cj0/d0ft76kM5JVqUT4m3cDXReR1gAlLyF
ucXqR8BJiXNRA3FegMSMVemJUqe9BL+Ty+idi9r59vG3GHSOs6gtSVgqfM0NCO6nTC+Q4LQHuD2c
VDtkfo1HF7AzpmWvAV2EUOc61aRYyym7RwFxoJ77ofMjsnSVZq/Qj2VreQvZ/muRhe8MfQ69v6yP
y5UGysP0E8F2yIOxeRkCXFnysecQ2oeLtXnnL/l7/IDF9jruSwud6jGC0ZExk4WdEAwuIQfkhzZk
LvBIZ82YSDqYAn7lUIhPpwvYuz77ZCxzkUcWvOswkpg5mYMLSaJT1/T/8xvauS/DRjSstx40+R0K
lHoer4PeeNU9IA74er1VIGrw9jNsvO0I44x0OFNEN8Bq/WZ+/sy/bWPlQOGOMJoEQMM0gVNQNR1U
EL2nOPBWsDibTV8LNikGTHds188RSLnVAO9Tv5k7W80OP752RGW1gLHLbVhBPnAnief3dJLUCkN5
xyWYSnKGilxVj4d2o56DOzdnKNX3dhpgSwgPv7NT6H43UO31TmEu+EikybZA8YoW67B/H5fuKq35
R6/1dpFHPYSIoMEAEjqMYEYo1Yxrvo7Wj0jI/kAeqbgFiRyj15EsAttc1/H6zrHxRhC6sCNdl3va
zFBjAIHzM/x6bvnmR5RlLu4oHNN0S0rwTatsho6KyH6UUFLw22ld3FEDNhvkZjBvMourdErvltgz
L7mTl0MZjjKWoG3GQxQUfaMOVar40S9QnMSE2PI0q8WwYtx3fknq6OOa2Pfked76mE5mSjjuAJbR
YHBjXuYl/LzD9s5v3k5ewu2qMasBiAyy/s89CyGT49frAF389S5bw9yCxDXihHWwDbFLckoofN68
5u1ijhJo3EdqBHcLHOL9EI/yU6TZ4PcxU+duTnchBStTBKEg9/DWOe0B8Yvv1Dk0VxwOlPZQcttQ
xrqahgnGhGMV+e2yLvAIH5MsicDEt3J5QY38sxnYJ78FP8fmb2dmtVAbURZh6DVdYNw7HOoh9TuP
UyczOW/NZpOWFbU28Brtb9o+9VxvJy9Xy5tmbFYQ2NMQCkODfJzaKPQMQicvhYQxyKKxJnIPbup0
gU1XQryetewP4BGhgKLPmDjhuzwS1K6tDvx44MyFHqW1UMkObf3CbnBwhSQyVdqrZMNc5NE0U6ZE
vUB5Z9W35R4UMvUDMDMXd1QFsmQ7MMywSmPlxXlDERAu9wsUF3kEg+IWvihYEroOL+VMLqJBPXql
DqOvU4dBscsm8UoL0HNg5hvAww/yU35jO2mZziSSKzyVC24B1FUNeVkqZf7xG9zJy3KFdQ1sHmgx
QCUJCj0tbNXNewo2bxxqzMlMHgbdskmQ7oOe3ymbPa+eSgTsl/Tjb3sVAQFPK7WwQs3wk2jqDzXn
J78lcc7LoE5JAJT1WSrAQCaUhiwD3VRX117Du+AjIap5as4hDl/HE91IWwQC9pZ+g/PXcbgFYQrf
Jcw9CV6iqYP+eTD79fCYizgKAaCvpxYFA1smXzeJ8vICe0u/Cz51Dk04SZA1O4fKHMDnpYbp9wUh
wvid9tRNzwjrTGHjUUCi6j5O2rvdr4EC9vjrBQ834DGQRKwIhvl6t+tlORm/e5sLOhp7ose4mVmR
tNHdEokCuDTP9XASEwZmS83PtR+oe+vLKB7rEyQ3PWPQOTL1Fk3RuFcMtkvippybZ2lbzyVxUlOJ
rg5TWMjACiJ4iCW8PxopxoNX7riAo/BMfCw7XFHSGvJ12Siu7DC8J0L9xlboAo4WnW5BZLDiHYOs
vNJb/c3WQeZ3u3IxR7C6wTaeQPTFmCo9QBpPfUDvrfT7oImTm0aHWyUIVj1sLD2VKFc+zFLTb37L
7uRmOS/JOgMRAMmAODqMXMK3z45+24oLPCrtVm0jdN8gwFp+h8DrnCtY3vpN3Dk6TYQ+VS3wZIMD
BKwSiOxAK6TvvdrOP//PoidzsTtbEqRoo2BDVElc3e11I0D2VXEME0S2GL+bXOKkam+SHr8BjFNZ
VvdVD2FMeHH6rY6TqgzuHDgszrvAQMODGsRyWJl9TyD2jXRyhYiiSKN2bRCSbYXroYST52He9sTv
BuDqEJkOg08hpCXlAFuDiT1vXfrFa1lcAI9UIrUDxbLEC0vuK6bMyyTX6qPf6E6mwuJ1zVqJkIw5
/bJ0+4XpRr96rYvgaYIWl5YOMmHQ1taHto5wWzTas+gZO8douplUIM5ZAfIsXM8mCbMWtnuuuZOo
g26XaQMnvJjLmR5NtAECy/fKb3eMnbM0GLoIjm4or1QNhb3ldAmHcy9EFnMRje1aB+sviVNYOIGr
DD1edPbhCuoXLE6GrpsYxsygpspYAlVh6PyDa1jmXoO74KOk3UvZCVxEM5GIYxmFX1vt10dkLvqo
2Vi1sw1v8tIuNyG02Ur7HnHxjX0lSl9f56qAzv8fKpk6bUv8kyzLk9+KOLnZbhnc/SLMWrJSndKq
/t5xqDb7De4cor2IzULbGE/bab/KakAxw0T//O+x3ziJXJcOGlilAGmGhtJWVS9m78pbnE71SS+L
nz4JcxWJtgjPfd5hbcYE5PkI3ojX2dk67b9/wFsf1clQnm2s7jqClZ/LewnZt41xv/vFL/uP356h
VS+jONgxNCcpeG/8W6MWv+T/BeD4begwBQyuTrEmdIQrLAp9aWmk39XFRSKRxMDQNEVXIhitvF63
nZ8gzuunfwJ9USeJoMQBGxosShvwl61DISQjqZ/AD3NliTpBFQV1Bw2V1rZXOgKKFG+Z0S9UXDRS
1pSJis5bS1bHX4VcB1AYo95zcCdJV/iD6nrC4BWfjvUU33D5HrTsjRx1hYlMPQsBadakEDKO07xL
ovH71gXQ2I2nKfTc1F1cEoxJ+jIa8besomluhy5YDjDJ8hOIYS4ySesGav4RgnKLrT3AVnk9ioi+
c9N9a4Gcm64G6JuoARvkGizdk62+pw07tiNL3hn/jT3GxSi0KeyUk/I8eTF/ZKa/IqEfNQPCuq/T
KUnKQInlXFs0kK7XfXTV8Gz0Ozhc/BP8Rks7hYIWk+nuMr1fVjH3q4m68CfApZXZGOZddzArGXv4
UqMO6Fc7dxFQvQbU0Xao5ZYArBWqI9ddsPuBwrBTvV7xJuynadX4mLPWd1PYPbA286N6MhcERaJk
CXQSQA4uq+9ZIi5TP6E5Rpxr7t6OO5nIeVPnydNM1R3vUukZJs4RGoWCj0mCMvFWmTRv5v7zZuFJ
5XU+Eyc3t2AYQNXHkiyr/VhN1VWmjWfR0oU90SQwvQ0w8XHbzz6MHwMtveKbuoihMITbIF2xG6Zd
dMbG7qcAMoJeJzR1AUNxArOcJWVJwTlEpxgJitmMu9eCUxcxFFb9xssOkTKU1eOi5gdThZ98viV0
wl+nDl7OiaYD8hJghCdLyFg0INsc/3vwv2/i1MUMSakARwBgBUXi6HMZVTm4cBdq2L3O51/a5r/3
P4HOrpZhgEAoqyYLzYVuejLxKr2uijRz0nPq+8WUE77oBDuK4yIyALaqSHmVW2D1+HrdA0Y6Sc5L
o2T/ROP4ihG/hgX8jZ2hu3HtYbqK67M0Zd5U9INYMu4Zis4jNBO4QMOImxYwjLluuvYFritenXLq
YoaCDZhlmeFzzgpudvW+msMGA8//DsW/n/fURQ11MOYcwgF3ObMGx37SNzCH8fuULmSIBRqvOVCo
iljvXR6PcD9tqP3hN28nP1tY9hA4Z+Mxl8k70f/TJfFHv5GdQ1MysuzN+Q3H6+mYaroD5rj6IeJh
MPA6BgmPgzREnaIwYXCnupctMc9+03bSEnssYWkaY+SMfWuG9AfcsL/5De3k5BK2yTpAkLQAzSvL
Y5ggFYunRBnlTla2sA+NhU7Od/H0CV2o01gPfpw3yp2knJeFVXqMsBHChBbYHhnlAPf6paWLGaqy
ZdnYjFURlBySbnroZua3gbuIoSmqBxHZMIEjC3yp5DQ8jtvk1balLmCIVNUQ8xjrDWdOOGaZOLex
fs+C843dxIUMJXyW3VSfTx7ZD4+NjNtnbqfSd3gnNYNFhlNpsC6NgvOjjO5U5leIp65U0bCIWYXA
PmA/sTrMA1ga3PAVsEG/88HFDY0ZLJvahCQFTIbvk7E6ZhX322ddvaJwSHbJ4wEtuTnQud6r71Vs
X7xSP3Wyc6cZ+qkxVhwGXvcLYeSGh5p5hqKTnksfkoxsmPjM0nu4AX2E+HjhNW8XNUTPpn/DDGAz
TNMWksM6cb5q0q15j370RqC70CHKrKCsBPQrHZcXeA5X6EArz1hxwUM7A3RaVUAjbiUv+ljcl6uf
bBt1oUMQfg26pEdv2PRLdM3mkhzCRL3nFnzOwz97fdRFD00BrLFXMwAnGFUJfMhN/ENEta7zbKoq
zy/rnKDVPEDQCZ4g4NOv8KBP13wJUu33WnH1i0hld7w1gYIgbZ/c6QCaxCDM+NE9gUB8ffhrbqEz
MmN5UD67sTL+lvWq85y5k6hjyJq6HtEB7enAD0Tyq6HRy9Evm5xEJeh/qqzF5daO7LhUZXNIJHvP
eOuNVHJxRBR2GrwiZ4aDDGuTN2MNPtUsVr/d0ZUuUuO4qD7qYfkw1yci1Md996MiURdIZJYwWKGm
g1ZiyWUuaqXz0vrpq1IXSCRVK+BriU5ikNnpwFt46Y689vyifwCJNrItawojDJaKQzZkD4T5Nczp
H0iiHuVhKUOUy1grcgTmv+t7DoVvhYpzx1X9KqVYAQ9RTdbne9vIohWBXwOUUic9rWB9tvEUO0uy
VnlM6ptgmv0ELyh18rNrZWpFSFgB39fuPunEXAxMDH7ZT50EhZv9HNMtxOjRNOQEFty6H568kt+F
E+3dBnvPCQjFRVn4Iu4Tz+utHvzuAC6eqKdV3MTqfEUfvkdN9k/L/bxHqIsl6reOib4/o5Jt+bVl
1YjSWeUnRkVdKBHenqrfdYuamdgBlE1rO9wGbMs++a35+YD9rWeWmUDJAf0h0BsBZiETvYQqkPG7
irpYIsPg79aV/bmFEF9AsLSY32WAvpGgrghQaXgHI9XzI3Sm5d2upm88LqXfq8hFEk24XMhwxl00
nvugIHr+Oepp90I/0D8QRMsopnKQKLLMWV00rG+A3sj8lF2oKwIkYSQ5ZByjd2o8yiax+ao96dn0
DwzRVGmLf1B62sMpb8L4S1wtXmgZ6iKItJ5lBltnfNCJ3Mg++sqF9FtxF0EUwhIoo+c6YliWH85D
M7qevNIndopDmcg6MvXYyactO3LT3InE+FU/XfhQG3csoCvH07xcpsOGq1DWkt5vG3fRQ3pUc7/3
4Nl0svlQdv3d+t477o2buetjJsSYsb3ZcTOvY1LAno5+m8cA1Zy9WrNnv1V3z09dkiDAE6sA5OGq
HGOZ16iD+o3tHJ8BWZWRqsIXreT02EqYEwMO1R3/e3T+93eLa2fWqZ7GZYfHeVtuzW1nhvKZDgsA
liBaBG2etVF626ZJ+HMzLPYsTrnIokmVS9MvAk/rUd3u5xpMCZWzd/b4c0/1Ly8xF1o0sBgebTWO
VZCHybMaqIqKJuMDOKEbdNmKft1okHfDPupDWaYJBA/jYPQLBBd8pK3KxpoHMBQGSvAAb9SXfqLx
O98qeeOXOblNalCKF4VvZSL2WQ+TPIRh6Sf9TF3xo3ge2iQTZVxs4yrhAZ5ExzabU7/0dgFIaKwH
tbUIYtqQh8Ts0SWzfeK3MbnQI6gzb2U2Yeq9Ha4WA7xnGfodvK4C0rZ1SReEzbnjgwITwnV9BF64
fUfQ4Y3kc6FHYNTzzDQjLzYQG7qi5iH/RKRGy3eZalhy4sgk/SntWou+x6z44He0ubgkMuoNXpEo
4WRzQmEWkgTZbRl2I/EL1D+wSehHwsgDWcCaxeSdCdc8CKXffuhCk/YMLvJp2aZFbFT0vCRz81Av
Q9P4RaoLToprImRQI5hSVh1Gwfd8NKFnq8zFJkVmilYhsDDtujZHW8XXRlSe1QRXKYmxIGu5xeBh
1vQnEqiv0279cEPURSfhjRUMS3De2CpeXrTdyxjrzu865GKSFsBKTGVxHJTZ+KilUg+hJKEXBg8y
Gq/fE+N5c69FCxtTAjf7lfH/nXk4/314vnG1CJ2jedOhbSXJgO+r+vkbjIgakuNi3sfHybT243//
JW/s+i4saZSmkiTA6shge8EFesrDLnzyGtvFJZERNCK7YFsmbJAHVQOY3LXUM9pdYBIjKtPbiM2T
0VjkGgqSpyFSzTuL/8a6uNikLVY1m2BhhZvL+i0q5S1U0v32L1cqCIpSccAhn1AsW3iA+vK9Fonf
o98FyqQhes46xprsO0FxuBYRpIhGP4oSdaEyUzLqVLeobbV7vOYcL/PQ+rn1Ji5WRu+EKNIAKxNM
4zP0DB90GtTv3Nn+/i0TFyqj4BY/9LM6l4dlAC4oL+pyfq9g8WuP+vNGCNHp11vAXk9TUy8J0A9q
4OpyFmRN8yCrguRCtWP7oSOlsrnOsIMeeFWnnwIgSJdjSKGEkPdKVvNxBgju/P/DQem0mjJ6T8Mg
DH8din/OjrowOJHxnYgFLQ9wkHh5K0Y2TnnNmyjI52kWaV4Pij3VYpbVIWSa6stOx5s2F9Eyzcue
G7tDDRfAqMaG+G8bWB1NElZX9Zzan7bu0iwHeloehcjmq0VPkT1VNJDT0dgOaGQLi/sZMusz5OLo
GnTQ2JnrNC+ZUS96bxgvsrXe1LHZl1Ieorkrv9HFmu5YS7l+2oiR4g7ww3TOS95X/cHaZX5a7bKn
PyOpygoCWI0crjut1gcLW7/kvqkkZ7cQ49rF7U5hynAjg64SsLHdh+4F3cd0vbFro7XK15BO5Z7z
YTAbjNAJDAHTbVKQjYQBFN9OsNbeJfCxOgSAMG7L6RI2rbK+0CsKYJ9HG9nswlreRodhHErxCT6O
/Qel8fB72Dlt21zGrKuvM5I05L5rhjA+ZAbV7NtAV2r9QIe+2+K8giwOxQYW6gxF0RZurerQyjZe
buch2+r/rWEUmithJZtDkMjYUD8GMVx2bqton6G6FM4k1Y9zMguDtm0ImHYezesSPg4z6cYr3OgF
z9Wm+QjHn9buJ7jLwnT7SIeyHYukEpr+b+qCtU/zoZmj1h5Hko6cQ/FcjiscD2Yls++r6cvwJ5wW
hv45ToF8ujUtXbuHIEmD7GZYg0w9zHxf8AH4Iss5h2vz0tED6Pp2P08SbTx1SMFqqJ6XZqb6QTSU
N8kh6WG5ZXI1hXq6hZcA4y8yGtB4mke5l9VlQ7DK4IjU4sSrvdQmZ0B5PYmZhuvDpBSKEGlXLc1h
VWs3/pvptRzmYuo7aPvHQz/eAOnMpxi3a8oZAd15Wz52ZYO+AkSa2vC5Las4Ohot+HEYDWmOwa5C
fHXUmuDS1yW6OpB9bXa0Z9R036dRfy+WOoEkolDZlzLhRlxD1WfAS28sxbDjBwVNi7dfn+gD4+q8
OOZCYxXCYxyuw3icJK0/k13r8SLOVHCNiuQQoExbKVLYwSQfwl6FVxNf4v7QKd1EeWjVnJ50LCTP
swR20jnvW3hkZgktdb4sLWrTLewdvqi6W23OBRdhrgL0q+RIhgsOk4wTJOTSL6B+o2drhl0fumqq
22NSroPNQ67MxWDW+J91YJbmIzVGAqhc8/UIr2MxXxiaxP/W0xLACbVhH9Mh0xqu0M1eHtHyF/pS
9wZdmmXYRU4Wmj3Hlo7HLmPrdhohd1LdbyILTgGcHborwAvHL30fiut6rqqvkQwxKykhV3hoV7bG
V1NW1vrJBLDwOlQhNHWOe6v6LA+NyobH3nL52Grw5PNhLcMPWyl5dRwbQviRtbyBc5vSVzrbzWNp
AjzWLA3K5Th141M79uzSpnDYOm5xug6nQHXWnKYhtGuB2zOVOaQ25h+D6GJyRyqpqxwIlL65EWpG
D02DILZedY3Uh6EM2u4y3stuLHDm2vEOqOCrjq/Dj3AXWB0lmuMYLEJgn+njK6nD6aWrEvxxdCz6
6dCgT/RYgY3P84hY+mFb+lRew3+JAgsgmpGe4mTjH2UfyvkmGQ2oQJU2qzzN814Ht7pt5vESfjPb
TdfCLjnnBqpMh0XE0fohihtoHMb93p7UYLcNzs/E7p9Mx7eLFD2S2zqpmu4YxiAY0wRFjdtsZy05
bMxqsCW1HG9btrLu57C2XXoSdE63PJN8iPJAd/X22GcVeiEi3hX+nYCxjA6g5GERrrSUR6u6BYig
Lav3J02rNT5CRhjMOjIP+1OCjkIAi4nMyC9zNkEqG454S3ysu2q9K4HuRYObT1tbrDaK7YHXkILK
5czkfFG3LbxtcxovbR6D6X0TxlV8WlQzvGQWXoarHfhw2Usgeq8Ha+3wYVWdKdFzAsiXPRptm/kO
Z1FJ78Yps59sZsL6FOwgXl80PIDmwkH2MWzRYFLDfoqUjeCPZyQuQQesZXbdzhDnu+qgzitl3og+
Nsd5ggrW3bTUWQ1bqJA0N4io/q7idQ1a+6oEuq+w6ilsX4XrY3d2SXuIaaPjwyxN+L8khfIcynlK
QGL+rJvyiZu0r9qbWPCUHiGDScoaqhtTeKwTTopJi5+NCaYXFOz3I8goCPQqy/pDkELLDs+DJH1s
0bP6P86+rElOXVvzr5zY75wLEoO4cfd5AHLOGj2V/UKU7bIYBAiExPDr+0v37m4bV1Z2ZMSJfcJ2
FQKNS2t9wydfNeZbOIuxjZxCB2Gchqm3kzmV0OAfxhtX2foxL1zmx00HSUBZFvSgjDF15A5NdUDG
hsc9aHSxI4W9c1UdHsZm7u1kYD6cDBl+qPgsVSa/uODv3peNzMYiclPpN4nbYN4/AiCm3G1HZ7uO
xkDZ2boQZVjExSCMl7RE+5+dNPSRWbf6cY6xql0raohunY9YVDpNxrC02iMXcwYJvWJu1qVKc3cD
mFUhI0w9dRCugiK6PTvFLqMwEI4tpt02gvResG2yYu5jSFF02ZaVYXADF7lWR01uiXHjZUXu7mlu
HKnjbuymfog6e1L0TpZZ4MZDDcOiJCwFfxCt9NtEKjt/z0mnRGSnA+1jVYg+qjXswKLO98vh1irC
QMe5CstdU4uqOoxBMItNH5SWeiTEmXUMOA7KfZQjBOFsyumaMWk127woAmR+tFtF0Pn5Xjmmrted
5xUqCT3u7MuxKfINg39Nu2oGO0+Ez1RMXYNwSpVe88nA3dhEvcIZEE2O+CxYFx5yMMIjaOHeF2Ub
gr9JC4KdHhSaMslGh6k1QcQRjViMaUQnB4e0sVlxO4qsinK7HGx4gZttX+IOEQxOENHGoRFaapIu
TO9GnT9NErbBdPTodswNQxZG+qh50x7nmHYLqHtaI3DpD72tK2+f6szjsRml0jf93KUm9hWHoZJs
M8tfU9mCXspB8SM6QhDDh51j10Ebi74qymgk81iuJfP79paaTOu47yvKt81cQlN4zMMs2PcB4pGo
baXRPyYivDByZwFrP4MgfEhUOjCRtC0ndpw7iB2gvz7a3SeWpZZKWoelOmk4jDrxQqN6jzyZzOMZ
4tNHBPXg7FMvNd8HzaBP07ipncdDidl08IM2vEVGdk43lofgaiMa5U3vw64THuYyGey45v1U3beZ
oU/SkwRrZLIaRChharUxgwRthbo4afJEKUi8bagFFYI1TUPX2cELUoQJZTbnjxzcJ/u2Cr05iBAO
8G1VOxZBD1Skv2UEl4wkG4Y0jKUInU86sMYSubfcL+utpeGyGdU54tY49PKK3gogFLK4zBV4N2ZU
5Z0hPcqgmQsRh8ifAdXbemFWikObMec9cvMmiLFv1puAOOyuGCe7Twpf5upxdrrhEe9tf6UshShi
A9GDfGfP8EKJIFLLzLfZTIys4OaNPN1Y9cOUFEGugo8gF/vd1sfol0HcBU7Iv+qqhzPqnKNKG/Gx
Dt97rBkLiDpnvr2yYIqbx5PV2/Wa11DXTXTX6+kAjSndxS6vSZsIDSW7GEG/fcx5PRpEv0rUhwo6
V5+glMLsqJEa2pOt7EcIiwZyfA5JPToZQCbDUG+VwQa9VaKvm5XqSrDj8K4mhL984WUAR+LoXWna
WuIO+3g5vms0OEaHecpwVyXjVFa7cQT0PukCeDYl6ejMLHF64rrx7Pitu80HwrDfGJJBsrvvp37r
zD6ugUMB9+OPGHPqHeAkXnUvssYRuvF8d26fSwJ6UUx9h4/3k5dNzgM1ls5WkAlKWVIXdrX23cB5
aojT32YUZ39CnFZ7uC1UPfgPFKTiRLhtOidh3Wi9lWosaMLcorZ2YQa03QMCUapjGG3m3QdWzVLe
lFB7Q8Rl6hGpj6zv1jaefFunMwLMqsqo+FAQr9LHovaC8MkSnts8GVLZ/p0z9gPbTg6j7w31qMQ8
E/KuMZ2Xbzv4+3gJwmqnjFvo/derUYc1iUF+sMMXSoEtbKLcmQfA/iZtHa3AT/u9K1H2iGfRCokV
I5s5agsvBII3AOQu2GPWh+h/CPhYd7mdptY9fKEQDhSphRWEwS4yX4BOhXFa08meBpROIH4WOX6v
bfAV3O692wsfkw688bH5LBtdDN9CiFCm3/oydebvocHMVT8IwUK1T16NosMVNWR+GmtBbB1NQTPS
lWpPFnF5Hg4HXaquSMSI0ysqO47LLc/7/NmtfP9phIHXKSsvue3DLj7ACkCVaOBrXeHMnBJq4f9T
mACUehgPqTu0zXTvwOEym+LQ0NLIBHtBVmNQNYMkSoFLU5OQQuH20mcTgSwfapDhCjK/qkxoXk4q
hg8CsSMgcbjErjBCJcTgsv3RlCCdIwkNamIVJAgbbYi9+0EKMHDEjJjcJ4cUNECk0ThW7GYi53fG
GSh/wTbb1skQYi6tM90GbMc8I+G24IVjF34Os46oR50hQ/BYN4EUsfL8muOWwTWMhAXF5hdgH01X
nuPwPATAq6fzDYbVzw8zfE/ekdrPi41jqGnvLEUdkhjsMMW+adrhHQxQ4dgqa525DzIvDaJT5Ars
F+1R11kFNqiFW4CazBx3CLnNOzUp20TeXFViP6khNZtMORRlrpn8ALJnsKOh4eOzDRLBO6a5Bh3E
kqqDsqmmdSIa7cpDMAz5S11PqZKRItAWQwjflJiFDiwOy/Ug7KDAVzJo/St5W0nWbLEI9VNmi5RF
1Gi2Jf7MfhR2gOuqb4vAiycUS9SKlnkgbnqMiiyistXIUkdTXzUimouBYiT07N3D/Rqkt2l2x8jG
8CaD6l2TEK8l937Yk/pAUa6jiH1wvEVc1F4HAKfQBNLDCocenC9DuiYtNFVXoSS0/DY6vNYr6Ioq
F/aGmRNibSHAjqXsUFfpLRvkktET3h0JYW9378Exq4kp0tB1POOSLJJ87lV2mMfcU9jfREYjgKVB
Es9x/+x3FAL0N5PWvIjgKjWwo3KnDncoq6G5iuAq63/yhGLf6WjZ/WfbUWq8ywIw8dZI6kJUljRe
ik8Yaw9OYECnZbEPI/oHPKL1joZZrMc+5DgaXQ4VOegJV21Rbm1/qGCYrlnj0xjaFc5Hx0bmKRoh
NfGudAJkZWDpkuKmOfoN2+G8AZ3QBVhqh8x648PYrKQh8jmQYIhtq+1yQAWwzUHoxYy4BvjSdpM2
bYBj0xVv00Pn1DOcyJ0gJTGueOxxyNowiOxwYHUsmcqffIii7fom7UjMScU+pJoBLd3KMHvf8tb/
VOqg9GLHLvNn0L/mdww2EXjJAQc6bj5uGJmMhve+SfMvga2Fk1hDWe/QyHRPJ2qtsLGWDyUveoJg
aRyqWKdMbTw+9vauKiYgqF2GqRHL0oNhSWFghLSeEQbwNcS0Jcc5p+E+NaTYMvdWNzTZO34C/n6R
pUSYQ1CJcX+AlsuzdxXg9SjRODilkK9huDrkKRJtt2XYi6OaPHtVaAsyPjm6o111XVGyR4ji2kMc
WAS7bopTq9YJyudemnQawX2LCWY5SKVZoou8EVmkeB6zCqLTyI5EXj6uyrC5JV4wfRhIqbdcMHs6
9Lypu29qtFMcFlXf8701qQosSJvlNDRRAUrN/WhTKuKwbKs2cgNqWfe0nbKbnmbMjnkvg93MRivd
qXqE/ndTpjz/UHG4592nLHcJYlTHjLHOOX+wAwIHplDp6tZThsKARKTNdDPiUr2j7dAeppS4Osbd
CSpDXoqDtMeVrLyvXZd9dSoh8qQMEJlEjZeH7yjcRfcohUvIWGnTIco0+fgROZoaEbQFoiuuNkXT
H6wu8FGY7Ybpk90Mwy61uplGIkyLW2ma6odwgqCtkYdwsFukk5irQ2Vw4TuYjoVFpGdHj/FUjrjn
e7WwIA7lYcw2rBBGZRFkdPL0XeBxyQ5WYeV7IUsxxJ1bjtaepFpL9GbQv8BEsOSRp/ssiJzZndqN
C5Gpz5qNo4kRx6V3ORnI0U3DB60zgEcheMfGBNvmfKNoLslRoMj9AiJ98MAgQPB5Yrhc7OvMEem2
c4TtbWzXn/QGNi9dH/XtkD96oCc+uH2atVGXBtNn0BaDJ1IP9b7sab2ya7OeMuRavPrbQLEkIlep
4Qn1AzcCOgbRGqr12Dkb+5bjfnlHkf+Gd5YCRGBlED59zJx53LU4Ox/AoVHWrvJHpEiFnw4Pbkjm
vVGBl0dTGoo9l5tvch6ifoLT2ejaQxJs+hDSErF/ygRnTsHfEcGzJ4dhcuUsr4Fdcj29gXckaHkd
4Isy7qsSQ1HAhuh24oLc+nyenlMk+T5UXqruJhn2zjasnY+hPUXT0P3wuHk/C+Egsdxzvi+8uZRI
+XnZwWuzbIeBsSKpYLICHM1QTUmvuqGK0P3eh9SaR5P4CJ67WFsiB1YIObYfdIbAHFYDRQ4aTo7h
Y4hL810eanZn0aJSOHUmriIH0xbrVE3iobCH0axnSd1yleUT8q7GdtvPcHGxCU5uSpGdr6wHJ7T6
nUPtHtYu6VB/c715emGTkTYSkJPX4kio2I8aSmjfXc8U+FW/NWWcYt9NkfdAah6ZyIy8IxwJalDs
Bv25JXVFoqGmEDMQXdenSRMGRRcR7qUjgsNpPOpxzIvYQ37+PVAwdIQSj1VzXErV8AUpQlmvjd+y
FywssvX9+ba2aHUbFk55Q+fOlJEvqb5r/ZDfYLsOvpYVzMgvoC5eLzZ5S2kA6Dr3Sno5YPGBITtw
V6eY0vA6HRxvKQ4gbKQ2SFkDMYIpbhmEW4JYn68r19LfC1k8l3lrilPx0Cm2hcF25JDhOqsbd0n7
bo2bNwqmwatxPM0fCefwfNbWVVwEd8n7dmgzZSmO0RW0Nh22zX173hOFSuj6mq5xw9Ng/wIbBlq9
QMIbkMph8B/t9EjC4um6Jy86fZoKpFqyGagrV0Uz9+8tn1w1E7Fz/f7SKC6B8FFjrnCefpVD9dnp
2CVg3+uz3F1SvnUdiJRmeLbH00+KzXERXGfB54YLyH2ucuEVI6q1mVV/8SrUsbj5clVnLwnfFPsr
hTIABM1qODl4g09RBH257tknFNYvU4T2bRbiVghSdkVeZhRYwtYZrytgLwnfKB2BENOe6JmB9RUm
cX3icOFeBUJDwvf3F8fNZqyoB4Im1G+KpMAF+iNKaO1ViAR3aRRB3QkJRHWahNpJjw5SFZLO1z58
sSwz7OJDVTYAY2p1609FTKS6Sj4GEfKiV8YZiXcf5Cm3Hz8itQgH9ezTdTNlsS5Zj1qZ5YA4lXYT
vc/LzI2GmevrNpQl7RtlUT+cswwsewulnKG1dkGRXafAhILD773iDbYd+raEcBdFbha1C0AXcK++
ql+WvG/DxzSYId8F6F340bSoSSFBd+WzF6uzGqHMj0w34CUd2YpAr0TtXHf2LHnfxp/bNGB4beRy
10NdfAnL5vm6HlkszQ7ymb53EtYLqJ7jgZbTNldqTq57+gl39suOxSYAC3gKecdChwqG4V3iwJTi
wol5Qr/8iTtxl7RvD3kcSPaCCyMGjdiR0xRGqp09AnZBJerCSGsVpdxWvjP+Y6H1X9/G/+Yvzf3/
frr6z//gz98aiZwBvJkWf/zP+6bC//7n9Dv/92d+/43/bF6a2+fqRS1/6LffwXP/aTd57p9/+wMs
d4GSfUAxeHp8UXBB/Pl8vOHpJ/9///FfLz+f8n6SL3//9a3RdX96Gs+b+q9//mn3/e+/yAnI9V+/
Pv+ffzx9wN9/3We5yKXM6xf1x2+9PKv+778c4v/bt3GWuk6AVeueaNvDy89/cfx/hwSCHix0mOsh
M/bXv2qgu7NTq/8Oqe9DugQpaw8/89e/VIOL3t9/uf/2HciMhSc5A5c4FAfS/3m534bn/w3Xv2pd
3Te4/ai//zqtveUUCShScr/Pv6G3Uqm9aj5CA2znDuM3Iio3xllEkU0aVt4k2Dqd7a+/dM0/rf/a
2msT8tTa4qxgQ8F5nobTUZP+u0vrz2M+Prl2/d7yvefC0Rd2g1fhYKd2FgeHPeUZT512PEJ7A2rG
wI47D2MX8FtRFP2DD6vlhwbwk0NTu8FHXGFbJKhNlt3ooahwCW1q+xHVLlVFwqtQYXz7409d+lpX
k9+7GmiGaYD6x3SsWfccMo8kvq7mPTbaSwyb05b0WgsLsCrM2MMAIuPm6FjpFuTxYwfCd9Lz6XNL
m0tGLucaWRw/KZlQlmQVgykUi+GfkTjV1rfZyjKrt/vpTANL6ohbFSrIkSY7WiIsvyPbP247Ulgx
0rbVA9Avdvx2O6+arGKWLGkkAQdWMMjlcAxR7v/gNk2zDpq0iTnSIyDgK7OWrtvHbWc7W6AZ7Gdf
ZHqNReqh7mBb+mhBw/VTm/YMWUUzFI/DGJ7gwR3J7yakoEhkmFvus9a0D2+/8k9E8Csj/Af5xK1o
RbPeHAsxZc9h75PEQwXjvT5hfCNmobQTjcyvniYiWRV1ooBRb97SSyJwZ/vsNGi/nFep080pTPvM
UZQoA7HsvqXqWwO3674aIinaWLfe/eB+YkBzBIEdjYIleRGuPKN3gzeAzoJ8iXIfZl6trLrY5MGF
rjmzupbkFmmyoLVG9IyZ7m2+ttlNITdv9/q5CbnYtVyj2on6WFYZc3HHuquyIpoVct7yGn2D00xc
7FfEzgafWGjB7T668oYOF5Dx5958seVkHe+sVmApcflRhlUE9YG4SG/D7tJmcOqC1+bjYseZNXSv
XAcNtECrdD34pf2F1XnuyYttxmF+2BDkQo7cebDR4Sa9cCM/M1GWzBVfa1RFB+jTQHGwgG5CeaMq
b1e29SU67LkGlmFuiDJyhgL30R07taohzhSh4tjhEjPdvz0hzxyjSwKLJ3IlgXsKDtoGKgi6o1Ga
h98bq97PHt8p/6Iv4pn5sySz2A1DnrdL2SHn4aa3i6ggAE0ApUyuUdrHzF8yWnRT5ajYEXaQKImL
sd60TXUh2Dgzg34GB79sVXbr5tmEdPuh4lqvCxQm4TfoXzjMzz18sWKtJuRIt+LhqU2wi2VMJWKy
L6RIzs2gxbIVrZNXmQyCAzAyx6kvH/0OjNmpfXx7+px7/GLRmkEglZGnwYHnwSMy8sA4eqivXHJm
Ovf4xco1I9CPXuf5h2aYtoWTHow1AnzsquTt1z/T9UtGCwH8+1S292F0rmOn/NC1l5jVZ4LhJZul
sFsy1CAqHLLad07Y7I/MHT7Dg/AWzoDvAExjUca66xbxktxiodZeg2fgHSarhBY09zY5l9/6VjwW
tawSZeb12/11ZrdYsg/UbMKWlmgIcPtDa+dro6FZwtN017VCAFqYX4oOzmwXy7S7gr+f0ANaKrij
osCgmZS5c9L0zb7Pg2tkBrFnLPPvTl6XA2vQTO+SMCLhCCg2vcYv5vTwxcIOQ7vPOgjdH6rWcvd2
gxLOZKvhwql2rocWK7sbSpW3+enV2XMtnl19w+VnM10oHpx7+mJhiwa633mdY99oHur+BsfceqBj
pNV4YemdWdpL8lEY0oEAexEc6sbNtqlpXsrC0ugg7l/grb76CSRcUpBqOE4DrxtispKp3vBT0IJr
UxPBZcveQNf8wji8uoegmcUZDWQANS4MNA+935YoakEtuWmf315vr3YSnn1ah7+cO8K0GRQZ2uBg
Usa2vCErhwbhZgQ0+LoGTn33SwOkmrOuUTw42Ba8tZoqTVoLqpJCVVfkiwN8wenLfmkgk6E1g2bq
H2wC+WgBtEXpA2zx9tuf6/rT3//ycIAXi4k0qX9wSGVFQydzcCUuebGcmz6L1WsKKh1/QGarUwPU
H6zPDUATsC13UDm1LqlVnxvgxSKeKJRf3SZA9+T0w6DJZ8PbZ+IAMPJ2D517/mIZT00xcA1c2yHv
j2CzJAUwyba+pJ98rosWx3MKaGhTub5/UPmuyR8gon5XuUFiWdn6qtdfFnhq0LmaDJfQQ9XDPYV2
4VNV8u6dMPKSB9yZDlrK+gLSwpirMQBuBoSnojWq02DFJVk3XtLKO9NLy2qP7ibY1eb4CJM+e8o6
sVojYLnjOb2G3IpFtiz5dKPkE6BM8ghkU/8RVAO6Cf3ykqXaT4LyHzczPH6xhjntewvUf3GcM8Eh
TdxX2To1QnxhvpXe2v0YfDLCr+uVNQsDvhCzqiJyIPj4PgMx7YJsw88L7GtvsVjsKrWZAx5Bc7QG
VUDObOi+OoCi72jKAQnSVUHzSAgbmnguFAoi6QrEDIDBKroBWsbdyLKfDpkb5A9whfGAtJiDAyNF
myVzPqX30ADx93aXTpEL254kz9KxixweWEdp2ouH9qthIbpysanUAJ52IWPdkY4dn4H+C3gP/9WZ
Ab9ZZ9ghg2kgXgSALQGNRFHwuN5eST8vdK9132KnKYGnClsAh44mMAkAk09j6+8bk+5DFt6YkCdl
VuwtetPjtbomuBnVGKmshBSDv9E5MImz8SPmZZdIvOcW3mJnQiInZ9CtEEduHLPv3dbbOYVn3Rah
alcXvvnUq69982J/ov5U2iAUiKPjAbp3G2YDGLClEBXCjM7f1iWfisTFo7LEn4y9MbkFDVThIRUH
CTT3Jq/kdHSI3X+/8EJnPnop+VcFQJgSq54OXuStcZgn+erxnkUsUrs0QsubS7oUr6etkUZcTLRJ
l6koc7RUQZbnSXwu96D2sftgpb7RH0DM9zx2ioR/vfBhZ+b1UhLQ6bCOGo7m2E1wx2/HpGgTg1Rm
ZKJvxe2UkDWPgzGmq2w7XrjZnjn8l0KBBaqJxjTNdOCj++6EsJp69/2Fzzk3TouJ4+RNORKEp4d2
hRtzXK1UPEZlDHH2mMbOyk66+JJH9ZnTYakaCOI0yjcAfR2KAfxXGdy7oEpHPpMw27YvlUvPfM9S
PDDExU3PYYnhae37AhyeLvf2nmsulXrPfMSy1JulZWv6RpZH6QKYiBtvloBgU0VzSgQ8VfSlfD45
19Ai2K56CZAUDesj8pHlF2z29d4GJWQPn0InnmcwqBMUaLpI+SXfTthP1sh+8ATX/O7YmKn6mHrt
uK+nSf4A38MGLNu24J3mpiVUW+zKmHvXYQ7YKqgAHxiYdff96NgHQRrnqS56J9YFB/ErC/vpulvK
Un1RWZ1rOp+NhwKCWbL50vYaFtfwdOPNhW3w3OCf+vKXKFm52PUmeKId+m4nJhVVIIRZ5N3bSwUF
x9e2WPfU6C8PH6DyBoOOfDpoo/vPfQmeCyCCJb3jYegfsd2NaxDNvV2BinckaOhc2HHOfNSySj/m
Pq0RipdHEUL/pTxmzX0etBfyuudm2aLHwCsCO9CtyuNQwx49l1Oz5WAzJjXOyUNnTfIKUAritmDR
edxh4ayLpjyarnfjJhArIGAupRVfL/Dg6YuAqQd+lA1z3Rxl2GzTYohphiT1/MNri6ijdyFDzhcc
ZOvj2zPhXKctThytmqJlQdUcobMCZVVQuMi7uuyR3324roFFBBNqWB3PvkQDxT6zj30OxQQR1Vit
bz//3Jm51HCvoVzRwzytPkrC5q/zBJO8DjWyRGV2vQUf1oFUtKw/0cGbjrLIEUMyU++bjHQffE4d
yPiYYlu3XXXhhDvXo8tTyOWurj23PhYd24ppuJON/a0cvaPOxaUr9E/1sFdipKUAPJMtcMi6a45D
PCZi3W6KpF5DrnXtJE3MEnizRsPObMymu6k3VvIPuOM3bMev5fufkoGvtbvYyVH9S1GORTjfJ9PK
W391Ir1pY75q4hcTfToeb2n8/OHdEGUrO+oiEr37/l3Hbw/0mb1jKRvftU1Pw6Zoju1QbNRo3EiO
w4NDzPrt55+JTJba8ekoU2qPEEjktZTPJHfqdQ/G0YVN49UcLAmX2vFFCwwyVB7LI7dvSv4exhWx
dB/K+Rvi+bff/8y88xcbh+hQXOFQCTlqa6jj2rPAUILWprYpIP/Npf3p3Cgs9guQwesQyhjYZE21
MjniwxDXVnbdFr6UkB+taaoJQuAjmUFPs76bmkcstxJpXbiPnuukxf3FVmAeq9MZkY3ARQR5UlOe
NMGdFT6+PQrnZtFi9Xuof9Ys1/URzpQPqm52XkCSqx69VJKHW4fBroWyCuRB+qPllfDXSq0LAc2Z
cV3qyIPF1hYOqH5HO5Mvs1Gfel7tUgLZk7df/tzzFznRDiL7tLZFcRy5czPm5KVInT1wUi9vP/4n
/uGVjWmpJx9MQQ3xIwTkfTIn0E1f5yvMz526NXcimbffIBiwdqqkf+4iUEFe6g20cWKIIK9ETC98
4pmhX4rOO4oLqxpx/XABMcpBqant7qpp6y8VXCsmWQdJihAesB8cH/xuF7pi8lH3P97uvtcvgv4S
ceP70GtKdR3u/YCQJAg11AtBbk24iwlQT574anW0282E4Sr+dpOvT4g/3KFFAZIbTki25+wWRC+3
V3FA+IWz4vVl7v+BkpkUrI9Hw/bOSVygg3BTlh1IW3yo3EvGC+fe/9T0LyE0FCE0G8TM9vBciwfX
PRSe/Kiq7BJY7NwnnNr95fkTqTxizX6wD1UZBJG0/ekT8jjd+8zJJzvu3eZS1uFcS4uDw+S9hNJP
x5BHKqIGjMsqAA3QrZNgeP/2WL9++P3hG11YmRy9irL9CHqFB5xQZZuYqSepLMiOXAqKzrVCfu8x
mK+PJeQY2B6SGl9dJm5UWLXr0B6edKlvjKJ6/fbnnBv6xSHijZ7UU8ZhDNyATthZ1ar12ipmlv18
XQOLQwRofZZRq5wPE5PvS7GBmv37wLuw058Z7iX8xZ0GP5A2hpsC8i6gEDSwZw4ur3XJ+vlM9yzF
W7UT9mMBTvE+4N7O5lMfTbJI0jz99HbvnPuAxVEyW1mJhAW6f65yqBQBXHcDdSMDXSZoeUFqIl1d
186p/V9WYFCmQzhgy9szKHJZIJVD8QDiFxtqvbzdwLmOOv39Lw0MSFBnCupdhyEzGsmj7lvIvSfI
0Fz5AYuFnbYaAtychHv8J2qyLLbMj6rLVs184QN+ng9/nrr+UtUViiDebJdTcfBFYz/OPmnvYYde
Q6KA0C0u+nLvQ1cuml2fN0naggepLQ/UdE3ThNSzteks5m2AQvA2WVD6R1D05Y3lQGEEZGmAmEyL
ytdccAt5du5sUwItoaad89XcQS8md9vxdoLD7RZKLOEnnFDExCDD0wsx+5nxWaIZpmJSUz3M+QGn
40kZqftc5rRb0cm6boCWOAYJVXTSwY/xoDPxKTXjnUjL1dzzPIKN1SVP4DPb4hLPYFm8LOesng9+
eFuQYQvds6i0bx19N+XB5u2Z/HroA+7p7zO5gtO1r7RPDrJMrajvwO8fOfn49sPPXHb9Ewz/13XS
tF7XQasw3FMI/UDKCnIapQttgUj13rStptI8phMkUwQEVY4wocKUUa28F6mUL1Mr+RrcEEjvaEg3
xQUQVQxacDKIlJUh3HUg4jNwJ5DrFjWFb1kfiPFCFHJm/ixliV0OojSB4tG+o+GPJjBIrwbNavS9
C1Hhuecv+oUqiElAsXM8cJe2myqY6Mo2tNhSCjGpt/v+XBOLk8hv/Xn0HI/tIfWwhv5MDYke/mSB
spy83cC52XnKUP6yB5ZTDh0FsB/2rAg1NALr9JZ37gcDXb2o5dgcICoaXHesLtFdtSlQ6JxxMA3z
TeZ+bbI6mtxLNftzH3L6+18+hNZc5j1kGg+ygwgXgTxBSO/TMTyI9EvGLy3mcwttcSaZE0/EKBze
GHIWw5fr0BdefmEszgz2EtyT2kPBTKXmA5T8Y8e8jGCk++L92wP9+hXjDxtuWC0G0N2sCwCfeveL
3QjzBTKN1gcKRaJ2TatU1MgK1u03m07lpUF5PVT4w321GjpsAi6CaDlAxGzGXR/byKYTzW1e5o9v
f9jrQ/KHC+vsEWzYNnLpHQmcqIAqRBSUl5yvXh8SaDj9PquwLXUqJb63tzUKcxnqS2ZIYeDjpNdh
ibylGasDPVsqO+nv+9AkepI7v5ySPA+uOkP/8GP1IAdq1cqtDxz55akuUTyvV56+7ulLFJeQ/UQI
rsZ7BsGOIfsuHA1A0bu3B/ZM3y9hXFCggTxZbyNQDkZIhQRPotQ7GMxeWG1n5uaSi2/TZoSClRfs
SfBO1584ZIBNnsXV3F9o4MzEXIK4lDVWZf2/OLuyHTl1IPpFSIBZzCvQKz3Ts0+SF5Tlhs0sZjHg
r7+n8zRxhkZqRbrSnQfTtsvlctWpc4QxR2QcdL8B7S6BHstNF8M/IuwjBdmfXeH5njrpYbLp2+iC
67wy2E3ZzH9k2KHBLiXYk9yjlgtfTx/dIfYL+zerV07t0uqbfx8sJ69a3taJjIzsFDuocbNn6ZzB
hLGy+J9fB/+osWedU1aazfEIqgCuiSf3pHU0DZAHuxeN9RyX5UqHx5KVKjd0O6coc6LJ+FjmpR7Y
BbgLQasY2HINa7VgRiqay5tGnhOUzyJQLfllgYLdbWAS3Fx/74FpsjaHjpKMEjQ+Bp0nD40BD5GZ
7m1ro2K4zDTJcp5I75jCUbyUYBgErZYz7yfWr0nqLCy/CuKy815AaPqy/HYHAsj+e5Oz7xw639d9
0IIZqSCuCqQUbZpi8fueens5kjoEnwzYxNJuOjbmUOx0u/1x/VsLR0IVb2cZYFcJyGYjrzobie6b
1YmCEr29rf/RtFUYVV90XemJi8cDcTcUgAMwIfkXmu/rv39pK5QjHacVd3JjQv6nd9GaxfweyuVU
rqWXFoZXxb/jXgg37sQQgXK+9G3brvDCGN0gdUd9d30GC0dNrSxnfPASaRlV1OLFyyy0rKz9+KWR
L3//EJ3OntnKwqNNlAgegxKU5GCPW/PVS4MrNSEmRkD7Pb0CHD/xE/6qDT+vr8dCzOgqO1pkNiNo
VEFsovfPbjHfT554cNNOgFkPBI1xaQZGWu2vf2xpf5XXVOyW4N4pGEdTDPhn0xrqiEVXaiHqRSuZ
twUwJNq8/94FA3kewwYJfTROfb51ShdoQZB3oUHTrJ9bDzqY2uzkUQUo6GMyQTkIXLHtdgBZY5g4
iQe6IZBujVQHW/OFMuwARnfQENsmUIdxmjZBWaXVF3gGczOAFz9AZARwrGC3KOC5KDRdHMcHIxri
3IP4peBRXmvmljck3TCrvKnfD6Nf9uXD6Bo0F2CXNo+oGAIUuL/lmvXlpq1VS6OjR0Wq5wTgKWBg
LbPfcjn+gmZAeNvwiv0bwCVZFtjKjqQWoEM02OTXYHaV3doVvOCZ1Wq/zcAerwkKIKx4bx30c8xA
s/c9mOvS4LYpKFdx7zp135ksj2ad/NQaIz52pq2F0ItbIy1ZALbYav0+SSCdakMbNOovwNy8ysXW
Rp1my8HqEHQc3LGTNjIokZTZMTFm8FaXmXtbNKnWleMe3JQcyoCRNUFKCJpf1nsHnYM5/np9+ZY2
SPEdbWP0xdz0PELvG/rh27ZG8xiEc6eG063bFNvbPqP4D0fnok17zT4WAF+4zI+LJNSLUwahmOsf
WPCBaom5BwniYAElF7Ug+G+re0TcebZW0Vq4JtQSsw2Ouo4VRXzMkEyfpw6NyGsdgQsXhX0Jnz74
DjraU133RY39RYOnm0xZMBgOaFw1zZF7UM12gefF05OAIM0KVGFpNooz5Bpoc2nrecccrKMPuhOn
G6MYvRWXshD3qbVkAoULzexy4LyBZ29MEsb2s6SgD6UgWpf6SsS0NIfL3z8sG6gduS6hsXKUXHMC
ELQmvtOZK2/zpcEVr0jarsz7BIN35iOg/f9Jjf66bqVLi6OEBR6kFBrWZnVU2kS7R45yj3etHhAw
MvoI0R5Lh63EBEtzUM61l5UZ7mvZIHcu7gCGPIzaWpPs0tDKWWb6SCwvb+qIZFD56Voz9ju3CK+v
0MI5VuHJA+dayivQ8Rfoj0AjpmfPd05dQUij1Njv699Y8HkqOrmDACGkaXCcDTyrSMHDboZC1Tj5
SfFy2xeUUw3S/KoGdNiIUoh2yZwEfWYeKeji3PzH9S9c0mj/1q/+0TlPkWyR9jS5xxTEwkECZBCc
0kUtYM77wGbGjgsd+h39j7hvVya1sO8q9Fabe0cYeVxGGnSVvABS8x16i8ZyrUPz8/E9Vf58ngvS
5RNww9wd6udcA9Zx0K21dP3S6MqhLmYJBnPI0EQaSA0mtAQ28raMkqfqn0+UcqDPnSmaLWjEQKCh
Ofbxyjn+3FYh2vC3o4M8B1qRTWOKqLwri18Fubfar02+Etd/7o88SznKctRrULwwL0rtXzMBImDM
/TKGwGvZowXx7bqpLnxElUFPRC8gMTNPkRRsU0I4jtKT7ZXb2QIlbvrf9Y8srJOqh866ykAZAx0H
LlTOPO9nMfQn0/qZufrKLJY+oBxp0ek2xOhgPwYgfZO0y4A33aktml9IFN/EvwHGrMvHP1xrMwrr
FohgQNrf/KzEcPLSKZT9WhD2uW/1/iHMEomDJ4Q9RUyIQGMiTNEmsxaH/6mc/+uRPJUgS6SiapLG
miJrF/8Gi/Z4V991IUTGfncvoKt6rtcYsj53fZ7KkFUMOaoJWKcoPfTAgGzkyd1CByGswsk3du5d
fLaP5S+65dtqV658dMF7EOXi5uZMoAKL3beYYNvOsYpAr+zX67a7uHTKIWcpZJqgoQrP1/pyS0K8
sA/6AXQoJxD2Ryy4hf0X+P9/wHhpDDl1RJxRBjWExvridWv0CQsJAjDC/W25Yq4JnTrITXQeye+L
rvEejAqQf9D9xwcJYaoCFwYpttA9se4Yd1hIp9iAlNusPzc6CK9p23unQvBsD+5z690rmhHqK3F1
qnPwPZej0QUGJInvm3zMQvSFer3fZG6/Vm/7Q7b0ifmqjFpgdEsqiSsVrXLVgT5OX+LH8t450l3t
pwFHActPz+698GWgh8XXHvXFrXbsXppgWAtpL7v92S9QPIzUU7NHy+QUFX4f4nAGmv+FHQCZ9M8v
m6dD5v9g2+o8+bvT1+9zaAQwDt3//nBpFLug5nNA1yFGFtLNGrxuwV/8aYr64I2cchghR9dNkW5t
U8CtPPEKRueV6S5gI8AQ+LfFgNNcox2kwCJt322mUPPtPfjLfC34r/ddeI5+A2E7H2JT/uUA6Cs3
3p+L87NVvpzwD5PSq2HWNAtnbQzkFroMvnayL4cO/+bNHIzBjH/5oQ9r3/MBtdjY4eATbALYzX1o
VqBhoNn3x+Gn9y2/d37Gnm/Pvh2km3glofE5T5np/TliH35haiXtZNb4hS2swDglUbWtA0gcbUas
SXZKds3GQYtCj28mIVpsrjuhpc1WPFw/adzNpgHbgZNVJ02IhjTHeL0++IL7/GMDH6YkBovO8eVw
DUgNu2cmflwfd6k/788afhg4jwdATQsMLH4mby527GJIJBzus328+8b9zE82aHUOhnD6TY6XnTqO
p9xv7rqV+OyPf/jEnlRQIm3dqogpfgHUPsN4Z26KPUqhm2TT7+NTfHIDHrYb707folVnk2+0MN7Q
DSQqt0NQvq+dVLLgO1Tk4gglBxfXO6z6cd6Mu+YcH8VJhga8CIP1iAg0dk+gkz80+8r/3gRVkB77
u/rcHLuzuUfR7cEOV7bkElB/tiCKG+NcTHmnYUFcHk5wYMmTiyvt0mrT75t9gWP1TfsGgdf03ghm
3wu7SHvh+7XP/7mRP/u8EkK1osLrobpYRGgFX1BU97MwDugu/ZU/JHtb+PM9iXADvsZbeu5O4ru1
LcN6C+Ik7I6xERtIVIZr+7LU4qVyhE25ZDRLL7EKkHHn/gWZNfnuPLivCQKkU3cGJesP4+H6yi+F
EX9+xIfDoHnSQ5kHH5Nn97l6ANX3HXp1NvPWPpon7PJKbfJTTWiEEX++/+E7uMFHBoJXGNuxOVUP
/H7c1Tv3CQv67O4kWq7tALJYG7azD/Pu+twWHIgKSPMA7/HGFrs6pgYEJ2kAAvMVf7vg+P6wUHyY
zSx5DQl7rFozeNBA3EGIIwAAdO2aWxpeeWLpbltBcxmXaLutah9jm4/2ge+T+3JPIv7KQ/Mns7fW
uduiSvKjuLP8Cld5dZf+R1ZSvObFhX9yJFTWMafCI7K7XHnQPQmqQ3Ogu2Q/7FhYHNFrsiuCLhzD
CcY/HCicVLNb6zRYMn8Vt6ZLT5qNB4lZznztS/Mw3hWv5mE+FwckeL6yY/YMmbXrFrJk/Sop2RCL
2G5rMkXOLtuLF/0uf3YQQ9MvdF+foVCU3maKKicZKuVJSWLMKbEhRYhqCUEdbGUOC49MFbc7zrk2
0xRjp6dp6+zsL8We7JMjPUESccsPwwECs+e1TO2CZaoY3otuE8izsWCQ43TpV00/xPz9xoko2ZaJ
dhR6rhKh42P5hI64+Df7ar2aX3ntQwUrgy6an42o5vraYa1Bbmk6F+v/cI7RVkkhfIdPcohoz1kU
e2VolzflzD0VyAtisnHULOQwNIf5ebWTq9CCBc+mQhc7A33MSYoET9uBXT79UfbTSuno89ICVfnI
+DSOyaXnNRLC9ocKikTpTz1/baafFrRZaLvyNF64DqgKZQPUPG1SU79E1NbR3DD080IF/amJ2k19
Kg/5PttCY/3AEfesNTh8vmhUBbjJKcbUODxaJ1+K6hWMLiuXwecHENjvv43ISGWnkQS7geSOH6PX
J7HGAFo54TTXa4d8aV8uBvzBUHUn0Xrn4kDaUH7Jvif35jHbV1sj0u7djXZXH5KH9Km9r47xyptn
cYcuy/jhi6APG6Ewj5Mef2vRfgfFwRf7vXysX+OvKNDj+bjh29nZxZF5Sn4Oe3K47gUWonN6YYD/
+F3XAsGFk2CmhQ/cCUR/t304btoDCS8BchGA4y9M75vfxaE8NN+9Y/UE6dPgEjmsOevPnQJVNWxK
SavKqbGfXT9+ael2TCHdbYrw+gT/5Lb+vVlBgf/3BEmaSLdoMEG+4Rvb1/Fk73bjXYfnYht+e0kR
erOt/aPeFXcQWo06vNrxTPfb/9gGYIkN/rvxHtjdWh/n0myVWIMKIVsJ2TbwTE0QNLXRFUcrPWiE
u70+4YVzpyLq5JgTsBnCx7aA0onplBb/XR94IX8EErS/V5LVUPd0c5gouKk32hkUplGznQ7eNj9P
eyds8IQyjjOso7pD48TZ2bdwKde/vbBqKtau63pQdY3YxKk3/K75ntmmz72VFVsaXHEoRS+h/DbC
U40i2SQXSnO512x7c/2nLwRYUFr4e9mgB5zkNSQ4I3K2v0CG9k2/Y89tFG/7t+yX+wYsv7ESRXoY
8RNTVzF2iSUh6FzgS66XhfpUQNy98Zv4nY6PJPvtggxNGmLttr0Y7GcfUx1HieYTU4c1fDGDb4Cm
hy/f7gofD/y7H9lx+6P2t5n/lIbIFKFdJ/B2DpK9uv87RUIs939Hb48seLu+wksWr0QVYpwKKNXi
cmM6+W07fAMZ5ZWhFzJgVJXayaD4DSo4jF1v6t8Qm5yg/Zv482vz7D5536r77sC3Ocif7MfpKDaQ
EIrym2JYqurwzDoF5JBjM+2mBuwcqvbjmirM0mWjAv/jGJozhoTLjV/nAErud9kxP8eHGJIDyFOK
jbbTT2ZY4XHIQMXxdH2bFo6Z2gtQFa7M9Qrx2ajfWdZLmX6fvZUMz5+3+ifGqFL/NCBp09iMxRJb
7SxOdpQ9lq/0NB35A/bnmJ3dkK98a8HaVKRmkyTctS2s3TANQU1nv3dXkgPu5ydKBWiW3qhP5HJ8
Zf5ag87YgIx2P9obG9prk7UScf55jn+2VJd5fQg0GHpIWu7iK9OZnOdjc/B8sDAh/6af20388/pe
L3giV3EOZtlpljdhr3Uogon+3uRIvelQgO7TUw31Zn2292VWrizc0pYoDqDD1eBABvdyVF4a8p2T
lXGXZqGEDqXQZwgoXV5Il4L9fJ9D7GUe7bDsnlnaQasYLGHmilkt7svFz37YFzKieol2OwQGQGBn
1aGteQB1VSB1keHOkBU1at+0XtEVe+L8YSjslVh34Viq8L9RN3JHMHi4IX6Infu8fkvot+tWcLlA
PzE1RwkYKqoZ4KDCvrSDfG1iFo6ue5zH8rHT2MoWLWy9ivubycyaqe7dg5cLGUIiu3uyDbJmWH+U
CD6bgRoaSBaXUitdyJ+SHg0KwETuhD0QKLkYzkED2ejWZRXbTTVrHmbNGnbAAQB71nl0P7n/cTPu
A1JBDM6fbTHRjaC0WLmAF7yFimht48Gr28ZyD7U2+jn/imbN0JOPntf4JEtWgpcl41CchVPEVSJK
jx5aMZJzKk1I7eYO4AF5vea7lz6huArHo0Xfo63/AOLR9vuYZ2JXWpCgJ0S3Vq7SpU8o/sFwJPCY
kIo5MGRE/Vgmd7Xe/oIQ9Eq29c8185mZKI4ipsAaCMN0D8RMhsi0Us9nss9D6dSzb4wZ/ZWBV2NL
rYnuvCGPX8y6H/dMULInSc0zv2ibGRnFvLMPJkiHN50F0WCpESPoNSvF/xrFVgfN4TaZDeQC06Z7
K029fjHSuno2JyfFzZ2zfSal92iahQw7y202zEnag5lASzLrWrl1O68Pshzq7SAs1F5M6eYnkDcB
SzINIMDyzSKbDoJ4mfSl5Kgw6cmxmxr9eGEqPpRZob8bbT39gjpt/cMtStMJBh3QZxCcC+PArbo7
WLpB3qahJy8lRI43pW7bzbZ3dJTmktx0AzYig9JWI0jDoLt+cE2wWqPmNOpbiK9zcMTlhYmIg/Yi
7MrBuOuqEjrqU+82O2mVKOElyeBXkF8P68mD1g/E7OVpduv+UfPm/izLEbntSW+/XHdgC4ajIt2Y
x/LKTlt6SHTnwFrQn4npjhNje334hSOsgtyYdBLOC+odvIlI6kMHXN6JwinAxwL+pQpMOlAtH6v0
cP1zC75SRa40c9aVRc/7qLLFhdhd5EE2rbUfLCyVClwpR+Y6lW3yyNZetPLemF/YmtzywtCOcjOW
Qxw7QwdBiU4zOQ6WdYJSOfGnLrltm1VgcqfPDVSkbfcwaVkJXfp88jkDXVDLKz28vvYLc1DhyW6f
uJlkiXYgZR5MODNjdsqNJrg++oIhqQhliN6mZkZqehjy4QVmYwRa7Ow94n6bG6qFtlO/XP/Qggmp
RFgVtSHiV3jewanYQwO8AWPTyk2+FMOrqGSh2ZVlMMs7VKQrDwYnImB9D8qjse5xHcSOtgNXUUhJ
53tVGQNBzuo9EvEJAXE3wnJowIxQKZu7PovQztCvII0XghiVn7mqTSK6SXMxZWM3s53ltBBes8Fh
uXJ7LK2pcgF2fQ1xTuZ6h6JvHmodzfH1vBJULg2tXHwCfTZZh6a1Q2w7zW5KGvT2xcxZGX1pZZRb
z3RHW08gEn1AelwEOUTGwPYDUI7enRNwYqzEp0tzUE5/kbAqFpnnHorOeUrovNfrca0gtTADlWi3
rxNgTbQ6PuDeoXfgBqFvNuXivjUb/cmV+trLbuH0W5fvf4zt6z4DAoK6h8aR29aIfXMa9lN/W5it
gn77jmiidEvtgCaUPphLh78IhxAI0/f5V6FraxmJpVlcdujDLHQQ5ICgE6uF/pn3yqYvoDk4upn4
fd23LG2Gcg5IDMYlKnV60CcAQqaTNJKQ8mMxrQTMS+Mrh6EtrDwHcDY+eBZUGEebWUGbxHe8aO9l
2ax8ZGmNlDPhWnFaQx40PtSzc6iZUfkWraCUyIfNbaukHIe8iGVh2nD1RfGcJyKojGNXArFgr7jh
hatERQI3+mgUXgv8bGvNNKCCo9ZQdXd9P6XHmODkMXdaOdkLG/IPHljEbjZ2kxE19tuUNf5oo+rB
Sz8fV3IdC5tBLnP8YLC1lBYzp7aPjJhu6gpRudmn52IS79f3YikjruJpM8cb+4RDZprXubYX6Dx+
Y7VX7nuBfmqXuMVz0Rps61Bt/j1bJT+bxgxif1dmyO6MffoQw+IfvbRxuqCOK3oiYzVA0090ftOk
40PtePMQJN4lYNCTkXlbARnbQ9+MoCG6Pgf6+RtdRepqRu71kjZzVMS5HQxlF0LCBTRIjfCNkj9C
HenLmKx1gC3IhlAVo6trXsViqzMiUQ8uZB7i6gXvv2IMIVHfhzQVEP+bB7RlhHGuASXGcrR89MQd
gnEka37sTxbqk+faH4TWB7voWZtY1AJpVeyOaCvpLIdDcCHGizq04gyhxUxJ8cOrGcLNkev1N3uc
xT5tp84H9RPZmW2CRwpDQkCvDcuXU9W+VK4UvgNevaDoB3o/Tk72vStK9o0ZPTuXvOm/C1nO/pik
8Tnm8/Q8uZa+ceyGtAHvjNrEK4wg2JG8jex5qh4ApmkeQO/stX4Opd0dZMnQtiiq+U3QXj7ooG4M
HbvuNrpeiy706EDCdtaGx3xsvdBsGnOX6In1PgOw67t6Ne2HtrN3SM2B5mrSOpzk0Qz13i7DipP+
dS5LNvh2Ps8nD0JiR8hJy+2o6QCkJVWxM9BCEZjWXKExgFmPeLr0m5k4BP2OpQ55AhQ+UjMYJz2r
w7LukL90C9EdpajGKG2bsvadyrQNv5pE+/O67S6EBipWeiiyTmRC9JEzyTnkwK+GEJKit3kPFS6d
oGYeZ7Voo7ZMfkIR4Jg7XuUXMIOVo7fg/1Q4sydM2iR4ekfc+NrCsxrlXR1/T6q1npcFV67ylBLw
YcrGcXhUMTwCAM7aOnhJBzoaX3OXfAXH8stN+6CCkDuZWB1ktunBK1BSSPVvQ71Gx7g0h4tr/3BU
0YPXp1VfG2hbR1ajZ3WYlM0hs8R57vGIHbx8e9sclOAmqwkT2iUtnkzma07q1zLl4fWhF64hFSw8
jdWF+gqZXbgV5IQMZhwqHXJtrLXXir4LpqSCuKY07m3mDUbE7PLRbEfNzwb9TfDmUXPp9+vT+Py0
ERWrYg600cvC41HZndzK9lNurTxfP7+DiIpOcXpLSw3gAI6susj9OSM5MNOOjNTba3JOkJhKXys5
PV2fx+drRVRgSkvraTRaB95fhJBZeRTDdCqnPAIh2eP1L3xutERFqMyNQRB2T2BeNOyN19U+cfug
AstjytIdWBdW/MfShihnw2b2kEI1VEbtzDYukG5TclOmiHjKYSjAZdOUBjGiep4Ct4fqdzl7X68v
ztKvVsJ8YyRs1rwBTAy4m9CE/1711a/rQ39+0IiKJGGdmGnVW0ZkF5YMeuD2jxWP7Y0ztivR8dIX
lPDebNIKneYuzkCe5pHsveIunTjZgA7aXnlVL62PEuDbVAP1YjxWkd7mX/uU3RfNGinYwtAqNAR5
rckZZ1c7NnYdpPx3Fd/GAENUaEhu5mhcJKD41kizqeyoq8sV37Cw4iryo7eHqZVd4R2tshmQUCct
YEqkKn4lTZmuLPnSNy6e4sMlo2eDaxumA3DTwH1bL8Jp+maRNaa0BX+j4j/yPC3bwkzjI7WiEtgu
R36pzTcD7Zs3Wb2K+uigM2KDKNc7mvPdkDjQLP5d9zdJx5tEZVXquDuKvjUlWGoF3/axoYWp1zgr
uMSFhVfL9jLtS0NUFY9S0Pz6TtY9Uq+8R6C5EsJ9XsAlaq0+RZqwRYonhjxwTXyt5ODLNEM2jcAR
6b9E2bS+NfJjahUrlrQgqUfUGj7UQVEioURE4ssgg/ar924DQFv6zonMgNU29/rL9O25eaSJL5+v
7/8ChI+ooj5jx6WEamgbTbVthDG4e6ygGWn1wxxl/J9d2+XWdtIB3M9aCcBW29vPc1EU22aOx41o
GE983s26GWgZ5785RAbO4KnN/mM1cfzBMIBzKMZ23BVQhUGxpy3ad5Ll1NwyalqDn5ToQPPlzLJf
WmKUaxx3C8dG5QNi9cUykhJv66ZCn+rMsZzMZKFXE/u+0GSycnyWvnOxzQ+HP5to38dda4AEbfRF
Bi2CCKRu4dyt2PiC01XpgXo8sEcIlBqRR2PfgFeBfs9tvtFRrlIoJTvQVdNBYVClYosyvrMBqwff
eda0pluzEMqo3DYOY0DsWIMVDdzJdsYQb8zJm1GBHO4gI78b22wFALvgChzlZm1KoQmZ0jFqIB72
plFqBqJHrOzr3nAbqwpRUSlgiNUnU7RFBJHJoxitk1GR9+uHcGGX/yET00zWWjnYqy7ylQhCXurK
+HV96AUDVSWo6pT1VlWZRuTqvz3vR1L8zNA/T4obh1fiDVrR1DCH2IrchJ1NPj5MlfYLOK3K15vs
y01TUDEmMR2B+9cRTzbwFNQo/cqS6C94BHvrjaeY/n2KO9nZdiYnK6oma8MzGYjxG01K+Li1QGSh
PgU28L8/kfaJsNvEtSIDyrcHo+XZNgUH2rfWMLxfNk/SM4i6rNPcjn0wFS3dMJ2jkqhbVhaNXenA
LEAdBBKT1Nrq4zTdVD4ianXU4a1VlRI075pxIv3km+6aZ1w4kmpZtEHp38aPFRGHFLI9+lwrfHJb
WY2oBdE511uSWcg7Mvp9cJIKglWUYHHoFyKLaXPd7pZmoGyZYQPBJQmcSpsxsRkEsh+FIZjvpNPK
5btw7tWCaOfUkOuw3TFCbdrwrVQH3Z5cK+su/fzL3z9cTWCSBigi0zRIWc7Af9Y9JN5ASJQ/Fekw
uyuXyNIMLn//8BH0ioA21rHyKOuy0O7mB9EPT9eXfykaUhVnM1YJB0m0HG+ZWu4JOBTQ59qUuo+Y
xdhpbNRDy6L2o3QdVHc51eQ3nRMZ+55Td0HFqgRMA0n9PW8b75EIL3+yLPyt9xzzNs9kK97PittU
6y9P9dGDddMSmmYGH1H94DHfW0O81mO4QFBHVDXc0eZo9RGXZ92UyJCYQ+q7TXec5xjAbO1Ll2oP
MeJT10ZimA5rKcCFhDuxlWsVwqi67jlQCUh7ZxNn6CvpwBic2E4eINOchJJxe6+3Qw5qaDvd50NH
/aQdVqphC/G3ip/JiO54ufRmJNqHd+E1vzLQpfs90+5lbIRewzpfm9p7y4Gc3HWTWzgyKqQGfd6m
lg+g1c4E3omTA1DAlzY2VkZf2kW1YIwdxDqmIJmlVhKw1A4Srdu0uumb8RuZ+aar5+cp732zXHlQ
LFz+auUYuZGsxfPOPVom3xja1xo8D3l8GoqV22NpfMXFGEPRxLk+ykhv7kGJfWgGPEygftsV80oy
bGlHFP9iGAx1FJJXkdfcFTMLDfHds8iK81r6+UoEXOVG4aZeCSku1HE8yQGzROkD6gtyXtnyhQBY
JY7KbQOSe3mBxqC+9NP2bFrZgRTPNdCmY3HjEimHdIYQmpUKHBO3Ojtgq4itX3QVP7E0AcXD0bay
7Mx1Qe85JoEHsa9huh/AjRMTGRTD2/Vjt/ARtWoMVZxObxJqRJZG9mXLMvQuOqBhpqmPpxrzLeM2
HV6iFo3t1NPRNKlVyMC9U/TqZF4aNgmagsw1mpkFg1WrxkirVoXlgiq2NsbfFodEuczH/WiTOby+
WEsfuBjzhxsXtb8EZBCzc2RFNQWpmOo9nHT6QKS5JqUK4XkM9m+Nk6h4vErqTqfnIOkr59Q5EhHn
ocl7PRziuQdxGDdakNc4cR3RGRqbIzpotjHU2vPQBeT3qEnLg7BWbW+oTHKQH4pq35SuhHypTGp/
QK3vnrt6E5HUbU4G1LxRvZ/bI5rbUA91p/gE9SwA6LrBeh3jcjjb1Kt3umj6l2Fw46fZ7Jqw4B19
IkmDRjGAc0NemI0PNQczRL+tDFst++GIFkBQhybnrOd8A8jnuMn7MTubPWBe/lTr83mqKNqLprz0
GW2zbTaJ+W12uzG0vDY/MJHJvUPH6VjbWnF0Yhd97UT8tOs83qIDLzsi/knu52Iu3wfmJT9QDM89
P4M6zO8sLuadk/f1jkudn+pYsoCnA99VBjhG4ybu7ru4tjbZDEb2SRAejI0n3wtP1tucaO3G4Sy9
oz0rNk5vahdGVQ5pJKeGGBpvqOknptnuGXRL3gfH++0AkRk0Obgy4WO8SBr9uBPUIMEsWhqJwusC
qqf0hzM69bbS6/LdNWXy3pMkDVOa9IE36+cU3hZo8IpspBy7w9Dl/3EKcSuWjuXe5gZITEXy1kGp
9JUlI5o7behWzqiyBCRzv4tST19K6ALeUYuxE3e76ilzB9t3xoFuPROCdI1c0/daOAYq78bcV24X
4110JF23qw2W+EPXPg5TsZL8W7gbVHCGcHVZ9BevapE09usM2MCiz79NrQkJknZaexcuTEMFUIge
OR0h8jbSuPYIocuHRLRvLItvdBbm387CMRJS6hZIc207B3LkoeoSX8y3cbQSFQnhDQOUMgE/Oba5
+1AbxQscxY/rXu5yv3/mgJR7xxE0zWobvNW8JL6t3Zv6bQOrdXm74emYa14TpZP95mTz/WBYK3Wv
hb1UK/JZOdRinscZrznD7/muc4zQiVeeGkuDK49RLWUW2jUEFFOgYUchRcE14kOHfSVQWRpeuVV6
WRiDrGUdSavqwjS1aQAiR7Q7uLm2YosLJ+ofOrDZ1rSqqZyjiAGSYU76bml9aKRTHToAldxkN+bF
nj7ejk6cTbZDqog1X836dejfbxtXCRXBlZ3xsoQDFCTtzmiRhmib+T9nV7Ycpw5Ev4gqIQkJXmF2
bMdbnDgvVG4WdhD78vX3TJ4cZRiq5tWu0ghJ3Wp19zlnzqOVU7kQAenEPknMRsPi2N0hg51C5c1s
n7P4payFy+hKjnThN/6Qx3xYmlCUEbAOlvJHQcECChVSCLNbTbtrz1GptKfpwSSq7m88UVpYaqBV
S/IJHMsFxZbXYmeGtQty+5XYfelrNAdh1ooGdWxwPE3j+pR1EOqqTFyieJwqUP5mzpYmTfJyffcX
rOMPEvbD0pGC8Cxq2eSPDjo+wS5Gnhy1pja8gN1jOrVXHKmuDWaMPmcZP1WDHI9GQOWpR4XFCxIe
7MapKXxqxJ9pEnb7CZ1hXl+O7IjOjXJ7/RMXHtt/kjAfPrGFWkybZxGQ5U2QvIxn5GhQDsGutBzX
KYU81qPT7RiE6g6lUubKE3/Bzf9Bzn34VUKMoWdn8vtO2LhfPzXxWmfixS0zuU3/dgQTmWOaDzw7
MSuM3LxJPgfj8GPKsl/X1+vizDG+drzjCWCDNiqzkzXTPbXlo+DBCmZgaWj9aNsQ6+6iMTzlo53e
h60x752g5isbvbAwOnq7tuMw5lYZnkgU7vj8Gllsl5trNKELc9dh2nWLtr1kwBtgTL8RJKLQzr/i
T5ZGPjuCD0cFTT62IUaMXKe9m8eJa3VrNfCLN5PJ9UKvSpBBbpwqPEmKvBK6bZIg3MlJPRbp4/XT
srTo579/mHzYl/GcjDmIntASY9HPfTe7Btoer49+0Rdi/ucl+zA6NWUDHZY+OXWKgSu8Gkg6IEuX
0LshbtPndpqxXHZE+luKkvg97TIsgroEMruPTpMc+/s5BJK5Ss2bZKswuma5qlGlaBM7PFUGSNqk
iB9r0D55chUzunSSNNOlaWFnccViJMbjO14Ve9EYK/5saSc00x2B04yjtopPg9W7QCTtLLT58tna
NNLc0m7lJl/4AL0gJiWV8YRvONXzTF+qKUOXAI9nshLHLpiDDry2Y2FAuGeG1Mls/hazuYf0b+0i
+XpO/a7GB0sfodnznEILKJJTfGpFDFneL7b8fd0aLt5kJtdL/6GZlGd9u/iUDxSRAHm3G1Qjk9K3
6swDqf6vfJbHeC37trDj/wCpTUmqth7grBP2FkDiAURS4V1kDPe1ndqbMz/eipUvbYtm5QbradT3
WDA5foma9CTZKx0CiO3YKz9gw1388+bCwmlmHRLadyyh8Ymo7qdU3d1IbNfqLctlUQGw3tgeDEfe
xMqIX9PMPJFJCu4ABStMunurBWFZMop7CPrdlMzHD2hmHpksrMyBRCcn2MXTtOHW89SvKUItOHS9
btqBK2eO4xpE8cX7BHqV2nl04rWlWTANvXTK2lSlFODoUxqThw7KnlnXrKQ1FvZYL5yqKbQAw6mM
IxpLkg1zWHTi6Rh5XEZqN0WtdS+jMn4KJ0FWXmQLx1ZHlxZWKvrSjo0jncHrXbVDvrHlNLkU/YSb
uumTlUtpYUf0WuoYTpCvSJzwlEQRYPMjjR+KEYC5EkqjKz+xtC/aLT4JoyuQawOUqR5y6Ly1SIkL
epvX1ZGiPU9TacgyPvGkep1Q+9yEjX1oEw7RclY8XfeNS1+gmXhUNbJNkik6lbRALc/yrEJsrg+9
dLI0e54LiBhFXMQnQ1WbuYD7zQcPXcA7wIPuU5t8zg3qXf+ppa/QLBvKRgEPGC5whhpa2hU/RTSt
XB5LQ2sXOPJZZhlAjf0UpcZj7aiNoPWK6S0Ygl7OzBsJneRpjE+NqI8i+jUWYgdEqiumtU74hbtI
L192rGFcUUQfjIHTMP1kmhTSyS8x/S+317Z5YYH0GmYvcbkqgrWvrMLt1Pfk1gOkFyuhFtDESRDA
IVFxlwGz5NJufCeN/M7t+HEWhp9a+fP1E7TgLHTQq7TRO+Sk8LA82E6z5eXBp6QdV47nZTpeE207
f8fjpY1ernke2WnIJpJ5JOC2W1qk8YvINH4mpeg8I4rHu2AKimNLcuuuImzYRh2dvoFWdfByy0zR
2oKi1NDY5KHNZ3PTxeYXGgbdDhBRE5QfTbmjpDIepqFNt9dXZemEat4BaMIQxWIRHLHLxB9nVTw5
Igp/DZ1Qblb1a7SRCxGaXhWdIHpSdTzDU87M3uPczryesicy1Y+EJt/TfH4sk8Y8O9hb6tTYEM1h
gMzayMrSCo6WOMwBipgKCo4PcbbWGr90nDSvweM0soklAxSHkm95xn421ZkPsHm5vi8Lw+v10TMy
YeIc03dCUCXGHYQNouIk7eLt+vgLrluvigIZGAtzBr2EBPGtNUH5JiLtf9LkJ8j3Wajk9XsIQm2u
/9iCA9ELpLkqw2Aw0SQTGyQCBMt4qc8A1euDL63U+WR/eAnztMPMzQmCJPRtHEP3DKGuyIrTWJr5
+Uc/DI5eFOCXZtM4zkUNQXHQzCSf2GTGu9vmrnmNmkKcc8zn6ETFhuXjzlTgEhVi5c24YNt6oQny
t40hCW5+VR17qAM1ebkdCjxSYYbX53+5W8jkOjzX7HgtQhMfkKVJueNjRZ/Bh1k9VBNSKiwNzZ2Z
d9kmIzI+mIGKXwaByqHk6iZ2VExAM3OI4YXO1JTGsSkoI65hSRa5CdgxNmZlrrFiLB0xzdbLjJMG
WG0Yo4X9SSF4lSUe5OtWVnHhkOn1KdmlWVuVNDiq2jqKDNxH1Lj1zf1PhaqnaHjojOA4TccAjdjM
rlYMb2na+mu+ZUgKn6+OVhQEzNwBEk4luvJWjtZCZKNjRIUh8ZxTKTtVvGsegyJlh6Kpya7uGUQX
0iJ5KEdueG1ZtYAyI89bReKX5XRWtIG3sb2RTq1P8pIebZlIPx2hpoyTEYmVC2bhUOj1G8Muhnym
RXAswmcre6XmnblmuEtDa5dyxgH85kQFRzqyKfGEUTpIw2RG6yYydr5fX+CF7dPVFypnKHIZIik8
8KH2MmeOfkCdfE0cZsH36AIMbdMyWlBqH6ccqPPKyD+prLfAF939AvBr5YwsfIJeXmx4Bc0oihMo
aHyXhsNWxWrFJhe2QC8qtoq3FXwbqEvGh8JSW1JNOGrdSri4sDo6wNc2lAEmAdy+42h7Mps3fHTQ
5j5v87X+qqX5078vrhYQ/9JqzvMvS/TpxMmmKZ1XI63Xer0XAghd/SchSBA1ZRifMggKNxsizOTJ
sOvk1HdG9RXtx7npdRzfM8dsrY6xsGx/miw/3MYtOG8rKrhx5NzwVR0/FUO9r8PuP0rMX9etYmHd
dFkNmlAqCIiDjnllnKqQ/DQoeZqgDnGb09Rx17bKw1GiBepkNLW9UYV5JFGxpkyzEGTrahlOh3YE
4E2LUx5I6PMgofQNel/OtqGgn4gpn9Fg1GVuVpBKeVFSrB3npbOg3Y95HIxZCtTCKe/u+nyHXmtl
psh//0jJ4DXZ2oWzsDd6SbaskBhBLzSyodWAnlO2sarURQi1YpSXebdNrhdlRyD6VTey8xsFKsfD
COWUPBpKPEpktrESEm4mahebYEI/GqtDE1Gb1W0cE+QZfEjR75UL+5MNeoyVCS0dd+2CTdOxZt0I
ExNd3+w5YPCfWz4n0i2sCdWRMYUC8PVTv3DX6jXZSIBFJidIbcpCuWn6K65BTA0qWau/S+ybWA2w
vOdt/WC9fWcZdgqihyPkVDe1DQoiqEeXxdfrn7BwF5DzIn4YvQKsHVw9QX5iI7rR2gBUyLXVZLvr
oy9ZljZ39CUlTWzQ4sQjBcUfmZrlsyFEuGWzMWxmu/4xzAVkfwKqvtBmClfKwgv7oqu5tDW0cpOs
ESfJa+JLM273DKLrz23uiL1QAxJLrHZuO26E/b2CZj8MZQUJqBNiplNFo0MKcDOp0rtojf9taY+0
SylRgdGm4Ivxa2Mu7rsBajFxO0crhbgFc9HlXMC9Q1MZVMRP8z2R034IfjV16FmrzfxL09fcHIVc
eyl6awYoW+26QO6GQLxcP1+Xh/6HKqNB7h3shDnxm4GAjzV4BAh8DUlyeV3+JctA6sXmjolpD59j
+Hwi90OHNHb48/rcL7vlf+gxzDgswWYsC3+0zirVXwNpeL2xMvjSwmhmDVqlrrZrQ57qmD0BFvhJ
2N2KTS8Nrdk0FnhIaU7paTTyxHUqp3L7aA0kdRn4Yf7DiKFUCm4bYLxOY9ZBISuLlRdG9FuoEC+B
n8Ru/LCi3V0XAUWUWWG6r9NmWilaLO24ZslpOZGQzsI8jRPoiy3mvDtJtBXzuLNJuyZrvPQjmjFb
NShkurYk6LbJ/6NR8aWh1cbh9YG1N3XgYQ31x71J63jOQ3Yy5xSwcTPdW8lwo8Vpxuyk9dAPQgHg
j9z8fpyjYWNn8qYmXJPpxBnCbkcL1WFy6lL5gB5s30Q4SXq58vBZMDmdPWNkXW3lDmhL85B7NiP7
iaV3SdIfrlv0gmXoFBpALmQlyczx5JQAEFW411T0+/rQly9SZp9P04drOrVEDgCONaB2HglPivD3
3DtQg52qZzu0Rq9zGFAgoHs2ImPFGi5Hp0yn0whABGTDa4+n1hSe4Bb0AB9DyBdLb573dtZur3/Z
n5r5v7V0ptNqTIqg+RG0CHg2yBrYuRLtgn3gpJ4K5uETsuqgoi1RVG961j45vVPh6YL3Sziq/ABp
DfsuG7rxFZiqzpU9y/1ezBIba2cHsN6N39VM5u1cGOax6XpAZUrotQDgFYQnB7SaucvyOnwLpRV5
IszJYeyjeo9T52wE0HLblpli041gHOdF1B7iILb2Ssbb1ip+TJEz7qzMDh9Zm5EfwLs+V2OiwCsL
fZgdMwb1tYu6+JBAVMcjlQPVrLk2QB9k1om9ic2iOQjO2a4csnmvbML8vjOnO8YrFDQVbTZJbtQ7
FeXdUziCiK7oai484pjGlrVDe28Qxe4DlExWdmLBOvQuAAr+bSXBFHmqml919lWST06y5vWWxtbc
Bij/bAiuA5VJeYFmriaOEfBl1QD9JyBvV07sRfujtt62C6caF8DEtD5YDSSKR0X0nGUIxK4f1KXR
Na+qckNAmLwd/dwiX5nMt2aQ3JI1wcS11Smh3wDg9mz6U+58Yn38GMrpUfThil+6uPjU1h+AuQPa
2mKqa181ppemZ8odFzCo68ty8T7D4Gf38cEztQDTpHVRMz8oHpLmXQE6TeSPJP5x2/DaYw58u3NT
zE3rS94a7jTVZ1DQCHS2Aap7R9yS1MNHaO7VmcaBTTNo3QaEp1lm72K+plmwtD7nTfmwPkykkA6Y
cSgDVtFNa/d0WzkoOltOah8yjpD4+kJdfPPgE87H9sPv1Ayg42F2QCVWRvsQb5DtwFXm2g0o/udU
gbW7WuOJX/okLU5C+SU1eQr6r4zl7FcaDVBhUNBZcLqM7HmfNJvrn7RgcXqqtSwcLsO4BZsFb+9F
oA6zTd+uD71kEpoxlwwY+FrC4hLWlYfUnK2jAjHyvRMMN70LsSG6UddpgBLPhDNlk53B59ENx/FH
0ySvIP+4jZrO1vNuYxPhbOUO6gj1RB6sjPBDWNnqtg34JzFGrKnvkO/yVSWCU8PTZhuzcE3cfWF7
9dTD0A4gUBq6zncs51RxC0G9szLxBWPQtWPLrEqyoQLB60jB8CvrQ1iAkaKju4FD3t5cuW8W7EBP
MyRIJ9h9ndW+bSa/SGbER6Mcn8bAYS54sIyV1OfCUdXzCyBfDQroquMcgQjFDEXh9uY8IrHGI++6
MVyM9KhNtCcJyxgkRQKAihsVu136WAUvNGPH5FxVVdIbCmOl9rO0YJrVAdMaz0XGiM/ar8AFQYLl
YbberdBZycctfYhmchGIPkECbhFILFGwEiRGtela82CF9h2gnaWnnH7w7Dlf2f/LB1jqRJ1Ja5SZ
GJwaAObkjpvClUX4dH1LLm+61Jk6u5kPU4VuA78docTePfAxAp3a+22Da3eqVQwNCJng/MLhzuDx
xiG5K2W1cpqWpn7e/A8XUQEMMIsLy/RnOR/aEhB+eq4t27epSErn/LsfxkeDRw5HAZom3lKPTtVL
m0b7DkJG1xdnaVPPf/8wfBmxZCJl1/ptUL13Fn3uS2goXx/7sluSugZsWLRnXkUwuyo7BiLxHfTY
Bxm9oCTuGdVtZGVSJ+fEsyXKhwoR02TI1yIVpmuq5KXFQV1xSEsrpFmxxRvSAVI++XGXf2JOvlfK
+n59gZaG1gw4T+wpy88cbn2bv41Bckej7KbwXeqpBZJMQIpbuI6zxHAJtH9EvfqExdH45wVL0RH3
95FRfRQo2aBsHsflYEJxBngzPmfDoYJq2tbmqbPicBZMS08w2JI2DnpSiZ+LovC6CND8xBQAt/Zk
Dai89BOa9Qo8+O25Dyo/nbZTbEK+wWtkubm+vQv4PannFCAPgKZ1Bh7/vAbdvlFs7CY742+6L8HI
DlPCfzNDgQi335rtjLaq5A6okOcbf1yz7MZI7KaxDdw+qou8IoDgmlsFKMi6cqSlm0ycbCqKHXMI
6E5cIRxnM4I3HnXgon90rKB5uz6ThVOuc30GY+jEyQS5hKBs3YLxOwgIrfQuLQ2tXeU9U6SzEaD7
g2A9JA0VeQTT/houdml0zfLLogRDfadan8uvVv9Gp1/XF2Tp0Glmr/gEWR6FcQVILhBJH5BG8THv
7fXhL4cFUsfxhSkXTTAh7JvEVwpIfwWe/iJMdgSZVxOJpq7ZX/+hhe/QIX1Axw0qr0bio+D52OWM
u3AficvGci2PcjmCklK7us2UOlnE8hYKnML2jJqoHQr5ycZCEszLUbe5zdPoOD/b7KNQDJAwS2z2
bUR3LWH5GziSr6/T0lec1+/DHQsNdlyuHe7YJuDEC6zAeCkFKz8hs5bsHTMMV+7bpf3QLL4UmeU4
FQyNJXNNEJR3xmZGGRVI1JSsRGoLd7qO8COoQOFRgbObmZEX2tmp7T6zBvoT1Y8STfHXF2zB8HSg
n5zb5qxF2CLSBB4kIem70zprvRVLX6BZtZPmPKu7hvl8Sr8TlZyEQ480HXdhKHfo4VgJrJY2QzPy
HiwhPAoc6odBBaxcWbtlON0bxbSG7TTZ5XtYB/vlmTWOc5Mhj5pU3S8w2NUbB9nGbRCYwb6qWIPu
FC43TmgErwGUrCEAk5Hv0BCVb7gact9xHLa7acN0YKBIeRlz+BzIKdSfW2ibgaxnTRtuYSF1fkwn
Qn+V1ffMTw1qubFVv89lFCKeKQ+3Tf5sth/ME5yAGWvCAZOfwd0Qzf2XibS/r4+9cNh0EKCVyixn
RFl+R9+VElsVWhtGjrk1n7L87fpvLC2QZvZWL0iR5z31jfA5lbZHwVnUsZXFOS/ChWBPh/4RUPtM
ptXiGKNrRebpc1g434VDXmeRrKzR0vy1S9woW5ugBZ/5ZQC9N07z+JOKxtoNomFe8VpLX6HZfCRA
b5FPgoPDYHJrKAChc91r1ejF9W03iA77sx0edTwwuc9VZW4oVfS+y4JwaxnxeNtP6OC/KJysJoTM
kV+FAYw8dOUgPdHeOLoW1TuoVAE4nOd+pAg4yrIETNhJNvevVimAq7/pqOqQv7iCikvkgLCeFg9j
80rad+F8uz70wp2ho/zmGjWjyYwaUF2mhTeZtnGiXVmspFoW7FgXkYyt2ECDMbw5HPldHPa/StK8
tUn0VTXWzxItmdc/YuGc6lA/cImAMZzhQTiI4sARe7rgL4H+U8e8sOLp7rZfOV8oHxyenRoypk49
+WGZvIRj8jxN/QNr2qcpW8NcLn2IZtMIxHv0lYJlfWqfCWJQNX4i4i3uf13/gqXt0OzZ5hBuTcrK
9HHx1NtJ5lXgkjPzTsvyd0MAENWwLvl8/ccW/JPO5QqiMpChMxhFIwBHmVSuDs0YvFZ5toa9XTi7
OgAwJCyNI470VzZYh2iU0NVsVw6uc9l/68i/YrCSOkwh5mJCVRzAB9SRgoreF0Vxhyz3NwvL6DoQ
dAT3HoDW1xdsYXd0JGAxtyQQPXTQ8CkRpBfEuK+hxxcdO1u234oAhd4NejWK39d/buG9o8MD0b43
0pZPsz8nffzdosrZhUlOduaIurcnkDwD06IVIPIeG7H2Mlk4FDpOEOKthmmHtPcjvgXqYJvlR6tb
M9ClwbUb3ZjnNjVYgGdPSEy3HMbBNaLoVbXTSmZ66Qc0D2A0thM7dR+c0DJ6PxLyX2Vnu84w6pUT
sHSgNfNHW2coEwZFmHOjWhlC8ioJzW5/fb+XJq8Zv0R1t8GSOCfT+D62D3MN3sHbLkGuBe2sCeJ6
6mcDqjAPAwSWxBS7pVgJQhbmrYP1IJwHAspkCk6T81hOaK1unps6XXn7Lay4jtTroGWFHFJsnBKi
XvIcPMwAba61qdHLwFUKicm/rww89YsARZPkHOD3BVpv+vK3iHPnORUhSb25tpPMlUneHkB0ybyu
TL6wPpl/NAjVQVnGLEi4gzsz6ER7rBFgnMIEJKBJPJXfGyenKNfOCfXBsjODn7tFz3vQGEPg5Rko
92ehHOImUdc85E2VblDcot/P14sXtMngZ1XQeFPadZ+4MQfIFBTC8fJudL51haqU6/DEgQK3gV7o
3g4AbBvjDiR2Tam+Vs5o1W4h2/G1AQ/LfZM2eePFTQvK8tGJjF/CSK1mU0FD+lMdGOgjKKnVxFtH
8BZQHgExwt5OrR9JkgQEHjQSb2i8nr2hAQGrNRLp471XfeGh0X0bEiETt0+BimYx0HV1GR3Bicrc
KAnoCeTo9WYWBIKUbdO9gm3td8bD8j6K4LdsE8QFT1mcFsGGOKH6L4L8qJslpHLbPOf4qdQeDswe
2ycRh/WOBqp4DqZxxr/b/xoxNhB0HCBn3TntCdhm+JWkJ4+2Dbu0TdP6wS1h7Qt4hYdYCGtHY/Tc
hEBIbiIrpccWIpqeYqPyejFWnpyo3M0AlH8CwXD/m6BZN7rPanjWogfdq5sXYFzLA6Jc3hfdN8Oh
xZfaAIo5MTkqGB0bvZILiCGRKN+MQ8w8O6jiezrRCGKl47AxoJg2bNMgAvmcrbqeHyIVqdwzIANT
bxLagEAqnfrnEg0w7wOPybjljSWznUkNJ/e6IsgAoGbzce6JqDaTWYovVezMDSiDaHKY+4htM3RN
ebYds84rrdQCk3Bo2puRl8PXYkiRNwktWW7Rp9JnXtYwcy8am93HIrGf6zGWJkQ1QTLeoW54qHsn
r928FxmIaQUIJLcNN5RLrKycj6wfMr6VphX5VWWNO5kkHoQy+QHcdI07ww3gmUD6z5kxs2EjI1rs
MqsMnpxuGo9AqXURIv0aXSAiq7dVahe7IC37s3yoXRKvVi3kn9JM/Eau33h3ojB8K5MUhhMVJWu3
aPtWRxZwti9jSzz2ZZlUIKMvyvsETL1yG9XJ/BUkOMSVcz28oabLU7Rrxbz2hrou2m3JgAZpB8Pa
4c0xoAXIMo5FQ7K3IB3tz3bvQBfC7DkEnIADt6tyegpLoznUSiTIAHS930lZbHNF4re8RHnShhrt
16BrjENXFMbWTvJXJC/M46ScpnGhAt9/q8IR0yFOsZkUJy52m5zInCePMZBP2d50pCVWfOaSQ9au
WXEmV4QrqHwH3QrYixT8Iw7xwjnb3nRT6dBaYXMVi7ht/VDK99Duz9yKk+Xyaq3K86ft6MLzXEfW
Uh7ObYIazWn+RGo3ehzepu9Ql63u48/jk/GNfrW/Dq/tU3sfPPDn6x+1ENrrWNqoEiWPYhvc6NWc
uygxBOhPSmcjcWsB1GgRzWts05f3R+jsZWkVN5MVss4vY3PcBBJdPTnNfhbGWiJ+IVBl50/88BAK
2JRCRYlCuM6Z3Fa0EEMWmzB6Vh10kdW8u75glz9D6pTZGUkVNKCG1s/B8b/ri6B5TcZ+NN3MWFOs
vfwT7E+K8MOHtGjdR9dYXfqiZvfoAfwBqYIDCYMbSWD11iQ0DIHEMC8rPwjlXdE0uyJPIMRbkJUQ
/nL0wnQcaCrKgFlGiBepzR8ji39B7HJTqMv+6Usy66zPLDv3z3AtydAiRmu3F4/X93Zh4npDUt/z
vuQ5hdyMMR0jyfaODG+qGjAdA5hbOUfTVjz7Yfe5Fb/RFgjg9Lvo1liwlqauh3QmRPhAtiFPEeqs
96WAAHjRjdFKkH7ZtCDI8bdpTY41CzBx5z5VCaKHnPmd5TwMSXnfRGQTVorc5MSZ3vvUtnaAjk/s
rwnsxFiYbo+WzA5RxfUNPs/3XwfL9Kan0aFA3GTZ7CsSbYwmOgadCV1thQzrGqJwwXj1jqeKO41I
u7H3rZgMx0l2iPXmDnGHI6vv17/i8hOZ6S1PCN1Ny7KiCd3i1a6IVbIBO893BF+ItufsGS/0XdeP
N7UeMB1hlYcp8tGpWfhGWrhBdyRrbatLe6G9zqYygBgxN5Vv5vRHNCJB2Zoz2OEqegfOwDUg1GW7
oHqbU4Mu+mLoHX4iQ/Za29PnqphWvMWfa/nf00T1Pqe5K60pAP2V3zgme8lL7hxE7kQIJx0DQinI
AUGpPay60RM9euk9ZxDtc61UuA+riewHTsAWaUAEON53ztD/bCCpC/1CJ4tBCJRT4iFEjHedJcw7
WjZg3DKN4QnyDOab2RtQD3Bq53cUhODElzSmbpVXyPzMVlw+kBbxA2ms8b8YxWPIX8T16/Wzd/l4
U10XObVixKpZCr78WZ1oWIwbuw5eqtL+fNv4mqdxWtqPdRKXfkOV1wzWdzKpfaqam8IdqvdfRS3e
JaqGgDcPsmOkwkOoyl1Emp2a4xWDuWydVJdFtsOQtl0wKl84U3TgM3thlO2jADIkRmu/UCc5xG25
Bsm/bEVU78qKSOeUkFwr/bTKPGQz3Sj7VYm3sls55Ev7reV+hoBPRRygYsTMHm9nm2VfQpZZp76y
6MqCXb5cqI74yhwaQqZ3xJ2iZm8iEJnqvxTj50iAvWatoLO0TJqzQa10Bh8yendGYT9AKj5ERGgd
5rq6CyFktXK7/CGKuOAQ9DatMJ1SNE3ltV9k3riLH+iJe42XbYjhGh53a0hiboz7fkt2gXt6CTfB
Q/5FbNd+fsHV6Z1cPJrQ65AV1B/7Kn8rh4jtuio015D4C0uo929JBx3P5945Py1/KgsCUOzTGGQb
vsawujR9zfJNEznFlkKcMapsz7HlnZxuwiCDgOR8uD8E1MMY0wRZceoTs35B7vhJ5GuovKVVOX/N
h6GTKjazOcPQVHTH3EQrlgXZGzcPSoLU/LDWl7pgI3rXlaomy1T2CM2JEEzDdpuOIFTj4ZcxIcJT
NE5DF1xya5KCSx+lGX1Kg65OcxTpBdj5ZPWpqb4xu3dVupKYXRpfy/nyMCmQj4AWcWTs5hn3ZfoV
TdwebVec1h8WpUuGqJm7orVZIMPHfeIBK/k2gHjWzT+37uN8qrepVx/oO4S6+AvZ5RvjaLx3X8ov
+X/keUxcuZFHRGsrLmHBferdW3ZfpnMYRiiR1s6eoztx4zTFS2BV9fb6fblgNXrX1tx0aByZBPMr
05kfmlAl0P8x10DFS6Ofj+OH051N3Cm7LsQ6muzYV9n3UrYr+fOloTVzt4NGmQW62/x6UAkSUn3x
AmklyGJcX5elhddMHkcYaC9uMT8fjb1NkKyxxrhyg3ZNlXxp/ue/f1gaxA4ASUrsrBjDY12Pd2ng
7G+bO/t76NwyKrufO7SZmOW+Le5nO/Ag2bFyJJcmrhk3YIDG4IBWFV0B3c+aCGTTg91tE9fsumKD
ZfW0tPypk27WfMlBexpOa8oAS1uqGXUM2c2R5w31RazuWyG3HenkNo2beWXdF1ZGb8ESdRTFNJbM
H1l0rCqFgC131pZ9wYPrTVUguqQWIab0RwkUbTZGwLoFDzTNIxd42dqTo1wBZC59hma0KE3YQx/U
lm9VMvfidmg2YcZXgrWFTdBZ150R8Auob/V+Sl+tCewJFdReptve56DS+fvkA0tKQ044MFv98MMm
81cR8a9J4DwEZnabCDSoo/7+jdCRtWOWA6yL2fMTmnaj7dCkyJSLWXh1yqvtdWO4/A4wpfYtSWBC
PYGhDSCi1Q8J+eXTPE0FuPV5XWxQZSCfSSua3kWNMvh5/Scv36tgRtQ+jZ0RE2lin2reb8G37mxs
a0o2oLK+MxJ+Y6si1bvIsjonQYQuLN+owZeEBsx014QQ3WuqSO7Az8dRQKlUf5pGpYAxr4Yd+FKb
g6Fkd1Akpe92jHfu9U9eOuyaNxNjOueF7TC/KSYHhUezM9/ReCbj2+4RHVde1lERVOdrSkKLm7Hv
PLGO7bwGWFhyCppLmzM51Y5M+v85O5PmSHUsCv8iRYAAgbZADs70bFfZVRuihlcgBoEEiOHX98m3
quaZJMKrjnbUIzOFhqt7z/3OGfj0A5++ZqALIfzd58EfP/91fYQ+nhR0KTQzCZHMbS8hiPJDr4Ea
pTqiCTaE4GFjjFbewRI2XxofLoo8885CpjxKc0AhWSM3EqcfE7ooXarMxkz5U9phT4CupouA4Mme
s07qR20Mue8EDCZCELvm25lb8kY4Uu/h4tQcZkOa14EOjg67tEiitJzVRgva2u9dhC5+ga5obCDu
OTXlnRnIczDPn3z0YtOYXA95+UJT1MH99E4qkyHBl4nPnQxLQRpJ8iZvYf1wLjMzHXtUEYE0qr2N
iO7yHT8Iuv/j4+2Wvts3mMxD92MmD6qRKM6/X5/Ea89eLHMqpsQtPWFgjK33cspCO+E7mb5df/ra
ElnELaWUyAuVWCK6U2Fm3eYDaFJuGZLyc32wOOn/f2cefdZVIwqyaOAKbobKFeGYu9/s2t7Kc358
2tCl6KzK6tzLOo5wNFAmtKr2G3EBsMtyHKWkDQsg9PGRW00pK69jqUPDfZqCgopPy7kHcm3q7XTm
ZyEn6UadZ+WNLEVnPvxPc7/BeA1DAbfZod5Rp2lDoJOf+AjXo+vvfe1nLBZyUpR53QHtcXYvwV6d
B0+uNLfO9DlhFl3Kyhpq2qF18CsQC4Si7EIGfV42belvV/ahJX9+VCNJh6qTZ9mCxDR1r7JztupJ
K91udBlLdAOacrwGm9zomd2kANj28+Qry0gWBoELXzq46BawTq8D9WOY8ntLjN/LPPlksL9kx9sl
4nDYAWNJIqnybpmsOBHXDXa2dLdMu9fm2GLVgxqt4CuP28rI2YtfXo7EtjkKKPAjlOe+Xp9ia+9o
sfBlDyC9M+NsDAZx1GWHwpl4vP7ole+/VKDZwk+rWaMTWqZuKIf7MfAjy/mToE38+ges7ClLFZr0
Jy+XQ+qdQVl8kXMeKYcdDPpm62J4Mi4M5pvPtWzRpSLNmiWdEtjMnwsb2xeS8SjPoaoInukW3Hfl
RSzVAWMf2BXPDTszxOCV/wWOONdHae01XDaXvxIBOk3kANWRBU/P0odBkJSvKYzZIwAi831QVFuW
pyub1dKp2PY7h8OcgUFWbIcODAPxP7OzEWWtverFzWFqPQvQqYHBFxbBm7lNeBlOM4RtiQrt+sVS
VXx9tD5m5FG61LhkeVsmIkUpuR9z/5C0TnBKnKJ+HQbLOjpl5mU7q0oA55t8r4+EassyDgqVbaWx
V74AVGr//74Yg41D4GlUyg0gPJE1HeoBxs/hBE0aixwC6szG8fLxlINM9v8/qUXRXORMDehDnB5N
Oj0Wjb+RQf340XQp22EtSmMeN91Zt/THOJY/dL3FoVibz4sdq3IHr7JsTIXayg+TvrfSZ189u/nn
yCl0Sb4nphxNMuD5PqSmMJmBw/FG8LyyQpbY+546gSWKkp5tKaoIsI5yP9Yejequ2gIVrawTusit
IKsMOO+UoFseUGDHeUxo/WrZj7p1DkRDvPfJyGQJwrdVbUuDFvQziBRRaaehNL8BD99dX4T/jsgH
ofoSoj6qZkS4i1OpiZ0XemJRdWq/+D/5ublpd97jFLk7iOBfxFPwzXrhd/apv82P5VP5XX5ndLfl
FL0yiZe89UqmfQXqcHP2LPla+d1dP22Z6K09erGfwRk68bW2UPGh7ZOj+q+BsjdOxX/f9UeDt9hA
ANy2ZKcuxBn4/0Ct6zdRkqXdiynyCaxBa/QiPwc6XtbD/CD9Ptnl7eC8Z5TpB3iLtSHIwmks5sY9
gcGCNKYIqu9kRmKTAxk6hoWbdOHEOudH1plhD/8D66Gq0i4ynSoPBKTByBvSILZF2X/qAmQvlfK2
5A21LlSMqfpNWL+feRm35Cfseza2wo83FWA9/38rLLUd1MYEcFau77qc77Q33pTTXU/er8/oj59P
l2T6YbSUMWiVPc86piTEVRS+0N+y0Wy89LX5tNgUmw79aGxAGdzO3Acbjl62qV6uf/WVRy8BdwNU
IQYJMZRtZ8ffSTUFBzrLLbniysD8h3CX9cOQSabPXWF91Yl/zKYMjVX5+NRU3kaz3uUl/mdBAHy6
WGx15WcT1sN4snpnP3qzCBM+vtHR8kJoB36UHgnLap52zMzuZ+YTPnKxBgVMKxw1UohJSWJCpHkE
dPU4xOtSetEEg47r7+ZfZMBHP21xhAuSQZ4guuxc5UaixuZyLO5iprdsSNO9Nw8sBkkLIp3eDYrQ
HYt0V6ct3U8ORUtq0IxfpjJjYNlyEis+D4+DIezNdmtSR1B9Z9+dJOgf53a0HDivJvQHYOLiZcok
cB6pR5p4EoUDYHrQxU2W2bFGruJR1p29K2qujuDDt3YoVJe+qSwxJ9457b7NewRugWTQanE7LmZV
wwigJ7ivNe7XgrHit3FquQvYACKqC5k0iduUVvcl5HePYLK1sZPkw6608+FoajXv88Jt4jLXIuTM
5vtqLmlc+sTc5SZz4QBUQoY2jt9a2FlGbkn5ne8H4ylAC8UhByIEnuJIeVfwHokrux4feqWBm8rg
QDKVuFWAnmJeCDMitOahjPFifw0Qu+57js3w+nv8MDIAjnKx/dR1ORcskOMpLQ2al25520c83/LK
+3CN4emXYOGvGwCSkSO3g1ydKVqq71WGkDYnxX60G3EOMmQUrv+IDzcKfMwi9hBOMZYN2kjONv/F
M+SIt0Lite9/+ftf37+sc4Muc1BLxj7fezXW0xiA+zEdiuFzPqrOsuO2VUnQNQOVZytDr0vbnTJd
hVBRx9eHZuX9BovtuQwwfyEhwg7EvXcupifjOW8m1Vvh2MoILcv4Cm6qhVWjZseAZcjSPHJa9Bjo
Ak3b9kZMtrKJLgv5Qd07UPL5KH2BSi3IMN1xx/3jFsFXNcm7WmsKXBJafJAZoRsfuTKhljyW1mEk
S2gpzmiDup+DAh3DW7CktUcvptQ4FgmK+91wZmwIuffUA4R8/VWvPfkyBf6arJOXFLDcqMQZB+cT
G9EiBCeLT93YbGfZo5CR3B4b3K3O3nQG2TieqmZjrC9f74ODZEla6ayMEuLT7IwL4VMhxNHT6S1p
66fro7L2+MV5aFlukSmFCerJ6fvglHGvLrLQ2t2q8Xx48cHILA7CjiB8lYSbc8BghGKqExuCPpwI
vxVBthtFYu/Hjm+9h7Wfs1jP1tRRsEbdDDOzeYOABsc8PaqMHq+P1socWhb6KbFaKzU6O5PB7vdV
r+H/2qh2I5eyslksK/3EhqNfWqFHzKu+uYJE6EsJq5nHWfH1+tdfGZ0lQ0U08MLVGZZArX8hHt0R
684bh931hzv/Bp4fTNVliT8r6s5TrZucLJdUiABanhwLr9fwXsuYRprRUX/KgfTWzTDjNhxSkXqn
ZFRax6K3yJMzTOO7V1uVf9OlbvPST514n/pg+D7UrnUOujL9It2cvecqrWJgBU0WUeVIuDnDT/gA
yCC9RSPU+Chhofo4Kt6cMsthXxscgPu2cIAsh837voXdS2RMy36mdht8C1K04PVS8DICicl/Rh+0
862pUN8Kc+oVInSrur4fsy6PqZ1Dg6urOuYZFGiuR4uzsEX+rfQo29lppnfMGZGuz6fW3LpZWh4T
iDXgMZJMx8HGYYmWWZXd5mhbfrbaLj/13G8OUzvQHUe74J8C5Gecok1j/conqh6yoCRpqHOvO0D9
0R4mVskbPVvtDqBX/+c48+ShbAJv33g94IoZurDOxu7kS10N+uxAyklDX1R1HgKPWz35AVHoHEzS
L2XXV0DQpZ5+mBPh7JilvD8Vr2GRNEj3aRw5fj6TGQ990PZjpotub3tFfZpMnUaOEuYXXGrbF9v0
aAjMkBb77k7U2al2YNNt2duBvLUSpR+DRtx7bqJhelTbUTCy+paWLgNw1ddw53PzuOqUs/cZqe7w
NxkPvHAjJpTYBZ1NojxNy0gp2kUBvKpuYXILtNjc+DJivvajUbfzrujt9qvDLO9Ll/cXcW42xdKg
91DoHnU5J7EETExmB954sEbVno03maVBCI9odjMRxwt9b0hCKBOSUyLy+bZWTfIKFmlybBo1nwIs
xiPQBROgsEwcWmacOMgbVKxNY//UTqHf0gmTSHPCX2Y18b1XzOMDoJr0Jyw0g198FsNXv8b0IKkl
fhE/taIJBihThItAEDUznX5bnEcJabuIU0/OOyVcfmtc/IuxAzF2LsNi4C/VJMNhDr6jB05EhUnl
ThdwmdQMmp1SPUMDI/dN7dS7lqEFF7/W2Tu9aHd+lds/OggqdllVmi+Dr4I7YyEzEJRSH5Hi9k/o
v8x3qjL+zhcKpTmvHo6Z3+vQzfsKTZm1KQ5lMZd3QZI6+yQjwz5N0uY15/jOokS+P5qdFs2oBOaG
E+yx7gXpQVwHr+RB2g0I/6xxHpwgMTtw/YewYgC0742yrNitiP8bdA0WZViVClV5YkLlTsOJNtP8
NTV4TRYaxx890GmOthHJOYcPXkTcxL+fbd9/due6PbRObR01K5B5NgIW72JoeZzYvD96gvf7aXas
SGqMYGM1JYhopoyZj35TN7HYvmgqWLaioxtyuaYVJbqCgRSZKyqcE1ro0TvbOCmNeUGL2Gvxn2YA
RAK5j0l9aciOJPKHe0s49AAUv4wZTLsPpXDMD+HndREDPFt+b8GjOLNC1s9ZULUHZdXZG5t48xPL
uo64TlXE3dZ2wyn1FTwQioawvZZA7GZTASmfRdz6oVSlsOEjNoL8A+7mfM4bjE0E6ok1R8xGr1VU
qUI+GVj2ljvmFW0ZcsrsGFax49fSM9Wd4RbmvHas6RlsSHbIc0leZuqCqzVRy/LgKgt4auh5bvut
zHTynYzleEqadFZR4aj5YdBZMIawTOWPWBqQdLtu3mGnccv8psEd4OgBoTWEYzPp4ZTIFoYKgWe8
+2HA/lSLefaPpV+J/qGx5j5EJ2Rh71oixY+s7NJIAR2AWH8mxg47bZo61nlTSVyLbLR29FB1PE3S
wBtYjsBqYc6ILYTI2vl4+ftfIaLTw5auVfV4MrbzkKQCcYoU30ZWbhHtLjeuj07IS1zx1wdUQZOI
FsWY89zrW67bqOBojU+qFxuRF9btltJqLU5ZJFaIX/Zt5yKxMhrx5Hb+Pi30pwQDtsMWESNyD5bK
Azik5EwEe5U7t9AJCHT9sgzpm/aGzN6DmwwbRbKVV7JUntgdcjU10s5nVbzA+31HyUPp2Ru3+5WA
ayk8gVG6A2Onpj5bhar/BAjvTp1L1YtbdwAY9GRLa7b2IxZDlub9ZNlViQt4CrvpoPrWF9/7yrxe
D7zWnr6IsBnqk2mazvJcUW+nhnbY21r74UyzbGOcPpZSIYOwCKs735gGrQP1WaAEc8qorpCvzpqv
A4eiTWD/uQXrApAn5GREqm5BO0+PzWy6XVUM6UMxF+Je9mLrjrjy2paSFbwmMAUgYEDDB9RCADS0
wIaAtd19Adjo8fqg0n8zDB+s1aVUhWhARkxt67PGAfgy9YN/N3Qq0VE3IFk3V2aAXEYhoZaVPRp0
4F/Lv6kxoS9OAXw3wA+m/9GxGuT6gk3yXkvc4VIAF5/dDLeu2C4m5wdQ+kGFhQ/Pn1A32q3Q6uPX
UdDkc1R5IM/IhOLC6rjBl5JNfRK5XHo3qeW2b03rTl0cUGR2YJJeNUk4Dp2FYMLj7Q45md4LKyeR
jz2xxyfP5iLKlCNISFEUivN2HN8brgJrR3QVvDnjMO0aw5Kd5YwECj9NfpSzF3y3Z7h2o3RQ6q+B
E9RThGry9NLUXhdPYz4jrWgpACVz/wiKvntnTCnPhUybhx5U+ggIDwC+Ke3zMc77zuM7OGeBDaAp
x1evLdLHWa/JW2ZduAGNJN2h9eoyEm5a1DFAplkRgr2bPFnESzDkrPtiV5P9Cpn7EFoUIAAa5I+d
37hHin62qKwD+tupCE/3SgqoR4ndvIyuNT00uaWPFZWInMR8GmacglUZQA3W9d0JCVJ+I70SuQwh
dAhfGju0usbs0bI4wrZn9mk893n1qF0vj+sAppoJEeRQJRSalsIjd52nVaytof5WmDnbz5NAxcap
sn3v23JftOQHCtHoF2RO4oWZGQtQEmYlwww91xGH2THoWzxFAX2UziO4T/KM1uXmvbAB1IkkBBuP
NqTGIlZ6DB56TSExazKS3k/ZQP0IYjAMHIK4M/Ju6h6qKg0T5VHetpmSQBi42KAj09blBdU62F9m
UtEbL0mxvxUTOtV/16L1Ti0tAIhGEhXZ8Nzv3UhxmbxPA8DhART0kRu4KiKTVcak4TZuKTy17q3R
5fj8YTqWuCK8gtQ9HIuMXooobnvSvLbPdJ5ABqmK9pyJunyxJpbv9WDBNkKVbkR43R4zBz2IWeLm
D/4wphEbjT7hWteDv6ua2PMa/851KT00NemiSRD3Ad14idxP+NfnjqZzRIlH74bGQRwjR/fIBktH
hhf5O6zs4f4TJM2uG2UWOn3qPEm832qg9EENmKZhN7VgnpVWw84pzv/bbEyKnWba/VU1xr2rrN7a
pTNyaUWr2TekKPPjpIHT5QkioDAAcfCethm555MZ5N5PKvEzz+CbWCD2/Er84Q9wMsWhURz3Gm38
iALxtpdo9LwTXT9+nQJePtSQgQ9ROsz1C/gHHF5dfYsLyoC0/dFLAnMvSjBpw8apA2/XBkFzrAO7
25eT08XWpLATl2Xypc8Tc8idkg7wDSM2NhJuN79trgoBFwi3ODIo750Y1VLnFVhrlFlyWmoVujyv
XxF5znrXMQO63WB35ra05uk95Rb+P3ddO7JBC7snMJrIw5JZjYhqClkoXMsG4LEQa0tsjWmJ8oXl
j/bP69vwyla/lPcEgPKYKYc7F7l8TVRsgLEJy6GM6nojwFj7hMvf/wrJxIz5mNjEnNTcebhkKiui
lTmBafMlgHXNxgm6EpAtZYmo4uhWKwR+ZTU8ex04fHX3fH2IPm4etZ0l+C4rDfe6Hul99gQo5bEN
WbRvw5s8Tr4Bx6Ni52k++SdykLuX7HT08rB4Gzfoxms/axEwSwUOdG2YPLOujLT1pdrsFVgJapYS
xSnXbTVnKLxMnfWSdckTcE13ZcX+XB+0lazkUqSIdY0GmmRqzpSUBwbKQmLbz3nT7XTphJUevnFr
q4K9Nkb0/ycYjiCOEBZj1Gk01EwaXBxSusH++g9ZuVEspUJTQi2fg7J1lll5sm0HZDDnqaPTYa5/
qmrL62FtuBbxXwlEhC2LeoCrsHvTuJUMkWd703R6UPnwXDjyMS3beqNkvvLqlyX/Apc9HO1zdr6o
t751gtG3VNdlrFocrddHbeX3/EegOAAHaaE8csbe9Rxw664j/E3S7lDp4uQ46oWlzeH6R132kQ/C
yCX2J0NLdSPScjpx3MAmcJmBcdiN/S+hk42k9NonXCbeXzuYDbmY5Q7JeIJJ/GlMK6BDyyN8H57R
+hRf/xErs2xJsLKtkgNh5kETXlRRSsuYDqcMFe3ZaUKZf73+Ifbai1+slNyuiKMqYZ31u/Ou7ufX
4jTkqFeH/fv4o3048W8IkK3PaQ+WQjjN0c6gbas9t3AdggJd1xLyD2MH+6lI5ckuUnjJ5TC5BmHv
As1gZBMSvbIjOIvV1OSA19mz8hFByJNgztErtnp2VoZwqZGzU4e6GYQhJ5G9O/yyTN8Qf20cYmsP
v6ymvyYaEtLOoPqZnaicXsUk/5l6aJ9TlXzuNFlq5NCXk2hqCh+ea353sAOHHQfl1BtV8JU5vFTG
DY5MDclgg1v4rDlAY1sAMUWQlKrnBi19jvinEv5WomelKLvUyUkERj0qguzEqiSsza+pbnFNmkLo
kyNHtOFIVGTKTx4xSz1cysYsQF9RdoawXofIVGffqD/7P66vy5X9hS6SSTWvQLjO3fGUub8ne4bI
GgBMaIh5PW7s+CsLYmlhWohg4A14O+c+KP5ULprlRrNR31x7EYvkSDCNyFVaCuVTlUfuTM/Ihz/1
fEbxpniFoiX2TRIOQfnP58ZqsbQ7P1C4eVnjCV5mKJ0oIFBhnl5fsvf2/vpHrAzWf2Rfk8UANK+n
E7MYInwhYhSbtjSKazW8pexrCiqnB2xPno3r9rtknuCEZDQALtno3s9p28Zc8Xrf2JR9lXZhAZaI
W4oTei3J7qWPilcljVfi/pTqt25M3JsERkLnNm/z994b5G9SBlsWHmsjsZiYjMBj0m/t8owOPgHB
0bgjJe82hnllu1iy7izkOTNDiTzzdDymqGTUFQnR6B2NtX1TN+XGx6xEIkvkHUy0klxOVn+uMnvP
PHlAajUa+/Q+yPKTa5mvlie2SvFr47WYnJ4sOgtZnfzceu/KOU/yU1xA21ni7xqjnWDyL0lak9/I
Wn0ZKT+aIPv9qRm/RODNls3GfBSoFQsXErjglVrtn+uP/ljUj69+ef1/nWmB57cBLCGCE73UrVJY
WUeph/kriWiPyO2IY5OQPgSLVp5dOSW7phi9zwVu9uKzLaeCkeaIB1fDpZoBhkAI6/rH3AYpv8rn
jUBnbYax//+F2q6NFl7VnGvkHuRYTyE1NxWwqyWsvWVQncS4oV9YiQ/+jev+GktUNhJbzLiIzgb2
Jvmzgu1omb1cf1NrD79M6r8eHvTOXDl5gPVYFH2UKAbTTlc/T/MWceUyHv8J1Km/jMo0QSqznZPg
NATmRIL8NcvH71OenPKs3lKffvgjqL8Mz7rGdqA/pcFJ5Dd5/S7Lf2YiNw7RtWcvojNrSgM4usF6
xJj5hjJoa1iy18GW5n5leJbB2aiUzHxmJkhf0p+NBQOBpoP2VCX5e2v8m+svec3MaBmkOc4sOs9v
QAC14e+VjPXer/UXu67fnB6Z5XJ8YPnw6jiTDonlDaGU2SOu7V0o0i3Hpg83fryjy/j+NdF4NrbK
0W55hqOcOGSk6GP0Z8mHzmtInHHfPthdUG6E1B9uyfiwxazuUWuftAQhPyeBuQOCb44uP+71+nCu
PX1xQFYsk7LvHfCX7W+mfZHqn889d3FR6+e0glKhTFAtY/QeSSDcaDny7defvjaRFyGb4UmuyKT7
c8C7dg4T2CuEbU+Su9mtpo3dZG1kFkchYaiNBG46nuEQX990pjEHMjP9+/ovWHn6MkQjia4Vhebh
zHqve+St6W/MmHaffPpioXcENBAqaXJyDbwcRWXuYUOexde/+srgL8+koASEPeB+AfxRkMWzTNjN
nFpDPAMIstGCtvYRiwOpFEOCokKTnFCgjLjw40BMcbrVrrmyfJeHkOcqJq2eFeiKoDx0JDjzVZah
HNrInylqopGzaYq19kMur/+vnWJABQ+kxhEnRHCYOcOONO8qbjb2wrWnLxbvWLpOiaJxcYZHZDRM
hwZRtvSbz8Qe1P9PeFsEuEfYeX8e8+/g5YS0+NlTXFf4xr1rbQksFvHcjDaqOHxAxbhQscdZ+SUh
vtzaN1dOo3/Dub+G3pk6351qmGjkSkZ5B06BeqBjErpbi2xl9JchraKCo8bRJ6dqyL9RyW+gNnuF
ou+f68tsZXiWIW2DsUlbwpOTo4f0tlcWTJEU/0wcRv1lTIuKKXDFFugEKGacoKz7IUr3JKt2S12y
MvhLqPPACOB0I+xRBH+D7hyH5U2RAReRHq4PzsoSXrKcWZb6fpFm/NSUZY2egvzehiiKd6jMQBZI
avJ6/XPWXsLl739Noh76IYFAENR8CLAi8Ezok9VRsbHC1mbQYv0qgnyTlEMPVmERlwbtI80/rHq/
/tXXXsHiBIZBTUH9vHXPxKGoVf8eObQC2XsBW+TrH3A5TD6Ihpf05i71WM4J9jaYdAhAG1r+DO2j
iYx0EgIHkLR7hAtL20G8N29dI9fex+JQNrXvNoWCwER504G7zaPVJJ/ajuBhvHjVAa1lBj/ck3LZ
DDpsAMBy/6mMDGVLnHOdFXnXJIjqSRHcTX3zTvstRsDHQ8KW1GTVo6FrBqb3XCtObzURPNJpnWyk
RD+eoowvT+IGvfMQ0gTobmovgpWoQ4l8MFv2Tx+vY7ZkJsPNQxVd1uFu3dS/GvbPWN0JGyY0dgWT
Zv9z9sNsiU0mDJ4oRY9PUdrGMZy/yGY4zIptbKYfrzS25CTntLdGi18WAnmhqUB/BLyEYBlpthRu
ax+wWMoQ/EtbWV5yEvongY/1vnHJOR/IPQqgW4aCay96cRqnKm2zwcOLtky1G2br2FpvzVBF1/eK
tacv1i2Ma0ZXpwRPR8Omq3eB4iHTGw9fWQFLNHJlt3CVMVhc8KJU4VS2P43T/XP9i3+YHKZsCT5O
oDgpAXkPTnDMAa6CsyhQMFuE78eNcZDq8ZPbxJFViN7aDTzRylAtWcgDnG8sP5CA46R9HEyI31vP
idFhuFFC+TdO/+++zYLFkvaHppjRxjme85rMBz0HuN0Iob7IfLbjoWsLKG5ku+9ahB0enHS+4LoL
Q3ieVYeS2jzW3sDs0J1a+wghybDrSyAmkbRItoKHtfd5GZm/Dl0agBpq4yKMjrj6t8+sqgiT3A5+
X3+ja+N7+dS/nl6qtkC+ueanDLp6e/wuzDuZN87ctWcvDnQxJg6voW05T8Sm4Sj5TwYsR40x/Nx3
X2wEpXGg+bpgTXxWQJT0tWhei25j3q1sxcFiAzBmrIp6QrxJIbiGreR+7M9oIw7bqdmpLR+dtVe7
2Afgxj7kIk0Q1PL+S2FZZ6suNlQ6K99/2UcJgJ+uUmjNTqQlb4ZPfyitfCuctN3f2j30WkW2CblY
2ZCXDZWwGrObcmhA6cuzR9rJo07ZmfjVQ+5vUQHWPuLyM/+apjb2gTHNLZyMfTKHrciSsOSVF9qw
lE2EF1+fUCvvY2lnDxs0D73S+CE2c/flWB3g37NxKq49erGKtT37mYMUwUn3DQtHPYudtNuf17/3
ykJbtjzywPZbbnBaKZPGSBCc/Io9j/PnkP7MX6wz4qSJthmMQpOpfCQZiRKN65GC+cXWJ6zN1sVq
qy3qaOlM9jkJxDlPeifOBzeeNcSGlSObeERxbeN4tIN/u/c+2PL9xbKTyLY7zdzMkABpuqMi8V4d
JLNvhkQ1B1qX+k+LjuZ3rJ/sSz+1waFyBKhIAToX9xLmd28SrjC7EkaBMgwsTb6PshAHPo7Zs2pz
56uBzxecmofuCJhi9tiyIL1lSdVHvi6Ds0Zd/U65LrtxwPmPrRo08aLypkc6anHA8SpjyzI2tK28
Tvd1N1W7oLTtf1TBqx2lE9wJC13HKW/6bz1MxabIQFv7Q1R98UqZqbvQ4Hp2nnKWgMTt9I8JycQv
aQm/2+Ofu3Hmosmk0+AJ+OjW+TMALPhVdcTZSyn0G0dC5hH+nVDHqM67Ac5wfiK2P/Cos8b5ZjCC
CHBVUuvGKpPhocjnGq0GbfKbkzbd8yJL46bLsnf4mbU/NfGtW8ECAzllMeTFHo7xBghylCDHkkF7
1YAky4g1PpWGJG9zDR0kwV0fLoadePbRtdWEeZoBMeR4wDcr0SOiEXya0JJUOGj1YvCxJG1z34xZ
tcP1lM4hVvDUn/DD5wTdYrZVxznI1bvMHYawSyQ5N95kvVReLTDEQeLd+m1nn4wPDlfhe8Fr79a5
s/ObOgWdTqCtSIjA32OFlXJv5Y3/VLt0cnYwrULbkkvb4N5OWhpEMDYsQvSxmS/MqueXgSkS+11i
Yzqkag+per/PVXtpN5vzE1G1ualRqTyNQpgd+vXlDm2TF5F4p+MgozCcNJ050mZWJ0vW+oYGPd1V
Y+c9JYHq3vuAosTaWBU9QiOlwxnej0fEIyzsaqeVISYsfxqtdnxGczvUxZSSN3B7k4McA7oPfCph
JiXdwzSit5NUJgjFNI+/veB/nJ3JbuS4uoSfSIAoihq2GjPT6fTssmsj1NDWQFIjKVF8+ht5Vw3j
uAro3UHhdDoHifqHiC+a+SwR//kKVIq4dWc5ZXiMTHdGhftbNax9us7YHpCNrkVDEWkPMSMFjhLX
9DD1Ub5GbEhHNcl/Qswt76EHZxkeN/oMs1YPgEVbZcgdvRKdKrQFg7/eIdtYFx4fWsRDrcMTCUDV
CxHbg9QATPdv62WIvtWGDAWbeXsPyPwMo6BHsmihcJFxA73m7ogUzoA4V5SoV3/dB8iFN+js3Ujk
tW7xpbt6zcMGr4KcFeiG8UvcWpeSc7CQrdB+HOGn24PCbwKRUxfK3G5k1WXC/ilpfCJg/oInOpZ8
/O7PV6GxGPtz2/Y+bsZFntnsRw92q9pbMlYmXfwmfHN3sqUucdyHzZNzJqSLuFZYBuiDGYV3CIaQ
HFyDK5OT1V7kioGEqYPmp0XEZhkLvyqdyIO+kvrqldD9fUTq5pGBQlgu++IejNr9xHOtuXUiZGYm
FA7SArF84hBWxn+LlLb54M4dSQZnhq5JQY4wooBOu33CgjzeWZC5nH+4gSdvxDLHvz1wOuBwhX0U
7JUa8JE2Xl+x83ytLKyyoQ8KC1P8wPbBRX6rs7HXrt7q35bXQ9r2wuwnEQTLSWuGCJarmNqZuX2K
EAM+pnG8VcUmqbj3/G585JqDfuSthduEw+M0aHlSNqTfNh64bSpWTSHXFwPslTG9hAwOTEEniMrJ
XL9DbejCbzaGOO26NYTjLBoz1xKgb6aYZvUwvG+SO8fF7ewrLBPyuR7WAdR30bwj/nSlKTYLzY/Y
eNY/LN3KLzWYnGW/1xImgVkMTzvpxDGG8D+RBFlW/oYxbL4FrCqFYRvyR/blB9UGCt5WOcMFalh1
g5ss/ofNjZMgf4jkiOnE53W3IFmkNOm2cpaaEO7EVvfksLUbzeC/9W4iOmME3snKSVrVuYWB2sAv
WBXWZSvFOCeLgu83FWHTpj7Y0qWogu6uCpF8Y5YZXySpSO6NwYjkWEJOe21a2G3ohMs3bu5qn0VP
1jrj06bl/gLWWVS6oKCfo8iYzI/6EH2/2ksWASyTxlfAT0uX9puFHD8L+tgvLcR+kKov643ah/7F
rmMEAT/evaiIlwY4dEBGjNkLren0KPdB5e3kqp9172C0sHFRw+bQPKge2eKzN+hyHh08SRvr6my2
CO1iRDs5jbrlLdhocw9fhl/WAKJmS+ivKXccntaulrdY1qpia+bmvMt1/T2NQ3+JcPAX7RCJ7wI6
m5tQd36XYvdCbx2fOMe1o8MBlwWukIjJo4QKs9iQqZ3LCUkubN50ArpOlE74mRQ4XzIqgD9yXwbk
jLXJCJP4gwbKZk+7eHR+L5hr3E5xxe/YNl1jbX17aTdZvwqk4Ly1rugQhjnyWyAygjJSEc02U00n
+LphgraTxPk9Q6kAZdCpIe0WQx3jtc+hQ2GlDyr/QcI9lSByQTztbg1UT71qmNZjsIa+9ZEhpwEz
auTscl5SKbtvAEgKHMwMUc97sNwLHQYIPaM0rRiQRFNkx3KZ2vGln7Qu4mjkr/7e/Vp6IFezNQz3
sz/gtwqB8npGMYFbHkKE9rjTbTv6CP714VVdeJySWiP4meFotY8Unda7a0C4yoVoYT32xkcbjhfR
xkmPW3wVOBY59K1m96sIdpmGkjsmAXXPPag2EKJW969x6M4nTzq4teZeHmgIy3sSzu2gU2naoL6F
qaaZU+3QdS0WHI8H6IpWD15fPH2t7ge4zrkrn1xJwFsyQGiunSBPA/cAZjUUrYHEPIJOvUlWGJSc
3Nmr4MEOxM1xbIH0RLbtw42WMUd8lJnu4M7HTnwLLLz7FZbULJ5/R5ZNNqklkn8IWFuw9ZOG+niy
dbGbzah/3iZHjS8kZjJOJu5JMKlWna64WmRiAq/qUrL79XtQ4QFAR/IxwRjytK99DBlDpQHzmLlL
vXTbGLKUQ2D5kqkbosKphEl1xLZb6ju6xFGI5OQhWo/rAFwmEr39EcrIWOmUjE79zpyY3/Se7+bS
nbY1DXCUJgyFmpPJgOJI3MMQ0ZqhLhF2a+/WaIhf/HB3bzCqpsjNgrN/xK3wG9F3PNn3ac3sOiHS
GKAHMK8QrVha07oTBHOVbbKxRRuQrD5Cx0EJcMw9q9u1MPC53SyCYqUE/FLOA8uhBm6Hk5YBR9A0
rfldEDWwQUKn8OyvSBdPGjM7F+rUA/h7U4fjnirHe5Fgm31oh3U/3BjMjTS0sEO1FvVyJ7HTJu4k
DquCr2xUUX9vwk2UFfP087wG84Ps8AARhtPMg4QmRCZCgJgmETc2StTk2mcAsRDmjSQkIRI4utfg
JBEVBPiCJ16WSXZZPXeel/fVLu+iwK1o1gfSuwulH+AoCsRGoeyTzjevt/Az9u1AP+qQ2htq5ukC
VQd2aW1g8w02YuSik06mU3B1y8l+qj78aV/Sca7Yd60kzDgGBJHeD+mTijxz4epqiqt36yM8ux6r
34sbOuzA8VIdyssrewcKGNWn0SJU4QTToRsnH6DgsMbgEParEnwBfuMEfYD0Q8PdwrZxjKQnzzP3
i4SwqN7QzQbRbLNt0Qh6j9fdpt1myZT2VKKYMabtn1xdt7me7HRnzRbqRFmEaidy9M0DyNe2CPrr
SMuJbXct7R38z1m3CWCKSCWBqjEny4KiaZhR488TBiViMx6M9RM/zXjGypRPGidcC69/kPpBNTyK
yl37ZN7wjgfUaUeA2NBhIl/rCDN/ddO2Gk3OqqrjROE2SmLhuLkhnjwu0LblE+v7W4rG7ISvl6Qg
4pBihWgLEhjSXWYzVKW+ohGWq8AKxYs7nWdCeGpiBb1/jLhfYIGm71sAsdcx2p25cGQ7PExR7OVL
rYNzx/C8gOZhvw+bRd33dNZBMsMlikTTbrtDQJudU7N0+wHojcDFLhtR9k7QTC+uHWkaEqeGt1jL
F0eo4NanIyhB0zBMZRdzVtBWw3KmUIIkPZQa6eyxrqz6xj35iN1FYGU8P7q1M3y3KLIPw1Ujtgar
kAkqMAFAXCVgRdthws74YJuUje72Dhdj+DaNEwcchoFgUkOmD/oFbtxioMSFLlOEv/jWI8ahE3xJ
G4FEcNR2zTlq5zp3JOgXkCfBfpO2VuEf+FK/uIGVZ/gf63+QMe8CbFdNpbCSIGILaDoO22PGLH4k
jD6be9Mp2+XbWLOi9RxEqAdDW8Imx87xLgXuGwFeH5xXaDwFOdUum9rUo+vw0ix8+mmQnPIuo5b9
wPuHrFBEo/dqKrBrEcfpIHTdk99mXrtr4mFgUEzDpDPP7eODz5l6C0Y4bUCyts+za7LY2n1L9Lwo
HaKtA/zhuDSyfxwo6qRskV3bY4rkrjGMkNWYNUG3F8DJ2Qo1Mbm+qcEOGVo8uDabeJSHFk+Cuz5a
ogd3nuIbyDG2qKijejjP4bbkaq9CgFIQtIb1q9O170h8ing5rQO6mHYb0XVR4MxGhJG1LVASbtBF
6ODjNY3D1kXhquWrAEnhBzAX3Zp7O2fhXTtKOT95LVRJ7w02WU3eoWluU1dO9hVSAe8GnBrvENp4
ghsD53w/1wjEq32DyclTMEQVbDNwuMN+NLbZEPfkWHkE2AmBLwEI9mkbf2Jb0Cder9UbCzs/27j2
j6jEljGlWz89d2sHEyVz9gnIF+xcXuxEWJPVmlHMQ4aYnNhGwY1prA0OyypxItRoRwsVV788y/t7
1CpzUiNf0MuuCP0wnVph/KyuDhr9AQCLobeNqfUj8GlGOoG3Eg9tAwrJCAemg6nWP9U2bsWmB/ix
MQrpy7gD2kVtyN+MqAJKt5INPpsXH6ljt591FMHQuc88XfElPnrx7j5PIqgypXyKQwi42hvIrWmi
5eAuyRRUy3FVqr/sPOjAhul5AaGW8wbYgDnFqNFOwo3rc7gB1ZH07uAWQHJ0mZaqPWyRI8twYvx2
WAmGLRilA33Dfb/0KQyee2xPFtV2ghkQFoX1YC8CvVFGNxSAiahdcvCdXeJqRF8E07TuYbGOZZAH
tZhLx4FbvlFBW1RBa26N3kGXkX2YErsOeYxomdtR9DVagTAuF39eEwi7t/cJKEnUcjsvPEnG+2oL
FX5f28kcZ/bTUKNV8mK+PYUcVj7qa//gV3pPK64iZJMP0d0cV95ReyBHgBHlV1ClKpOPQAafItzC
CtWyin/sDLdpMo06Oo9OFR/6WWtkp0EENam1fW5Nb3+gfBRvnbOuIE/jEZ5pi4y1hK3CXIhweosK
HGOMVgfBneS6Ozt6mc8DFod4QmN+VFg0pg+6X/Q/8eaQKAlDN/zV9qBhJSs668wZYlelQcVwKk9o
kZYwIjkO4ve4EbcVgUmB9XDRO0JizgUeEqilrcwrVyCgLoCSAbsdZA0BZ0uztY7XgnVRgDkjbZFb
jPQkdI8w3jdmqN9cMPAecDfVV09Cew65X2eDZT5qzV3n3rUtS6AvEyaBcKHK0Gx6pwVMiAZ7MZg9
U8q9+h01lJtDNgevzm6mU9wBzzs7vTlM/TxegsjfHkJEcpUIe/Vu5rAZz5xy+TOu0TkBhhGVAIvA
zLV1pioxSgyPxvReQl2xvZOd7mUYVBtYVHToLjBruDcdIctj0CzspeGcZKKWtEk1d/0TCkH3ODor
3n+4TuUqMWmdnT04Y7QOQLWAgSFCB4QHvqsP1QSDedJ1DZTQNbZ7eFKMAlWBE/yOTYcnZ9VLPNi8
YfaeXTWR6LDJKjrI0UT5DARSnFdqtCaZ66jDDCTkQ3Tt6tSaokOO80Ybc8btqkog8cFhBIM+2dlm
P5bZb0oLDuslqn38YqHnrecZHpHHXkczyI0Gy3fuVKhJK2czNwI9Up8uE5pBTP78f0gP1S2GaYA6
VYyyO8fD0tLZlhDBTCyEKABJSvV3Ktb2aR2JYgDGj6uXMVLPSPkMNv0RRqJ7xlwsvDX14m8AR7T9
HVch0maBUr3rwcXN8DOx+5WAKIBwpPGj1jF/jKZGZUqju8F+1B/zaI0QhOmLKXeRsILU3dg9U2+M
DmbwpmIQ0ivGdkArBPcTZqFATHyrlnY+oMoZ7iscpHkEwchBL2P9W3SInR+WNbrYypiyCuh0pP3U
P3v6CnhYsHN5A6hrBAQPlC8QRuhBBXwux7V1zzpyzcGHqGNPmhjb5giP4w/H9wBYEPscjBkk3N59
ZSJ5cHWLim3v0cEDhtA4eAvSm5K6cwhwopASL5SI0seXemsgHdFJ0zedSIYxqi+zEzdZFbZLgYrQ
e5/6sVqzeokpergJOoNutI+WSsRPIjMS61wHV3wJzFxblTD7818RaqhTJGToJ24d7efRYiiWgpIW
FBuDbrYz0v4YzMwJZGzBXK4r816rzYy51Z7eslEvURrgrn9cDUK6QRhwf7g9AGfXt5M6wFKcq8l3
kxjJOgeEw/HbCljozCFd/Jsr58N1Z1C2EF/9MiomCuAWxjcY0bz3eWLjHR3N/l3TDpPZCNiQZW3G
lwFFRt4jvj1zmyHDQyxzERG6HaJ9c0rjs8A/rNvgvQZTYGwCFPu4PyDrHfNYBZdEQgKDoTzDRuAl
vNZmtVOLE4qEKAcXU2SbAxSXYtpJCQBguKRb4CbQa9tnjRSihDvM/emuNj56loiHXs/zGaOL/ror
jwq0YvFBV6jPxhYDdY7nWDlIfQ13kfLUoMvbUuhv/JI1cihXS37asAofB3iO8PTDp+E1pnVmkfw3
W4fmrDBPQ3AIWZ7dGbxFXcsAj71KA1gIXOuCRWASW4VKYBizLUAbZPtoTZsAI1eClKF3rGy7W4fi
uKamNsDi7eGNB2tcPine/ugFwWwBO41buGZxznNIqvALtnBg7FipAPwx+H2+wtQC6J2gjzgYqsIy
Z0DtSvvbaK/g1a9RBz55Tg2RGgqncuC9PYoNjC60Yug8TLegxMYcnMIJXrZgrDzVEABkqDrwWNV7
mzeVA9SicsI4xQJkujDdyO/IPusSr2G4gWMgtDzfoiCqN55T05LUG6/j+8l8i0l4jbpwOV55l9/M
0Cx3uxzJM7Hs2zo7VV7Ndf0NePMP4zp70k2rZFkbERADuc8yLOE/6N5vv8HowEDObAyT5ljnfOPN
nvtguOH7wGDOTazvYtIbh0sRiTh6s4O0z+PeyDoF0Y+jkaNdnHRBbPKGwvnhg5uYywbHZRhiDA3A
hj2u3DHnGpLHR7/ecfsrxR/52kyFV7nRUaNKAScI36urouqunefhvTKbLWu410sA/6fU163IViQX
JdM62kSiKulh2NSsCEkYFM2O0R8KTn4xKANjsONqiAar0Mn9mcagtXleCg9afKCTdsGrXqI8DDSE
GNKH423e6RtrN5MLO8Rn7luZB7bSD/M2w2sHRByGLA6gSZOKL1BFLDkcqXPGVT9kKFd1WSlkQidr
HaqkqiL7ipqQXYKOkw+EasaYtgYGZEC2q8Sp4z514W6HkWn72dTo35JBCfZCGvcJScJiyeee64/Y
oTr1AA8p2pCMF+VhYt8F3fjN35vwtFu95wysqgyRIdfLC92JaUfED0geAfXgbglx8Izy+7b9LsDV
zRCE5hccwE3AQGalj/FeDSV44DR3ME96b1vfPdROsxbYSqNRquexOVcwrZ4V5qBJAzxsEUbqHWcQ
BgXVEGdSjupZ8JgVK4YVh9oP2AMcOhQfJMTehTuUzCDjYUJaGmwBrsf2CGBH1bneLwjyyJuzVOSu
QidVDjB3JZVekd1isahpJbJaAS+ZE2yP5gw58iwzOzadXbO9iWC0GSodvOo68KJ3uHta+DYePS8M
U4nZdtkBc5PFa6tS4wwyq2SkDw3BVW96jAiSHXX4Y+SMvHR1U92YbdgyE9v+NHC0kqzb4mPlW1TS
quPPoBz9xAqmzzcp2jxWfo0xPCamzta6pbErflbTcWAYUVldcIUC5IdC5LgLhGpj8rOfKt2AxYYd
XbYr9Key6jSuYn+9n+t+LVFfRCHubX/KproSiEQLqh2E0bk5VHOrTlfE5Nrf9VCXh7ByR+onzNc4
KvptJ4lmfXiCD3spTb22V7v/wu4hJIaJuV0GBo3mtvweMei/Y7Sb16cGA9Y6aSOgdcy+4sZ0QVcr
fE76H8TffQAdFLnzhGpPSwjpUrppjk1V26mwxlTbQQoS9joRAIY7IIeJISt2Z6PGNLOpe5kySSSQ
9qhPcj4y8hbFq72NpfUV4HNTUPSb9bIQgNlMNjgRkeowBoXTj8sPb3JEASl9l4FfJrIR5eG3bbEM
Qqcp7n4g+3FYAcMdJc0BFFW/YGgZLPxx7noTd157CmgQfAcArT/VYW9+Kay4QFmp++A2nGtyHzco
KjGpJLfeMvi4npsuQaN/2yJo6zYGCP92XfBfJxEWZwxkUgk+k4+FN4BIUV32igiZ07pfDnRBDneC
HVV3nB3e5e3Cm6MZR/t9aXZtUsA6ASUAbunHKsLtG6i65rJNtV84IgB4Es1H4oPceDuJdb5ICkJa
0Hr+ExG+42a93vQVBGoy3O6qnPolPotO7g/Gqjhn9b6XZGiQ6NJMEgPLpeGFXRT6c5xOGNGOHup/
IS+Y4DU5oLBAN4UurdNGq/WHdkK4Vj2PuxiMGdwXsd9X3/1lpHm3tnWJGNe2QLywepAEqXAD5iVp
qPf6hAF6/+CamiCfc/KKGhTUp7CuzXPY9qx0Ace/HX9FxNHP0OAjNK5ZvBkuhZGOw0UvRuukw+WX
+htGrcmGWeQb2ytcOjrk59DjId7uXhUAR+5n3nF0b66e2cUN1vEn1t6eQYvhBe8odJSfgLVF10x5
oWqAneUYdSzOLM4YibPu7KpmgN7IaiyQ/W19ADQbM4OA0SDfOOEib6tVHwJFRR5RDR5W5Jv6rZqY
U1Qj41GxbtI5Gw/3TUJ60n9vQIX56IXbWkjJWPUNvQ/PoAoiRxZODSw9s8x3yALQD1l/x9LZVyYd
o+i6mddNznw0RChDzV0V490nfo2QcrZ39jYCD+R32zhOOvDVyVcC417au52547tnH4lrmu9R1NvS
AuLogTFlRLrvWGHilGj1ZYIB72anzXtke16amIl/tF74CSMm/eJpylJFHYxt1IAoNMW2t7HtcX0A
cPCx4b57GbHjp2CbcnWIG1QIoOWFd/HW0lvpA5dt1LJ8uMblMLuJsXBavD9IUbiTYE5/db9tAjzR
ZdpCij59FwRdqrSXWTRo+Fo8BTPdQq9TCoc2SxLyEEVZ5bpuzhiAjdjDy/E51iinEx16WJO08dSz
nDWuKpoFC5TYhipX6PpOeocBLOGdE/8Om0A+CQWrR6IWNT3aoV8XtOD7GKW9rwHEa5r9oAjwegMC
kO4lR9hBKjEC+BUie46c1A5G2LRPS76jg8Ci11lpD3gp4twwwApjyD4IHpFjJ7HwgkInTjHJqh+s
j863Xel+VlhFvPMoYs/h5ItbFE3qERm/4jDtXGaqx5oiAocOw53ZK1WEfnrD73Pf90TmeK4DV8to
/TDt1XYfbtttMA7/NEtPLhNjANPxFZtw5BSWMzqVxN19mZsBV2nSXfOrGW3Jx4Yl/3GqGvCg8WDM
GFeyxDh4KOp6i2/21qLJjgKWA27gJgFlC+Y6wfCBu627JzLeiqli27232faIkU54j9gQls66a7Jp
GjA78GaFGbk2VY6N0X7YgT1JNjSlr34UiDvmRv4lpoqcseZp0gA/UE41vrZptVs275BBLLRfzvPi
+Q+U1v4HeuvhMMpZLVClbG7p6wqzKepV3sNGvK647qBX6Do4PLAeehBsREPMbYGCTolpRe46uDY7
hQnUEPDxlgwYh+sGM50MvsDqgGu6uxmCGSBBykDREkgHq2EZmFHS9+FceXndJMsFU49m7neWaPTF
pxALPeyX8NRdJ8zM/YaaC9YfOtlq1b0jU8VsKdgI8mfP+49dVGPJ2ybIhw5X0J+Vc1/oCj/z6XnI
JxFGkiCOCdIZ2busgMjg3DnI5Vi36r8JVT9z6n1ZAW0I5cZNgLEhYFm4X2MM7QV//vOn+EL/9/9C
t3+pI+eFoN+Mp/2mHWMY4x0ZDVBQedFHA1xh/ue/8YWA8TOrfrdQfw2rt96sHN3QA07cP7/uFw7m
4HMSPVoKTiITOaepU6dOcbShXYN4TQ+Q7DHr2ulkOooB0FpSiMVIExxnaOqc8S/aya8+1/Xf//Xd
xfVicbgxCKDlyxw+jRBz//mDffWjfFI/yzpC1wZ/zo0vsDGZEu38DqDz//OLf3XdfpJkYkbGFQ5S
GIp3ONbInDqM4759AnP1z3/gq3f/SZE5OngwbHVb36w7R0t5aFcAIaES+/Orf/X2PykwQUEKXIXl
8Y3Fps+vvSpDV1qwALtx10Wu1H/6K5+ziPaY2NGtm/oGWkfUOheXjodqYUnL7F+Ojy8uns95RHU8
+xo/6nbDAdqu/d99PWd/fu9fvfInwTPmrg2Qkio+uZ0sB8pz18wvf37p/+1UC9j1R/nXFT94CjKo
ml27oekC9eE/S+2Dbm4kWmFvjtM9Wr85tv7bffDFb82uV9i//hwZF+zxKqtuAvLO6nuPROnSPQ6z
85df+atv6vrv/3p9ha4kdgAfvcGGQ93W0xDfkClqf/75y/rq1T/dxXreBggBJ7hp1u7EdXQnMND6
by/96R42kKK12GbFJ2ajKunG3OlD/pfX/uL2ZZ9u3x0tLkLuoJcH/hQ7I7odFmx7cpfL+z+/+a/+
wKc7WKgVQz3sxG90P15oi0YBxtB/QLZ+//Prf+E0+oysRrgvM9ViJDTne5Nt1UDvavdaUoDeTctQ
jPpBY4/wABZZdGuHrVf/7Wj6TLEOEHGy2gCmkmjXcIp6zmVD4ZHy7doH+/NfuVHXL+p/iNA/A06X
GpWYH8MvDYFr2UCM4onpDoI61JTmpwF9hvjsqRr0YSK2zf78pf6/I+N//dFPt35NSe85FMjpODT0
4hCAdHfo+myG0T/GMlE95g2UL4VwNEtWMLAz5oVNgeAVML8830kXB7DgbjbA/7KqK9YRmQQQM7IS
m25/Rf9tICloMEFKnJCOHxjeIxahE3N3aBQoaxAQ7fbWU2P3jYpBHcBFni+tjcwtsYbfL21FS1+R
5bxEyjy1S4uuYlbCx+Ck17lqcRHneLvyudXaQ8D7FkWYHIw9CoMBi+mzG3b7gz+LOGWxqYvKBEEZ
V1HYJVjPQXsUzW37WtHpBfJr4Kg5ob8kpmsH7DtFOc6zPmo/vCqNI+RPwqRxs1aBzUDx29Odd95l
j7XIOwcZtCDI05xbxLEsgcV6PXYYtqqbMrd7Bb11s1yrSCGC+y7w12KYGFolE6kQvdvOh5KbsCtC
ttMzBKfu3x4aX9yUn9GZK2Z1HlYxyHmGQAXjQVLpY6D+QqH44iT8nIot6QqJAAzGpxBFOvycdfM3
G/MX9/pnWCbbmWO7zo9OZJzvx2rRGaucZ7vWS+qikp3UkCu/OxKIuf98H3z1UT6dvKBHtu5CUZqF
gCIURsJzDseH95ei4Itfwb/++78eSFFDO6yEnPhEsaCOkNkVsEecwn85n7547585vwihWaNpszif
MGw+xhLSrWn1g8Ofv5mv3vunx92sdxHNDM+kaEWWB1a9A8biMeaM/+3lP33xjjOOoTsggwW633tr
DeTMLhJ4veDhv73+p8feCpwnlv54+2Tv076qMjFc2u5vgXhffTmfnnnugrl8p3EHVFiEk8PShlhO
/Y0VSv7/cv8fh/NnjG/FrdsJb6hOdkQIAEa3+m5b9yLGPv8m7OWa2tkPoPlxaKZi/1crR/lzk/j/
O1qgad92+uLPDc1Mc53txfBZ5tD71UUPmi60CmP7gpgpUbqOmM9YokH12dd78BBTiGpBBwvvsA1c
Sr9RpKyIQl612+zHGnF6TYJAUqjQ8Ax8dusqKtCImYfZVT8aglAayJfW7R6EZlEgW1G8xwHw45gN
V5i+D/6TiXG+DVFMCyy20M9DZn8X4qCq00UZceNHbQTxnBviEasR/UBXpKL43JbaUfqmsgSqexDe
c9UR5xSsECZgbBpjHGz8HxjhrT+YFP2p98zwEbRqgBBCBW9NS4KXxVHbnXGVvQSyttcFAAN8VQlb
xB4RL2Qe1WXbHcwqQqlhEiLmmxYhfVtjMlwcoFqnDHrZ7rzHIOkhFMrHOKYlP6peLO+R79s+q2aX
XBmZfQkEF3sMsfI8QUY8P3p2BQffBlDj70hJOehtaA/BsprXKXCiM7IzCTZlHLJSj0DbghusxQjP
h0p8ZAD4druAvWWHkG90TdJCn/UMe1two/REIF/HMhA8VINghNaD9SIwGLHoqv8Nq4DzRDsy3ixe
6393mJp+kqYyBZBN67mtOPTNsFOffbAl0wq2pyMsKxjzEUiY5oa8tJXDoFqI/OYsQo3DtwHMl+qJ
Pztj0KVKLP/H2ZUtx8lz2yeiSgiE4LbnbmzH8ZjkhvriJMyDJCbx9Gd1zo2jv2mq+tauAlrS3pL2
XoNDFhLB3K3fMSIVbKtS2srG4ZeNLIx1174CoZa8TFCwAjZNVu6BoI39Bd5H0LGvRLsB7QilOFBM
7vPIHbeo304LO9tMXJvi1lHfupBmG4KTsu563T2QwLqr7X7h0DVz/zEV+fte4zQZkODkdf+BkrDW
MTDA3kM5LGaOc/a8lDiMU13hAa+OQg+0rIfxBC8IWPGUaGRJ5w9oSj18bUZ4djmwgXNU+0xo8D4G
GSzI+JJwy1+pqP/9ANuUo524RgOzUmMYVxmoCtUoH8TU658+jeEqkUy/SC7dDY1xUYYaf7yFwxWw
YN4EAhfNO30XdxHgkJnAVhnDmuT6XnB5o7RNo/Ky8oQzOf4ITumwdeh0KpXcXn/05QVjU2MjiHBE
BxQQBxY2vXtxfxrabzABvEljBJW7f48PnQf080ibDHKjaKGiSrtrATKJPOrsrn/95QWJ/PLvC5rY
US4wWLCgl0C8jb892FAP/ENA1Pv6C2aGx5REA1alg5Vf5oQW9R61LEIPsrArauULw3+5gGHbxnpX
BRskTvI6hDi1/FpTJwZBwAVa3QYNads4BXoTaM1AxWlwlipWlxnKtqmSBoO5GA2kPg1JDMRPMOUb
WXZ7pdpvvI4jFPibj+uDN/ei83L+dHos3BrXrjGZQiu4h0HRGoyllQWHPsiIg76aLCSluSE0znkD
F5NdtkEWwqYbJmpoFUbvCgBxtJULZd8B1DHcRcRxvqMz5950OEML8d9fFnNCMhlFOoQs6amAw2ii
nuNRvVwft7lFZ2woQAU7fR6oKYRT8QHQr6MTAR4OW7rbHm+EvJWhg94r2D5WcbHJG8CQ243dPF1/
+EyqMrXT+rwI+jHzOPx/uq+gtD54Ij1ef/RfXeQLudkUTgOjGvwLYBcx6uOXOE8eABlFwcba25rB
MTR4bmuJSoDAqUtY7h4GoAsjNpNmTFE1nDolVTyfYO8Mb0sLxPTj1HFgTeH5CN4lTGoW0s3fBXTp
Jxr5AD3Byc60xv2xL519NFnqKHurOiZF+RblefmgomZYDVrTAyDb1ap2fOuhBS4Pl/pBL91tZkf6
vDI/RS71W6iMS1+HI9F3tYASQ9UgvqJdXpLoG2TBXFxJIALXwt1tF9EsOrZsVAsFv5mAJkba0LAr
tJ0eSb0BwTUb36A5DWrccOrVzy770qZLOoIzYUaMxAFKStt3VTGFoH5WAAa301qOkQ1qfnlbmiBG
mgCetXcnBaUMd/zRk18VCifc0gvDNPf5RpboJPBaKml8sOtfuQf2hw3Xt6g4XA+2uTg2kgSxM5iH
xp1/6iP96LTBkVXdwodfnl+gOv5dXJAfQnW440M4QccuXbVtolGObux1kOvqpy8j8oNWMGXy6CSW
DpaXtyJiyrS5ZUDEFENJanKylSI/Mv0WqD+W/ODp7+sDdnk6iKnWxntaAToElFkHuNRDZYFBZqEG
7uIatrv+hstTQkzFNp+BTeKBDRQS6bzhIA4SSf/j+qP/+jn8b97Bpe3fOSFIO7QUWKkEmhUbkBtH
AL6EXFO3/51zQLQgiU5g4UxwkSRese9GaX/1cTE/MeAd7sEdfB8BQzwqgF6+d2i1r2BsDSIpPF63
IN7173JIgy36fOQwQMJnFZQcaKfrHz838ka+oLCiTaceS7Vk0zNkC0M3CwDJi9mNzzfyhMMheNgM
/RTKLoazcKK2hAQ7AnvwhYD42666NPpGnlBNx6F6Weqw1o31o2yTX9rN+ieAHDnkuUT3p9a63Hu5
f09dX2/grJjdjb7oQTwhwfdK+BbQyRxGwLLIHyPw/n6Afwv0rhP194MXyf9qsDIgA6BBzbdhnC6l
44AqVXwAa5ltp6Iq1m3egSajtf1GuyJfw+lR/+lw7tjngNp9hRpAs5XA6By9Ht1ZAVolTOVaeago
jJSg0f8zFoCYsCqqD1GQoR4DDGAbAgeYSAgR4NGUOkCMB3796Lk1/IOGr2yoyWMpIQKjnSL7r+4b
WN4n2m/uGeRz1g3tgvHGGTRSZQBTvNr3RB0O5PtIAA+qYWox/rm+/ObC0siUfa5FVFq1DJ2mE3Cy
lIC2QbHlNh1vYmrgDQHc6aHT6J0GTKY3jh+BZd325aYEHvdzoIOSmMLKWrS7aAKzzZNps4CG+Ktj
fmFVm3p3XgTzBoKqdwhqwgZVklUi7E3bPOcDgSaCvwIr6Ti40ymwkS7yoj9k3ZPSepuBUVXLfq81
SJpglyRMbHXgPsRWvs8n1MGw0Qk0YNgSbmNmBk3dvJQ1KEnpAT55FatX2pvO9pQ3HQFQ5/k3sQpo
cYwAhOlwqNSqhWVS270ysWSeM5P6fCP1tRAxzOBgyk84KqX3nQuLYVDJ81Mky35JtG/uHUb6SwCd
hqCA5Kc8PwzTV7BdS+fn9dCZ2ZV9I+/BmZ1l2fnRQsHWYQD5I4P2goKUxo8qWFIinft+I/gHyLD3
dCTeyc6qB94Wb7K390PB99d/w9ziMcKfUw4VDbfCVbBGQayR4JjCHu+mZ5vKdz1KhzXOeTq0IRaV
kP+aYiE2ZwbelLkrXAIZtEZ3Ye2STZGWh86rVyR4IipDizC+qRhJ+Pntn24RHH37boAQQXhGevv2
e5/9kXx7fWjsv2nkQnoxFe6QdDWDWXEfUgu0z4Z48gB25QACPShL1oZlgJyg6j2N/drubLpx0qI9
FD1kjwIXBoNOeoSONd2LuKmPsgVfLABN3lt3zrmcBDAvWQ2RFaOKAN4QSOBO044rD8JY0Hqq3BRM
wiHI9gPob98jIr8NCXB94HjobUxquSPQC9oEvjXssH36XzxP2KisoCGByo4smm8Bi8o1d2kBV8go
oeMdfJQhPwBgWrOFYgh7zkF52FAwjFeAlxZ3imVpWKQ8OzjA5W+FcIc/ecyz//oE6p2cyWwLPkCG
fTun6MjK8RmsfQbNDlgMvQQCwlFftR0Dc8DrEqhj2DyVYW/l3rEmCdtDFS9+HqDFdMwGO4L2Uc8h
4ZGMmygvq2PRQbCkSWGHQyQFWLtvu4MNx+2Vk+bgAwLCWK4KV3X7tuzcfQ26UQXtfeB6cR2B2TPE
QSIFulUJ2vPAwA+rHasOY4eqF7AlweQEFgtNlijzDhbT/N0KAn8bDa2GtBLV26ACR5BXXvsMFedy
58bc3wqnB+0NkP0M6k1j4z5mre1B/SVj926f8jXBdx9yv3deIzqBlM21AuTUsovxZ1GOExTjJ0jG
kDK7T8Bz3MpBlV/sKqt2bQWyescadSh7mM3CrS+CTqaiMIuc5AhtswY4btenzjYWXfYAgll+D9Wz
+jcU09AWqeWUQ1AsqbTYcu7Vh2LkwYlCXuBR+AL6VUWgUMV2ExVvba6deFtq4O19Eqm1hev8uxik
he90YUBaKXC07y0aAGVe1GWWgFoC8nXSZ9au0lYCl2v29woAXHUH2ihcmIa93Yh+a3useS4qyj5Y
o8m2iKIBKt6eX5/JFUH6KhOwc1Zi8J2vTaBwH0WFARS1YpqG5ynQCiwDDYYDhL46rNJNw58tF3ut
E1juRy868VS0drojRd28ZVH6ghaG3lMYarKjl/QguvgJOurT1K5VXKoDnEPfJ+pNHqTgFEjeFhlK
cBcBmlsLGTnsLiZQ4Mk7Z0g3bh53twkTE27sLS5qaBqaL/4pc6xuXU/+vnDoKyMwjrmegWb2FW7s
K1BNQkcSenshheZ0N+JqEEu5jSiA5ddfcK75XEpwxs4CHgzt3NRipwa4Gki3wRgb2mQQy+AcjMwo
iRbqajM7mAkcLkftiXgaMugYdvFPUNksiALDnXzhdjP3+HMZ4NMukILIAVqIDWlFN6fwismqIyS7
6eamQTLxwhbztQbmnJ2g4wGJjnWMIxC1H8aeLHz+zDSbYOFEOxWDE7V7ggQERaFPBPfZ0rV77tnn
v38aGjTHi4H6OURzgRR/1ADB/h6tiGz6IGELZ/yZYgs3XkHjcYQfJeA/SkNmKhv9b2BfI6fZySG3
rS8AcO8LT914rDgvgU+/J8jANmpdoOFT9g0UgbVEo85NcaYToGtUant9ymcWlCkRC+onSyYtULer
oEtRnxWA23ps/7v+9JkB84zfAEVTFJ/AQg4pm4awsxNwTxMA5irg0rcuguPsgalXPCjlAj55Js49
44Dt8JpzVnqoporurrJBYwxs9TH46qgKb2HM5t5hZENQotrIgshDmEDd+I3RQT+rprbAN8rY1kkS
a+HId9lTjxLPzIqeg1K1YmnIuA/qKGicW8m5s5apDXG1rBjS1yDjQVhHYCEB8RFveymHp+tzN7My
PCNjVjaE6gYfQEQKzaBmOBNCA/Sbrj/8XJ68kI5NCDaNC7eUY4H9PPLrVSSndjMQ+YsE0br38Uqc
NrOB3oP9//v6C88heumFRuKsEyAhRgfwTYf7zcH2hoMV4DxKElssrIrLb2AmACtJirP2Foe5GpR5
KwESSwwx2Mfrn395Mphps27ZIP9Bb0yGPc3vMppha7Q/bnu0uZoD22ugAsZPgYPKEn/T1UIozn2z
sXrTyYnLDLc5qGZ7K398EPHr9S++HH/MNVbmOPQkb7IC9sm991ZKoJjQWl5BOKRfkUEuWQzOfL4J
u2LgNkNlr4NPX1SsvRRck8HhS3WAuYcby9ENRnjVga8dKtwWoA8D9nlWLSzEy7HFTGBJzRy/6Kx4
CgWYYxPY7ejq70Fhuqs65wHFgU1H1a6JvYU7+8y6d86z9Gmf6pvczSyRTWHT3Pvo+MTOn3wRAjr3
8PPfPz08iLhvEVCeQxyJV4XF19ypV9awBDeam4bz3z893mqYHEjtlyFzMCRVAZ+zLO0XctzMMjXh
q66OwD5UDjvZMQRrwQ21/zD1ZoMge1MYOEbgZmDE0JLIOtT+Qw0AMUDxuf9EuttSjonE0tr1wJJX
dQjweQquI/8FXZaFc+Dc0BgRXDLmTMTN6tDJIG6TMdVtE4qGnt+l/i5F1fr6CM20XplpE1qm6ZhV
BARxVQkRQoesH1bpAB61m/rVfoAoBM7QegitmtKd59pQcbVhGIvGIsk2179hZolRI9K7DmqXLULy
1FrlU0b1Ttbty22PNkpCRdJTmXttFoKKXKGpNKyhnlktrK7LRzdmGoi6sD6BEyVu3Bqq0DX0dmt3
ekzH755+hvw2EPtiaR3PxDg1YrxIW6iXAzh5glzZuG6DiqwJZDJX6Iks9Sxm1pvpDlpMQ0GIpu4p
ANQzJZBj9SGKqV6c6un6VMz9BuPYmXoNWMI1tqTC9VDkep9kurGHJSD83FwYkQ7FLYhyum0dlhkF
kVjbapdU3D8UhSvOHH0gf6GYkx4LVfBft/0gY/MeOnChIYvqnRp3OwDINJ25u+OwEBRzP8iIfybz
SI+R556sorrXxIUhbfymx3wXENTerCRedaqzF142MzcmcC4VsQU4uceg7wOqRzrEDxlP7+wsXmw5
Xjxbok767y4CZe6uCDh+zZktglPaHVHy1Dg3ZhATNje2AyTA6PliW6MAFfiAKeeHm2bZRMxB33iw
B78S0OdzVgA1rzv9HNxY1GEmNs4XVZp1/oSoA+Sc9lDFqSAmnC/cj2di2nb/HXXeTm1TFqgliLPj
0lMX/KbdSWVLFam5xxsRrX1QLVmAj6fZsVTuV08M6GahxFu+3Db2RlCPditBleNjKEm39zzvTWc4
10B98qZKFPu7J34629QQ9HGBRrWxuUFzDkKVzeqsxXzbxxsBXNcZAHsErk08Kb6UAOyeS6CQ9V08
Ifydxv+9sDET+6YtX6mgSCrg9gAW5sM0Pjg+UEU1ascwUnCClfK9IPQ4ZE3FRONXMOnBwoQywh3n
ZfnFaxWEO+0i7xY2xMsLAlYH/643jVvMCMUSF7iCmgHYmXyMDYFyO38gOcR6ro/r3EuMRS3LooQU
hWKhKNHiiKH+85SWPuAF364/fyYXmqg/SOaVcYoNMCRWD0LeryGH7AO58VhnQvs41GgJLjQwfEoh
mgCFFX9s183ogj+8hB85D8SlZXEeuE+r2ndL6sVx4IYtm9YpnNiapW3i8tCjdv3vk9nkJbkU+HjP
25Tud5H/lMPPOrrtxGvi8Ma67suc1BBY93668rWmajWJp5wtcMvmhsXIVuhv+LGIIi88i92t4At5
1nqMF3aJuZExMhWrAGdO6HlkhnLVRXdW5mw6/z/B+oVUNbcqjcMGghmcZyfDMQD2sbnrrEG0gZ3j
Qkxd7s8yYuYqqkAyEhrMzVp9ES7EjQtoSEEYHLgjzwHjpWsXtqTzhv+/i9M1wXhEwtFXUsnCwB5X
Ci7KjnwBgmDV03Ltpv9BO3bhJ10eMLjQ/LtWhUwFGZCQQlb7BxhV+LuohdhbBzG863ni8npyTQCe
nxfZKBL8EkhkQn7nOUkXEtDlyXBN3F2jizjhHvXCHh2sY1CLcoO2nQZuShSrgEHDGbZttxEC3MCI
CrhPTVHLgCbypymAYHI+fM+qIQKBEXCvgmcUipmQ4zgkUxI8Xh+4md9n0reJzQdbFxCOUcXB7qp9
5UKLUP4sy+45X7Icn5kc18iBMZtS8PBsEco2hRyZiO7lVAULiWpuaRnB3tHOA9Jo5GFjtStVe4Cg
QSaSLZ2VZ2rabmDEup87Mh8s7oZQFVu1sKWWZN8AEznAbGRCQyB2vwTQBqf1IqN+ZrgCI/4zCCRH
AAtAURTOXgH/mU4/oem7GsU9yd4c9UH8xyp9J/CywvlLsacWl93ri+HvOfpCQjDxZkU15hTWYkBf
03adyPLNs6HD1ZTpClCmA2wKYHLWHkeZ7Luq/T360GhKeu+FJPExtdkOoq1bW/DytqxhQtTctrPq
yBVw00td6JC71VfowB55VS+kv5mBNjFqPWxZxi6vWJjAVSBqnUOsxev1kZx7tLHkgThuWRJxLyQN
sMAjoN/NEk3g8u7mmqCyoYFHnCjRei7QbM58yMvLOwbA1wRa5PWP/1sKvbQMzr/q06GlTUunYUh1
YeY6I4SuVL6HPIkCTykKUFnLozPWyTpI9A+AJZB2fbBAh/viwQ74YA/eCBsSNM1yl8pkXWRKH5wW
bcde6eFPMLF0M/Eg3RYuZEkr3yZvU1K2Pz3bgnTWULfxNzgToAM3psl3J6bsa2p35bhqBR3uWBd5
uxiC9Q+xDf1VJuFU1pRe9gIAiR6hpwf9/YVBmJtBI+5BSJ9qnekW/CXxkkwpbCfc39fHd4bo4fpG
hLcuWKldB22Mohb9r6hyrV0cpfVhJFx9xNgCHkZdsGqt0zp5HJQNOC/qTdHjpLthP6guWVpLM8nT
NzYcu3fhB8VrrH4FGxvfyd/K1nuGMslSwXruBUZ2LmBr7VbSZ2EGa7sYagsV8J2t9XR9IGc2LxMi
1zIFAXCqoTFSWc490FkuBbxXB491z2C1BgENeAp10Hy/7XXGKcaCKmFmA9QURgWs/lAfPaoqQ2L2
xsfKTx7cQSycji93RFwTOxfrFjJoqqEhkDFnKwrZQb65yCmcf8D6WEOMFdrcrmzXvO4hVAID92Rp
C5jJLqZeTSQzD54AEQmBU+rXsqEHmJSkAIfXHzBqW2gUz73EGMgiq4U15NIO8+i9y4GmK77CNHKl
6Mf1iZpZdSY6cMrhulRwgjo5d99Si8LFAmgB0kC5eFG/Yu4d579/ypEWDIAKBTZdqBP9lsZDf5og
YAzH7EXBqZkMxI0sLLDdCliDAaHtsIeCNb/asV/Cxc7MgAmjiFgAoc60HEKoKX6Usk5WUL6017Wm
3wbSfL0+DXM/wAh+GKCh18YTaOnS+EsKM0tgdRZCcS5CjOxsd5M1RA7AsV0V77oUxhUev0s0fMdS
VFEAebPR/3S8peGam2wjYUMwMPp/JrCs6jun0o9t5f6EqvLSSWdmOkwUVtIUpGrjxgmjWAew8yMd
HJ7KOtj65322gGBGu7k+J+cQu7C1m6IuVQEcpZSTF1Yw/Tj0NLpv4+QBDj7blMXeCmeLH96wpEk4
87PMViuHrRclklQhh0mwevFdC/KbcLwei4VfM/cCIwiHETgWxnDTb5pmRVW5r/rXoD+WXCzc9Gde
YCpelh5AvxDmEOE0PVT1vavrp6TzDjac1a7Px0yMmBA24pGmIUUqQi969/hjDXPf6w+emWgTuqYB
RPZrt6ahroddoa2fzLKmFRAyd2D7fDhT88Oz8p/X3zX3I4xpQLvKVV6XuGEHo1volYNMNKrD9Wf/
bTxeWLEmJgvKxg3NkhRFuomKZ0FH/9Fxch+wX398HZKJbQIQbv7ETQMHAi+A+u4oYPuWF2d/58Hj
yYrARxNisTzeDkUPK2oAk2DUSwMAl0vU/KDeerAGRx/hmO5/pWzQJw9aulAsFj7Q1cLaqVh192XN
FYx1PLowQTOHF3YezE8bSCUg6phDAiD0U5SDEX65eHTgivjd96rhYWwidJeg/7u/PowzGYyZJz3L
laUNz9KwCeBlOrQbCvQMrm23Pd3I9LrM48pJK2xVQ/mVieiUxsF9Xsrvtz3eyPZNDj8cz27R9kFB
r2lK+Ol9A1FuYSLmhsZI7vAJh0KoF+swFmfn66j+4ozuB4/UTWhk2zcpRk4L14rEjwmk2PLpxyAk
4CYJ/EVWwdhb364P0cXVhHcYIajRgYaluwOfLxzoX7Xk05c85eXJpnGyjmrp7aM4KZ6uv+ziiOFl
xtJNeOQkgsPmcHR+5023Thhud77aXH/6xZyLpxtLVUqfo/JYOScIq5SrBBa1+yL1YdtD9Ldzn/fG
1xhrVkH8mou+s0/wiTsGRRe6jKDl1+Vb8HiWmjDnEfmf5IXfYqzcNKBuVVeQP03a8dSm6WNQ9guX
hLlhMpYtrzNoqmgL4F5Ip8WWPgT2ACGX5iVJYDtyfSpmJtq8YKHHACcDmTVhS+yNVhN8eYfkJ42c
t9uef968PuXAxIWiYlx4wanqoKJYpqO+441fbSx4Fjxef8XMDJh3Ke14VgIHW3LKIBW7hnTXh3D9
hQLS3PCcp+bT5/cRj2wGxu3JC1Sxhcld8VqLM3cIm+/C58+94vz3T68QcQEivlDk1MKE59TDDwfu
LjnK53DpuD5AM5nDvGaA52TlQUkI8JSwdwOYAc7f7S8cE7dVPb2no7twZJ/7JUZYQ5TNgZGXVKEI
3Ec5AvdYOM0JAqxLuJzL6ClwxYyIhgt8jYqU9k5e3gPtDs40rOw8a+1DPLwCplNOxVpGuKgNxT0l
6RJo6xxwF2Lc5IJMXp4yDbOIEyblCzQ27VcY0VqnpnXK19jBhbO1SPCb5+Pwrjz7JCCvsDCkc2vb
SAGSB3aaU0eEUPSDy+f3cVwK/JknmxcSahWwj+pdEcKNCMYuafbiQ6ft+oK7eDIFudYIesJwp/XT
VoZyknejhtFqHnoNsBAE6vz62alfr79nZmGbR2vNcisWLKVQpi1hQtL1L8mZ/hZz+Qd+DF9Kd1qY
hplMbB61pzqaRuWl0amv4nVeQn2vBRgsW4vuJpUDDJmRBVzfDzoI+bVQzehHJLG0OHZDhCLQNKkF
mZuZ8DSP2XiwJeEb650yK2sf7NLOVjkc0DdVk35cn4+5NxgJIIk1HIbBajrBAXoFk9gtiSEPWS1R
jeYeb0Q/eAywaAxEEzZZs/Zy+Nj3fCUDcrjt642dnHsgfYxwGj4Rv9s6PoHKQazfIJG61GmaCwsj
mKE9OblDig57kfGvTVQdUeEe10NF4UcEZB5op3CRIQuzPbNkTT4DmKx+BUcjEmr4f2wIhU1qQcW0
hv3JNvZvEi2xfVNWfrIYLUvfA+EzyF/7JrrL4UF703Swc9B/2hcbC0amvnSA9k1kCqznGMJCGafF
HJYj198wkwJNefkyri23AeIs1FZ3ZM6wh6nY7vqjZ5aqKSUPD1WhXI28LRVbnenKQ7Vyp1/XHz6T
9sx7JbgGsiYNEWHU292mKqJviZM/OTmA6PC9SFa5Xy7c+uZGyAhoUox1io2cQByqPLpRv8t5+3z9
R8yNkBHMMFrPhcwVCUlP1w7H0RkWUGR//eFzI2SEcq3quMjPXQ+oma7s+IcP+9jEf/Y92CXKJUeW
uZcY4cx5Q+kAIPXJT9zHDsIag0KDroMz4AYFny1ceZZ6LDOxbJbs5VD4NuAI0SnjPVjKUCIomU/W
E7ROV242LqgEzb3F2LW7SRBpTwg4Vx8yO1gNICCDSb4qs2x7fVrm3nAeyU8h7eIWWTEYTZ0sBpBa
DA+HDVPgkSVZpvaBTrLbMrkJR+iCqlM+k8GpDfwfrBSvtWXd89ReSK0zUWFWWDmRsmk6JsKzb1jT
oPXLFq4bc08+//3TAEEIlXtNa0FsZoT9d+z29kZYsVx4+mUEI9RxjXC2eiX7kY91WDfNYwN34R2k
kH2QzsvxWIgS7tDYwsVj7qDEDlmCCNZTcbBL2xJwa6imZqvMUXqfNeON68HIAWUBgIzvgtBR5jqG
kSYMk+8Hv2xPdto5YQnhuYVMP7fwjHyQ2wlNUVxAJSAm5QZ6gv1Hze12i8t7cu9lbrWQd2Z2eJMH
ZsPbFCpVFX6Qc/YJbVfZWK3p2X/NCoOqeKhxR7keSjMrxeSCuZONin5WkrAbflg5PcCA97ZJMTWG
g7aIBywGHBwI2QxSAaACI/PoOU315vq3z6R+kw6GI1DhuASVSmfMAayRsGTcwl/BAes9HhdSwMxM
mGBdv6ri3oWCd9iwX6qCUzsEQ0UsVq0DlUNyh4b1wo+5rA9t+yaA1c0cETsdYASQTEz3VpwW+xhC
Ib+hFr6NU3R8IGHhoXvVNLA3c5PHyPP7fUn98RDBuu+QT7Rb+JS5NXFe/Z+yBzzr0iEpIpiO8wxo
lwig12ZhUcwMp+nXYENnw+ogDxdGhH2LR/q9IxxojFp8Az9q43Twnis1ue3kZ/o3FLBlg8ZY4Zxy
V5+gJlivrTa6j62lruXcjzHS4JhAOc1LS3j7DTHwVZmAhEjTfiiWtPuiB/ZKw73t5fpan8k8JiXO
pfWo+qGgJ5UePZjzpdEvno2A1Hjr6y+YCyYjtaUwQCftubjT5Pxr0Mu3pB+AK+2WrKnmnm+ccnyU
sbkPyMWJ1zBThldr0r+hM3vbVJt0OHtkSsLID9ibhh5hOozKGvxZVtD37XfXx2cmKEy2WxpHGTwB
5HTy/OnBzfJDldcLQz8zt9Q4zojW7jr4f0IxK2chLNRWfdIcm+Rb5CyMztwLzn//FNCJ36LMyFoV
jq481FHurSBTfoyH5HtXyiUY1Mwx1iS7wawUkkbxpMKIs3Vhv9swV6RAWkbJz8mvFoZqbhbOf//0
S1g+leixYpVmGXnTtHvG1X3hVBPgEReKc381Lz89mjttmeAOTU5+07yntfUE9Su2xp7ygChYJ40N
UKoLPf6pWMIKXEZ32b6pIh8VugtgkEtP8O8+Qpn3FIGRaME/1nOfU8Cg6px80QXdEdGjhgA0XPzr
tsVsBDt8ZmFAXjgYxpY+QqfiyVlsU1/WCMWPMgIdYjd540+BCN2oSfc+7dtTrYox27ZiLO8KMWTl
aiqDrFm5yi/kuoAv9LM9TvoI/yGYyXO4n+Ni4tr2zmHuFMNPonYrSPmJj0H0bYlracJgJM9s+ViK
phWrIe/jbN90U74GsU8vQI9mEtb/kOvagdkw/yQnu66exqgFrrToVl2RLYEn515w3lY+LTg4bwbV
OGD7IPAPCNuplO+Qqanv4MubPF6f55nANwl21EusUnHMc4Kx8eUDHcR6dL9O2ULM/B2MC0Fj0uz6
EdkEKp/jCaZx0cZqUmeXQvPrEdX79CAreKWSKureCsviGXCnTQYFtkDuGFybDmPGgk3HdflkS7Td
CWnBkHSKCRdG2CYkdVYdvLOJ921DcZ6FT6NNAwZofD6qsE+DByypJxKgHKGD0wTi6fVXzCQnk7cH
udcRMBD4QUyxOkAiDJ7KSLu3Zb6/x8ZP3+9bqMH5EDE7CU7vUdN6sJwlN4u57zauTwEkG0qq0B8s
k1H8gPRE88C58JZElecWoZFsshRdjVyDw1/E0Skv6r1jwxd2GA8TJGOvj/zM3vMXkv9pcOiYlb5N
1QDkx33Jdw4Fvqd9onUAEbUlmMxMuJoUMDXZQAvCwy4EVw4CXpGrHinJ6LYEgvS2yxgx9mnlCuE3
fdKGlEbdQZXw3u6VCBaKcHM/wIgAJyGezy0PILt2X/N47UDGxUmX5Lrnnm7szGNSJJNDzx6bvoZu
Sa4jtUm7nD6kfdksVJZmptmUYpe54xZMDS3OpTzfWbrWb8yxm24l/ADCMXkBmyDBu75ZiLnL7+Mm
vqBuYljV5WUb1m33UnD6o84Csc6n4Edkq0f4oHxcX77OeW/83zTKTYXTqQXGRnsWPVWD/9QUnoDO
fFOsmRMNMJCPxk2nonjjZOIhRuVr5XG2z229xwYlVkXHNhSe23udJtMOO6hap5LvGgKEs1TOCrLa
MCKHo9KukLl1gPRAve6nuNsAxSC2SUdRVT5Lzao8c94tASY264KllvHl1ELM0jgXMXGAMMGlNodB
n1vfKbtaQDXMPdpYziOHhQfBVQtdYu+QKrbzWnuhUTv3aGMtJ3WaBRYRMHClL1H9lAcL83w5RogJ
rXLhNjKkYGSEQ6ahGAqmrxPbj16ycMy/fB8lzMjjlNW1agZRn2o3SZ7a0uKh1rzfwG/aXwOKAfx3
X9cnz5mWeDGXIXc2MV1XEw/TG8sqBilMJdmqbPT0UpS9v5u0P24mty5R86lA6LJBbN7ZWZQ8gEjL
IOevUiijuEUKnnXk7h3hOtV6UsPw3bLTGHnPmdwD9fWUrlkdp/aq9RtU3TM9kGMhA9y3PZUpaIAH
3aa2agvHSN6/WgGI4U8ezGTerkfmzIyZ3qhBBhtOBuuyE4+V/1VA2HTro98NWXe/XlhslwWwbWLu
7AR2Y7LO8wT0635q1oyV/cqLrPehrvP66MWsCWAUX1jhAPmIdYqC8Qbn5uHU0jir12AktTH+b5cb
4FeCN1uU7soPmu5bjAHS654r8TNomnha5zQvHuvWtr47Ou7brei94cFPIRZ+fbAub/SEGSf/vOWe
kqA9HNFsJnsXOosvvIqDbCWIx0OYToKcetObzEZGRmKbKbi1Hmu/in71FoOjj+r9xloFEFfPVvH/
cXYdS5LiWvSLiEA4iS2QhszyXV1tNkRPG4RwAoTT17+TvapHJ0lExSxmIqcCgczV1dUxlUc2FtVK
LFjSHgfYuOiuZeLkc+CuAzIOKhSAHn0EsEjM5RWDGkSLsnmXnszO+Q8CbvdqrtKgELAIvN1Va++/
CJMpJU1VoYYYA4H00CbWo6vk6+1Hr4z3UhcuGQfwjXpG44EY8Big517oB4HL+2CsyI/bbay9vv3/
abvJcixxy6B4ffWpbVhUZeXGyK69/iJclt3sScE4i1mqT2b2yWrEzm7gBi628CvXSwqms8h8x7xP
SlqONLZc/x5+q3tX2CchnzJoADVyjICD/VVnHxJvxFRaLL8aK6+FJiWNc3d6sYj8Ah7koXDsDHrC
W/CSlT7757rAcBvHYNSJRZPoowcv42ZWTlhSW0e86zZGZiXqLq8OBhR4emAMknjw8k9MeXcumV5a
5m3M27XHX9K9d6cF0uK9E7/yY+Zl/tfJq7uXpkh8iEGZ2fjr9rxda+PSge/amDzICYvJY3FKqhEu
V7PooRDdG4EloA69sbbXGrn8/q6R0Rt8KrqCxaQxHokevnCjjrNm3Fh7a4+/rMl3j4cRKsoyMKiO
y8l97jLzM4RjDk017D7WRYulnbeqRdnWt+OUmZB4A68kwX+y6GNPX6zuwRs6NSpmxy07wNQH1Lg5
BO10492vnwzMpYRc004DkQhNMWS2k1Hf+8k3j/UHoPlCi+1vf8HaWlus56RLOqPFyoqTIvklK8gt
jxQka48WInSrYaOEcxnMf48e8ML8/0FmLK245I4d42D1mbgScmtsS2h1pZeWNfNO1xxOspYdk9qP
hk5+dxSAlZVwn2ZvkoHMmk+3u2qtocWKhikiPKitjMZta8mvuphVnMi6jwq/TX/WmihoyBZiozC4
1thiaRuzGrNRlixWhg4ncfQc/y5vj6XWkP//fPuDVhCq5rKaLjIPsuQu8WJrormF+9/R+6lrL1EA
nqTpzsvhJGrKkexb3StcnJHpE8wZEhFk1HC26hEr+9dS5irtLIBvZ8VBmuqPMDLYz6UXjYSfTU8f
ROljdzkn9pYTzFpri3AzuUNS+e7Mz5b2YtNgAdFJ4LD6Dsv2Htr3+2680Ni37BNXmlsq51msqyE4
PXnx5HoMtB4HsU36Zpw6PjwLsLoDQ5VQEyigIBirTPYbWfJ1nQhiLi8aGmUI1hiGHRciMWBiMreo
dnYWePCQ1UgffegiBzRPGLSJzWSOVKbdNytLtgRQVtAb5vLWIbNZJ1yWO/EsJ/1qcXJhdfez7US4
a8jpySnzEQIHvT2cAJMckoA1uZSR2RArIEIUu8yZ+8gGp/Lr3FX+RkR1V+LQIlequ8zrCsLd2Pbn
52SqQf4W/RQYYnq6vaTWAt0inI6DDSUhYTgxZOHaElDr3tlbA0BQG5vxX5vdK5F0eWEARFI2c6Jo
zLIk6nS2k3x8kV0bTmBmg+0bQjcq0Lo+FF0ZjcBRIm3eAZ4zqs9C6tA0X114XznuoyBtUNrlEYYP
G527spUsdfwaqGi6TTojNRSwMTeysPGOVTE/VuzLhzp3edEw87Ya5tGlOPqln2ucZQuSbozbCjAC
LmH/v0N5vWlmVpuyWOi5Qq7pUChZTEkfj2OXRbMF7tKsHT8yusndwTAOhrhG6R6ysR6CSrcqcphn
/7r9nddfxnKWKuwwIxv5KFMXeBmRHzIk3LArm1X5BYIL852cu/JVV2UWpSozIptWSTQbNg+nwTL2
UhY8HGWfv91+mb9Xav/MOMtZHsDKfur7i8rHuTfY8DTMZXbkRoqdAVdk6UH4Pv8sKR1wvUe8rN23
qaPcqICrAsAyBrZk7JjFPi2YMEMuFDpOp/YQG1Cu/aX8DpZrEjXvb77DERE9o8q23KSvLkXLWQIz
fGuCZxwkQM5wi3yoSu9siS248tUwgkcvksrE9zvXg7IIjLRmgGWycGKYBVsp68qLe8ukcmA1nJjB
U7d6AZl6PVZhz9MNOOD1wIy5tQiBWabUYPPBBoihviCLdKC4Biel+JEnuYzrvvtPd8Vr1ediPybt
rvP0sa8FkmddpgHxP5RN4T0WkbIBh26ueg7knKx/upk6K1pGlhq9sKmb/xoXlj23J/DVsGQ5S2w5
PGta0uEYAGc5dwrKCsXAir8aMzT1IAr7fLuRlTFbQsst6GqbXOE+OrFKgOgSnJREsXEhsfbsRd6Z
TiJPCzsnZ1XacCVMxic1bYrrrD18EfcsKxtUYjXYnNmwb71z3uSH211yNYNFv18Wz7uDXVZkTl4w
ZZ9nmJA9A+Q8PRtF08SGbdlRK8vhQXq5txGlVlbkEizK0hFxOi+hawjBSuciIjw8TOPGl1xN4hAB
FwuyHkyUAS98cpBqgr5/oRrW3jkKoNCeh8ViAK53YFb+xnxd+5TFAjWz2udY9M4ZYR6C/DayRgLe
7MYhZmU1LOs3hUgl9Q2k1CqvgxFeDpBZBwy8Cqp+yw5tZeCX5RtVDcYojMQ+t1BQYr06+vBDNYwR
uNI6IP0WE3+tmQWyYcoH2kJbvTlPJA/lPIZwx4n7/mzPsPmUP25P4pXuWqI/K5r0DBVxSBIqB3YU
KWTP+r2rQfuut+orKJ5dy0qxnSzmlwWVN0oNbPdS6DKcdMWeVS3gGgY4ShIWfZI85QKCvYHTm/WP
SjLyKfVT716YHcZvcOtwsrQVqhF/GviN4R9A3YG1Km78yqOjCOze7N4qomkyoao3jz7KzHy8Y4bF
d05Z0qNM3P5O0opGlWd1xyzXcE3NXMFeiZlVO6PuaSBKle0SoeAuB2eRUfXQIp5xnKky2GlJB1Jr
lZ+A2Mh8J+658p4Lv6lDyuvqsQZ44wGJdnI3wpsLYwWJv8ADHOMo4CICjUTczbSeuuiHjb6O+klC
TVnq+XWSKj1QC35ptjuOcQv2X5xA68QP+JCIh7zzWejZvh/2OrN06Ji28zOB3PO5xRny3tPT/FbZ
5NlR2X8JLGDHzkKZZoLPHe6T+qfc6yKe9vvUQCo9DFl2mk2RRS5tsKZ9lvixPbnyrsINSBf1UNyG
VLi2wattutChdhLpSYqXGXoJJxNrVUSVjZvNkJtU/YcaGQlJWrHX0vITHZVDSo5mAw8dDKnloNtZ
E8HYSkSDcszA8fPySaWQbtoZODHmEW/z6oOqWssyUl4TNZiC9Ujg3PloDUZydqek3XuWKz60/dnL
q2VCyrkxcbA+ZWIM4bKWBKTaXCArAfHvffa7jcToROUISWvQ+6EJNKq0C10n60J4gHzoDt5ylvUp
e6ggyi+T+tw6cA6e2j5UpvHDwFjBXGS446OxtdpXPmZZrZKUNVAQtkHv75sp5sbMn7uZ25BaZvrL
h2LWEunpO/Az9wEmODeWMcNq0isP/pR133QpZhCNab4RG6+Xj9Bri9wBjvVdITuAxj1qyztRNO2h
biX/BWZi7YCUCJ1G0tX9uKNV4TzXppn/EZ0jvoCvQ63d7Y9diZ3/lLAqVHPSzpPndGxFWDfzvsQu
Hd5++Er0X1ZvmGf4c54RedaihcBL+avrkegjgkd0gv/h7Uauzwh7qclQofxDbe6x08R+DZYZqPIN
ThsbycRa9yxOKt6Mcp6hbYkVn516TxwZ/xA/CqO/2LWqaaJdpwt5rvr+2RMJHEmHcQ4ayOEXM+7q
bvfO2hAssiE62V7Wz448T7IKRd59tbp6X9Pkwa7d/e0mrg+As8SSZiNRxHYzCSBGD93HIoOhlmHe
V8CTbpS//y69K2foZdWmtSCV5pfaOk+maAG9zhV/KyYCmgfhVMaA9ldPia3z3dQnw3FoR3pE8+mn
NLHHkNeofjLQsA9+7utPrjW3oeu35BGl0y7ycTl6cCRJX1kyO01gd4Z5sruRBAYqGXGqGIhJDAKZ
VQCJO3icAIO8BS5dScGWRROKG3KzhDjRmVu/BuYFw8hBzjeDzPjR9VvH4ZUZsKwPW9h/U6CHwRNw
gd2cqil95D4Rv0xzcv+Qyt1Crq0slWX5appYi2HpuzPcej/PzfCcVvp4e4b9LdxcG/9LB77bwqre
H4zSBGwdW8oDsRUHVU5b/IFbFgQuRK7nY2vm9hBBEkB9UQXpv0uk0HeFbZQHYVXkTnZ9+xk+tW48
KV7eN1jWO1Z7xRmMwcYMwXlpj5JxEuLGy/nh6obvmUzJz6ZX6mxCsu2QiKqBf4en+h0qdRAnTnxy
7AZD76FmxA5ZPc1HpwFR3XG4fGImF29moSygtZxsn3DFAKVM5a7KveEN2Is6TvlEg74kbkRbPh6n
Oa9iRzXjfZ5O+piyxgk7u8hO4uKzA11qW4aTMbL0yBgfdi5tyzmou34uwo5b8qEsmKOjHGAeEfse
r35x5sOwQHEALElmvpEJp9/b43EVw2SBHf//w9HKaqZ9ydmpnW1Uxesg9yKnHSOS+gfZpEFXxbcb
uh5a7KVgjQLsJXFySU9a6fbkZAmJmNfrqGbWlt7HWhOLY5A160t1ZpzPIjn5Mq70fbZFbVpbEZff
381aBfhpq5MGgFfYTgfM7cnnAUjqjTTl+iA4f4uf754Ok/vZBg3IPLdNDt6/+Qzg0KnIx5eRZgdV
sD+zOW8Mw1oIWWxVTdkIrhBvkSSAk9/xGEzHoGBfCj4fbg/0WguLbarlmsHcFLLcxtg/mNOA0j/u
mlN4TAcg3WxxOa6PtbNEIJOhhO12ag1nhTs4q/+WZ7sUJf8PfcKShGjW0qdpKZOTbl+lo4IaSivV
fG/4f24/f2U2LamHyjCsseLgOfNGlFE96JB0fIvy97eadyXCLoHTk10Lq2yzS5VaA5tVmzBbGqzU
RW0jo5HlOunTNKosrGTu3428hu+4rLkMRWa7Owndmn2RNNAkSN7cAG7bltMHmcXg35tD4ghkJj9s
OFRt5AygU+CyjO8sCAmHLkuyUzG07g7wIfkMR+zx3nGZ3E3Jbkim4QFiGe5e1l5W4QQNPZzUnofI
wx3cJ2LVXpDNjVDhPGbJZ78e6LfOsMmTRdr+Lh+LKfYBvv0yiSS9E0btjEEt8j+tMRiRxeoumKa+
yxCQu+Zeju4EkwSHayRfxhRXtjm7kZIyxy3ubB2UYMYjlGGkubs9mtdpRZazhJHDA8LilQWnWNQF
9qXMo1qVOyiAQRztYBruZ5p8MbzszulfIQi2wwlhI3av5BxLnxHkyjTN6jY5jWbzh+omEr0Elal6
EbA5dOjWBebKgl4ajswAKnuThaWWTDBlL+woJ9Cj9T6DWBjd7sG1FhapeVdpU8wXnYSLw7pmOjDZ
jw6+9JxuAJzWemoR9YyU4KDZmsaJJSakhmH8SKpjxk6kejWy6YNRYxH4HEMqe6zxFY3/aUQJMeEz
PAHvlNryvF4LG4u9uudu6frpjOIrq+FzodynhPtbfIKrXQQ69KKLXFozY5yxczquCGfXIlFStPcw
a/wNgKEVlhX7fHuwry8XtLTopxq0fd/W3XBuJz3BYYbj5r/Wb1ndvKS9Z+08R3+To/9clvYJyqL3
CVBRQc63EI5Xdw40v+jFRPpF5SGhOrVSRIoZ0BrtduO0JTl1dZAIXTq3VFY1tVZmQ4o8LV7srP2e
qeZjwjd0adbiej4qpgQQ/JYBwj3LezLC6+T2sFxdg3jvy7x4l4OMXmtSoyoUlO/hNdJ96nEHKef5
kiVvrPKrdwdo4dLyuxYAbvFNdwahp5sKutNCv5Wm/dhyueeExhnKn2ldPpVGtXG/t/ZFlwnwrj2X
NyyrHaHgagqNxIFo+sqIb+3H2fhGzE5thP/r84n6l4nwrpnB63tNDKM790U0WiIETifc9hxZm06L
0Fi3g5H1XgrWBfuaAY2ktzS/1h68WO/wbIBTBcVlo9XY3ySU0hspD7en0vVQAqm7/+8ROVdJ6g7t
hfgk9q7lPvTSfySolQel6Yso6cetwyQe+E+mgxm1WMqprDM6WxIzqr1Qq6rIS39l7otuio81sHRd
MTqDyV7y/oyzBQQHQJ5NnlJgAvv20+2uWiEj0KWTChL9dLL7BGYWx2E/h8nB3PGw3NnHSUbjvT57
kQ7vxjv5oB6KY/Vsfckf032xsWOtQKPoPz4rKVe17V9a74O6CNI8yMedMe3qvccCVwb01+3PXFkj
S51dY4ZwHgOY7uz4D02PYYLqY3T70SvzeCmvq1LqaaczLjTBIqqhYy5U/sFHX5p8t7LhSGA3g8Bb
a8N8S8QQ1LTdiE3XsQeELkudvguXEcsrkngmxDmOguPitBgtpw58zyrPJbP7+zoDWm6cHfjUGK3e
WwgGX8dkSIYdlO6GL5nZ688QOLQ2Pndl2S5LAWMlCTNSOZxw6zIHyvKjCvyCBtYjXQ3tNlG6yUaA
WKEx02UxIG/6BNKmbRIL2Jzsxkw7LzacSS8nazaBWFiVzykoSl8rt/gDkYB9p72wn/WTDeYpJN47
BX/nYfgyTFb1CjwmzC4zavLQKJMkSDySfL49t1Z2rKXWJmmygdlmpk6wixwfVCX4UztyJ6R5we9K
OqSx7eQdin3NJJ4Sx9niMayMxFKHcwRDKetmsz8poF7zpmY7v5ljYRcQoYEvpmb9BqdvpSG6rJhM
QlOaoKHChaikbmGZ90AzK/CabzZvN6LMWiOX398to7ng1CaF3Z5GXFwlQw260MyKwJmq3WS7qPI7
/ENIYbp0F2kSv+R6qrvTQBxzl7HyGy+7F+Wrl9bKWQRgp9r4Jsu+vvXQS6R791Fk8FGLTnh6ThJ3
mMNUNx3fja6Y/9SNBXTh7In2l4Zzu9rZqcyfyt4hP+aJ00clSIPdyhs5DzxTDBAYHF3n6Hvu/CjT
coj1IIY00KnhRwyVw5+9R/VPZqV5FYkcO6o9TPYGF24leC6FWGFw4PUomLcnluX1Q1fM7r4Vxla5
em17Wcqv9ikrG5LT5qRmgVM/Y7p/yCcYAADznuA+HxxF40nkA/CaUvt039kqA56kqdo/txfwSgq4
VFDuDLeaQX/sTxq+zZ/qMsPhlbbGA2tH81j2vdpInlf2N3qZJe9mQyYk4QOI0CcLXg6v3iCbEJxe
J4Cqk7ERi1aGaimhDDwrqqWm1Z6gnMt/uGWeh5CsSr7e7qi1py9SNlwtlZgKDQKBdr29sir/wU4b
ZyPMrA3DIk8r27nw8yRpThzu5ocGvPVPoznS02xNOZC30/DtQ1+xFOMtW6jAImVrTnZqtKHp+2PY
pdbTxx5+6bp3Y0xd1K+KQaVnNtKwTPKIGr9vP5n8BZBeSWSXKNdUcmsULp59/m4EX93ADcrgF41Y
OIZucH8ffc+CfRPcfz2fo/s9/nmM4328v4+i+/vXx5cyTIP4Jfh5OPw+vPyOfw/Bb7W7ezrEcXCI
X+Mg/n3HgnB3KILdw+m02+0+H4/417fTp/B4OjycQjwnis7HEH+zC0/h8Xwf7fdfo+fLn4Vh9DWK
jtHXIw+2rmJXA8Pi8EFpOtrTiLgDyTD1PXN95zmRIzRRmZ1ho6+8R5JJtjNoQYJKlE3Ymnbzeru3
V6b6EvUJKm7CYXoK7spIDx4QFPmcbUyRtaxuieScR+3yTng0nnF9AnISbCmNozn8l3uonOrm6Bgv
YzY8NTgmonGLZp9B4d8Rb8vgfSUOLQGedqUdXDyrFigc04knYyZfJTHKnwZP8p8f6r4lvNPEeauc
FAXyvMuC2npz860gSi/B5soqWCoHG2aWNlbr4HYI3jtHJvPvuQ+dCyCn7FkEpiDkdz85PIWnYV5H
+SDN196Zi9c6ybw/E4DXBzhQkirMcDluQnIrESHAOCSaXL3L2jxCtjgex8mxnyWqx3eNabQ/2kHn
UBrStc4Cw225BfP6wRlDp7fwib4At9bvxoPWJWqeFBDhIutQ9ubTmMEYXONOQ6OUCIMxKNpjQiWH
ujT8336tgVYTDi6BvYoAHylTZRQBB5YJgCtgYxnokAdQQPw56FmfgIoPXHCHEwCHUDl1RlzxQmV3
l1k9/kLgNv7RAj8tMmZb77wy9R6gkzW8QpjJjpJWJThRlW0IHEDxtR3G6tHrvCF0JsZ3wCV0YzAY
JmzNE4EKha1soN9aOxSdau88g26J3a6sqyU0VPhDQTpitqcuhYxT4JuFs9NVnn+MWE2X0hZZNnGL
S9GeBHSlnxKR5mFWNVvKSitb1BKiC/aiyUcMIPSkXyb2ojWA4MbJEfNGwrhS9aRL8WdXdESwQeLS
2m8e+tE40LSIu9qHep4fQmUkNOo2Kmv7KW1t2LTncPUok40yxsrQLHUwUkjoOV6BIhsqM0B0PHbp
2+1gsJLaLxUwZpOMsFGX7SmXRncQoBIda+E1j5Qq6wG04uKkYGi3u93Y2hAtcpTShqiWqvPyJK2i
hXmWUPf56Phnx8wV9MqG9mM6p3RZoOatbbsdHxpYxJq/a0idKeLmATTxN7LF6x/iLc/+dJp4KlDM
hSeMt6tL2468InsgLX3wVCP3H+utRc5lm5xOODjQGLb2zQAiAw26/qH+7/bTrwPeCF0qQkxZPtSA
f+Yn1+9NJ0jALB6PpOEQw9DwZm3DVinYfIGXrUggh961AwGdkSawVO8AKZtvCl2uzMGlZEiqLkyz
zisArmD13kir7L+pH2wS2t7U7lI9lGcQUrcA8Cs77FKewtVMKp8iTpgVO3lK3pncfjaou3Egu+7z
jH69zJl3WeYw56auJEhtU01nbAiWHKHIx6f2C3Km6c5NMyu2PUu9kHJqswBX7dY5LZ059gGLzmFK
kIxRWU1G5NSG/TY5MKVIqzLdeL3rM5f+o6B92Wl55ciTD2r6UScJOXE+6Hup7c4KdOcnGzCxtUG9
RLJ33ZBOBXgenlucpsyC/yj8fJqTMeVl7Hk0jwhHmijHeUuLdSU+LikTkzmUblZ47amac8j7kro7
9LSmG9H3ahXJsv7h6hVz42J+9mf4MHiBPfnDo58KvdMAaUeZdA5c9u3OSlFwA0P/7fYCvfpJaHQx
jxq78ayRASw4SvK9K9NfJHOi24++ugTw6Mvv78YGj63h0GJaIGXV/5kWyCzgT5VPXj/Xh9strL38
5fd3LYBpQGWRcevM/WoMeoM+Iu95vf3sqzMLb784qldEk9acGYG6zxB6jojGvEtBLoHzJe7AHvF/
Ng4Da920OOOkpLHTEo2BlEGyyPP8PCi8cgQUvpMbI7HWT4sdUeHOnxHPGM/KzT7TOdm3yfTBblps
H/6cYecmejo71S89NXCc+caMOuy7+xQki9tDsdJDS5iNVGDWVb5JztR2FZAgsguHrmxA/v7YraZl
LZE21AB32pdoghsexZFiEHVkJ0V9hMjofPIhlLp1N7v2MZf59m7OdiaU3AxWOudySujbSPv0AMnC
i/OQm3653V/Xj834msWihmeLhN5qTc7ZaKYx3KpUWHJn+JKn+XxofOhWmbh8jvPWSeMp52Woja7c
qK1cDf1oe7HqYYKOe0gJ+3cQVf7k7nDWnQt5dsJfspp8JOqjjcs8f9eHgmTWbLUZOftI/w9tncw7
0BV5hDMt2Q2Ut19wQ8F/b/TmZSH+c9xEa4tIkJp+Wjd+A/4XG91PKETIkyZz+sJI1p1ckJ8/Q7nm
2+y3ULkeZhMwuZ6WZlDkPn0ueA0SzO0XWZs5i0DBijw1hGbN2TWGyLyYznDgu8eNRbYS75bJbK5U
2TZkIOfC/mMYPaQIc+RgTdB7P+xkCwC/ssUtMRWFUGYOivEEu3fx5De5EQO4EVqWe3DB8EFd7uBk
w7epTLbECK/3GTwTFjPF6+YG5uvkzBCVdqJiCXKEpgxE3W/djaw1sbgbKceSlb476DODrUr1PCRP
Ov10e8SvjwkoHv//9rrqXaqlMZ2H3tvRfNxPbQfCb/2j86pd4w5bZhPX1yxZIi6IOzGn6DPz3FWn
DPLsczcdzLmK2nmjbLzWR5ff3y1Yz7RmzF34pypufDITHpVG8a0rtvKyv5vyv0uULLEVaa6gfqW1
PPdDBmy17uejXVIPh4tkBpigkNALL/OzPVj2nUF76JUUnise3Nwj8L+ABfUBcNetKvbaxy7ixTiP
juYeyc80V23Qec0OHmMWzBS29N3WpsUiEPSzVXqGZ+ZnUQwhOPu72oEIi+W99WX1MBpdtxFwrqcN
ZInPUHZVpJWbIOAMFSgrdhEpMfHo9txem3OLxGEc+pq5RqKhYZOGXWWAvtgdQRlErXBLuGbl/Zeo
DD9PfQoRFfirFnnUM+wP0GW8/fYrQ7CEYzSWY1DchcGAqu93roAM5vAZu+5u6liQbZlDrkykJerC
aQyvqu1Zn9u5CUd7n0BSwN6apdcLTRa4MP+/JjO7ySFs3LVnotP21DNwqEPetEYKOa7MB9Jjzva+
rejOyNzigIoxbLpZrYJRUQPsUfdjxwScbf7/Pey+cdOh4iZMi958G/6e5GB4Wzq3a124yBRMxxBc
1MhGuotYEykC4ry6agOcsTYJFgsdigIaXKEKbz7meudKD6zivmRBUblt2E8+xT3WRD62Xpbae+M8
1I4s+XyGyl8RQGHFDqq2ryFFYYaemLfcIlbWzJK97WcZcAQKJpIQATeDpHdwm+M7G3nb2mgsAlcL
kSKVjS62SpIjT/umPDco2o9l1mRZLusYaDcOQ3IheoBD/erQ9xYk8rZgifQSma5sMkvci0pzObvK
A3WLusbvse2TInRa5KIhpF3mXeOM83d3gpgMYCgk28PDmTmR5aT83NkTPKLsvr2gpRR39yNJetjL
emJHIBdvhxQY2ken1HMwCTgnh2yUTmRAxDMNhdt195D+4JHiRR1bsJ87zlnu7UvqkDve9POP3tLJ
16Qb9SdaQcOQ+RCOGmDxFKTG6B+5gLwR/CCmSNEOYorEqecvFeilwYwOO2qQ30NdyiYLYTfevw6w
iNh5Y2/9V1dMfOqklKfZqOULWFE6bCbNY9vuJ9iF2wO8SgqX7oZKs/uBCh1Znm8c4Xrp0sArC/9U
S0rDHuqNQWEU/X6cUN7euTy3UdkzqkNXcwSUNuES7jaT/UPnPU2jooBAJ1RyhmED1b2y1SxRRGyq
gACclT7rvu0D8Ge8MMvBjNK5EOHQdM+394SVpbMEybQzaaHT505nOMnysBn4HEByeUPRZO0bFqlg
yfsGhWw8PB8QlsvvM/9FU+hEuFvshLW3X2wHOKCJuiHIlPvJ+szSST5JVIY3Fv7awy+/v8v/ODyU
yaihCaHywdwVQL6E0gBv7mMdv4jDoiZd7qD4cHaT1g20aX7l0xTffvZ1AA+KcouYBSHtVBZdC5ma
jKI0k7W9fgJ5X78RJ0HocqU2wqop2TOErt2dZ3bT0WSwyGgdH1eFTUuhmTMopH+ZsO+BbbaDemyr
R2gUsnAgBTtCjMK6Z2DBxJAZsaLMd50uyJLK2Oj7lV3q7y3qu76fPdwetIXXn4sO/mhD7X1JibrT
RQFLFypxC8e3VExWwvvfwPmuJeq6rjnZVn82fXyw8NVD7rM5RM0suj0YKw0scXa890ejmeYZjhUD
eI8ETN+2TbxvAnTkLXz7Shv2Yh0wQ1opjvjgdPVwsFFvhekfgKrbmKprT7/8/q6LaskyMSF6nlps
rBnhx8a80+kWxnXl6Us8oOHjcsUYIYNlyFfH7qJ2+lH0W/eqKxFoiQFLa0jy4dI4OXFLhZObBqn7
MKA8bRlbucfa6y+63reSytZM5eceSpkQ3YIY38tolhvl9bWnL7qeahOwnHlkJwc7o9veGcWDOf78
2MRcxLd6tElZM1RBXTnsC9eeQa+qVWg5W3cDa52/CHE58ewKCnLkDHUjODHlpxTunWYpju6HLqxw
D7CIc8AFJNBGnBH/x+9EfjWcy63VxkFyresX9WeiMk4RSFFbovVRQuwkoAVk7kdz66S61j2Lw6Sa
Gw6oKHHOFF52h0yRbo+zcQVlPQl5H/AZNzL+lQ9Z4mbGeRLIeEZyHqpv1PzpmlA43EpfV+L0EjDT
IKtCNRNZSpnx7y61zrVjxU2DGiIKM7zeYumtfcIikfBwJG4yqfUZvjw8bnySfoGlcXUoy0qJjfG+
lL6uZMpLCIYeSe3JDgcj7C3HSff/4+w6liTVlegXESGE1RYoR7U30zOzIcZiJSS8+Pp3alb9uE0R
0dtaQCGTSmUec0YRC22//qKwALEkqKx+h9vkxpysVLvNJSSjpSZUeX0TbXjD9L5rHMMMqoh9ke1M
1qp7yPj3oQn3nhDc4p0NhOHO6aet03Vl5S0lEynJoaWFFDuG7nvy5F4k65UHg8CuVeToF2OycfRd
IskHQ7rUVRkqTyoCH4qzgTJwoCzzZwnZ0E9Fr3+pz7tDCQsaKpQEPFi7Ng+dyIFzyspLvmNvrIeV
QVpiWpRGZ9kycDOr59uy+w2f4oDouzJpNgZn7fmL6GhBPSmxCts8q2H47g6c30leGTtnmvxfuWRb
J+Da1lmESFiEqDGfUA+rmqrcVUIDQC6Vc7YNulUgX3vFIlLWrYJcqYEvqevfMGyLFE2DLM931yd6
bZwWYVLknYAXJEf2ofI4Gby3ekz3qbDyHdcgR1x/yconLBEfuLsJYTe+FzdeEozmfd9eCDFb6dnK
PliiOObKyVzcv1lcNMPetLNHpsXP63/84+aEuYRs9HlrZzBD8eM6s1VoAuN3rLkA6Mpjj+nYet+r
LOMnkxdyX9ZQZbz+1rXhuszVu81nGJPZ1WPH4mos7mihwN6b70mrXq8/fmXKl0iMPm0BdNHmfO5d
uNNkjwaX38aiKIMtf+S1/3+ZqHf/XzRtJWrXpGdU1HU0dQC0UkiHhk43G5/b3kvtWFGpnFWp8uNW
DifXqP/2yg+1xw5EADh5fZxWPuM/goLEINMMibqz4I554ElLwrya2ijl6dbeXpmKpagc86a5IDRL
4lpB20Vz6EwXQYbKYae3tK5Xcoil7lutpO5NoBZiYdo7YyYRcW+S+bkaajQlXz41UkvhN121Mu8p
3sHmbscFOYm0eoA/2sZxvvIJS7U3Py2TuvaVPpNCkidSje6+bsr8qeV9GTIb4GiDe+Xb9W9ZSVSW
um8l8YdGCag7AjD6RH0rzF0rDRI5f3WHnoVF7/zt6i3B27UvW+z0eSoqY4KQ6JnlIjl7PswvYDyi
dySbiiZIoUT9WkEy4ZOX5aXMG++KqnTqAvmksHiYm/QOYtevtmU9XR+7j3cMWaKwoTvMyOgXLAYb
McJhAlBUCvvF4lNFu/861DVKs1GihjiR9mtnuHsvFzd9mz5bm6y2jwM+WSaObgEHM9/xgL3opv4w
WOVBUbh4S45+lC0i0/CafQad+8TaEk9YG7NFsMwaWRXWaCVxCrNQs5gg/pftioZslHouj/lvkvgf
H7vUKPMcIqE4371u187GN7dh3z432/T/w7xdNvPQ9iaLff9NN3MIk/udrA6fe/gi65mIofLUI37M
8wq0e/ebpdK9P+SbPJJLIvjRwCwSH5+2poNrFAQDLZTr7d4r7lup7MhOzGHXFzW5Txxf7Oyk7mNj
kE0kWm4c3JrAPoQ5czS7E9k4zFaWwDI9qnFb8YjEHDGVRUJIJ0gzDbF1/ilUMrAxl1j37kDmLfFm
U1pePCiwIWSvk9B2+EtLttqqK9tmmSeNfV4UbgtVFNgZlkFvupD+HOldXSd7XFkfde3xUAv9DJ3J
39fXx8oV7z9ubD11lInqxGX+zGSfd+1O1tY+U+6vwp7bYLaKLxdufJ3nL1MNPuT1165sp2XulJjQ
tuVm5sZmXxlB5o7Tacibanf96R8fB2RpEpChfeOnvK2hTFVB1Tf74tr0q1mQA2c92CST3nKL+Tjv
IEvUamuZtVUNFcKck/xNSPKdaX6PHtnZN6ytCs/axyzCQ9mNnl8LJs+WW9Yhlrj+RX2Th4atze8o
Zg+3UKlr3q6PnPkxAwhrfBEwCtCyTA4YB5TojOqnN6ZNfpSuaznhmJZZfyoqcHpG25JGPA62/Qra
YvtmSMOBp9yU3zi5yeFCPF0cCSEB/WzD28XCkA/5sZD5+JMVfvFmqdyXQZ4ClucPrbgxgVnf2Yap
aNT1pHyEbHMbGhWlUK+SkCTsJUwfdt4A0ncwlV/y6pdD4atKZtwgSnP+KpMC8woNv+++qtrAyif5
y5wBIwgS9O8a3IiL5ktal+xY4KjaQeJ2uOlV29Y4jUj7K9d+dxjgahA2LjH3niIZ0PRgzbhW6++J
Ts03ardZpBjuWy7Ns/MILZzDZEzjFAJAYLw5sEfa0x5tXc+bOgjpOk8Jd8aQG3V19O1UjCcnM4QZ
ED50+7mpfoPXj1Zzahi3eeaY4QyebihoTiPBIIlYTNO3dkysUGSjGxkDOoHF5NN9AqPfl5m7UHPT
g7SeMKTzn1QUNrjiXvM46uPgtxf3OyfVZWhJz/7d1MWfzKWpCGbp0ciRHEais+uYiI5I/kDqcp0v
YoCOqQPnkNjWYtzPQ0PwX4H2eyXoZMqAcgOz7idWih5LiyZ5Ar3zILe7KaxGp+cBqxx758D2417M
kHJPStJ6N40chmDQXRp4WYGkvIFPmwd8ZJvvpT8Kiu9Ppx/+iCbKPi/95FhywmOXDPRojwmBe7qV
ALjCCv5qz9x7c/pBHaFanaD5Q2GOgpTOPlrad0bk+qiDAOeCQTCsgaHTObf6FzDsIpY+yw6VU2ff
hNdL55hpzZKQjumETmICIXind4x+J0vtBzUURF9sL5MkMOC1fNt4ZXFHuJ/uyjKvQtJWQwRfBeen
ZjbUP330SoLGsy8+LSkU0msfVLkaWgoPPuMa6Ena3oFZXt/XsMB7KqzCODadm8OCeCCuHdhVmg0R
r+BPCrxUWsFl0yL0+fpOXouwi3OZcUtqm7P27EFVUqsniMBsXCNWgt5SUV8lqphBo+vOMKl8I5L/
ob598rP5yEHQu/7n/8mcfpBVLCEZCbAFura96pwWGDQFSPJPUQ920FOaxbTvxUNVZHU0NmaXhB5a
A2yfgjv2E4bAOguMhhH4DxmK/s3sNH1BvRqSkX3R0jqqPNf0Ap/X6Nhd/7MrI73Edcys0dAS9Fso
9kKGAAa2Q8hKb+PhH1+jyLJnlvkjw66Z2jMlaPwJlZzHnN9nM8y5HSjrJ8MYDmhHXf+StZm9JFbv
8hsx6h4XUAjDzuhBwVsINljHPLvr0i1s10qGtizpEm7VWOFNH/tkOKokVcjQ212Rbppvr33BolxZ
+AIucp1qz7rxYPPgorQbKlG4r6jD138RnLf8RNa+ZHEqT4aXGl6eQQmawqPZtf0fiVfc1WyrKL32
IYtjuDa9gjIOP+6BtfsJFoLa/d2kLWLGxsVgbdUu4kNHXWJzeGPjA0qITM7d17YvNy6YK4OzrGN4
zQxTm95W50x3z3YCKdjUhhH38PipZbqsYzSaMUMTZsZtqfuwxKEUOlog1ZC3A223ZHlXZmBZwMj9
llekHmtU1t2TR+hjmqcPfGj/lFRvRNKVOVhK1k+t0JZrSzRzvLG50X6a389TqjZ288plYlmlmDKX
Zwq1kLNbHQYPEjne155VO7u3g1oMe6vK9in57GhdPvFd6ChnY2CXPu25mgGoNO89JwbVIxTVhq7M
v3/9wYmw7KTwuePdJAn0qw7JIT9Oz3Xc3Y+3cO2IjNALIckT0r2+cffVsYnVPTkCpHZ0d+7u+ppb
m6rFfrdm4cE5A0t6cHIoiv+12afQR+Sftd67gRuQonRt0qPFlvcvKe/zyJySJwUsjwuFwI1TZO3f
LzY7kGW9aFVFzvCP2QG5/ajsrQ7XygG1FJOH0R+873ybxdwiYeIIeJNMQZZO0BT6NqGfVjaf0xsm
S0l00vvckP7gAz/J4t6CfpEr2pdkTn9cn+KVDb8kCarRkOXoe/O5zkKp3SCz73Urg2bgG1nNSlhc
EgJLq5WEew4A33UasiRpgWRTr7AP2KCGrszykhVoQOhnzLg1nz3Z30KsaGchCb8+NiuX0H9qG+9W
qQ2/ndTKRwEm3ReqbmTunhOiQja/zE67cSJ97CZJyT8KwruX6MkdBsBX/Thx5cuQWwkWT+bcmtRL
/pgMNmlAJFWPZpLAsLwHlLIvDLKDH4u304Vb3iu7aM6AWKqbWqDHUNeTr2FCKdLD3LsDEEdGCRFi
Q7wZFtnikX9MwqZkqdnq02qGIDJQoZWA7IUz5APSTwEiKewGoaMcMGvwQsfBZDTE1892ZpXgzfY5
nYJWflLfiy0BRJcinyvEPMUlf+PqhlssAIlSzvFkZBuL98PdAR7L5fd3k2NDPrnXnSPPnvra4W5G
8nY3WDH3ttjya7tjEWENAhCUwS/uYjbKBDO8h6jeC/LJove/CXz3/3Vh5YkiSKjqOT25g/sXPYmI
tekrNdRGAFn7gkWULQvbJXULRLxKxjx0ZQX9e2vH04ZH13fhSqxdsjVRk8g1mWChMLf02VBwQQbU
8Stm34kGI33SFRzpCbE39vza2y6/vxsx36lsM1GuF9eF86NNx3gm7OyNcow6i6Nmk/yVJtlf/7KV
0LUUTE8YdLOduoX0bSW+uH53q6bh9/VHr8zKkrFZwo64TfKiP4umJoGaxG+amKGcdLJxuK7ExiUt
k/g2Cl1eQ+MyeVP8AfykE/h3cOAs93P1yRN8ycukwN92sDCUZ5VDp2KmsS7UxgCt/f/FnaksJFeW
BP6lYG4aGzZjR1KnyRsK0fUevjp9CHnH7Nf12VgL8ksyZOc5Seb0LY1hS/DYcTLeZLS0bqASPOyo
p9CvhaFXcWwsY46z1Bn2uWr+2KOtdr5NjKgH5RDivn3RH6UgELNwe7TgSriIHguQN28dFOm+s5Y2
t2DNpxsz/GHsQ5BfbOwBHndpKrDv1CCjLhEQDLLDOv1Cp6fro/LhGgWV8pLCv9tqRqElapYuUo8J
tIGUfpVwbWNgWG4E7w+3Mp6/2MowWKsMT7UkztGWiSoHOKQpLatdYUp+rLIEAK7EL0M+QvL2c190
WWzvvsjsRJZyPpI4dZ3bzqsOnZG8+OkW+WhF5osteZXCJ03XDr0ZCz48dbV4od20m7lZxj6scOPO
RXXPL5zipDK3O6ZUVm+1O8KTq9J9YFgjrGQFxFE+97GXaX33sQY0cRy7T80YZcvftMrv+yFJYZ24
pSn24Q7F9F2i5rvnt2VtGahjebHkOhTNi6uMwGJD2Fc3CZL5z33EIgzURcH11IMs5mUCOloPg9QB
bQ6fezj9/y8oU1BI9YwRMv2G7mwNi3XhU5T7GaScr7/iw02KQTL//xVd1UxWU2LuS6h/2xXcy07Q
voK368YevQz2fy6geP4iCEBplA5D1s6wmDBhE19ySMN0HdsYoJUpXhIq/a5znHFmbmz56C8zFiQJ
DdAnCfzCi8bic3O85FZWLSSwrNKw4qQwjC++04hw6qYEFpmOdbw+DSuhbMmsTGHjyIbUmWLfuPF5
FlrWoaFbTf4VbR62ZFYmdKxEr0x9zuY8z8N8ssRTYQARV7rZDJFi4auf9cgmHRC7sqHP6Q8uDWDQ
AYW5uhnrL3Xp0T+AIEHUm2TNX0+UyGVlBbeO65//cT8VefIiFkho0VekBZcUjXa4pfpZ4PlwAcY5
um/gFI9ugz5yVU2REv3N4Dmn6+9dGXZ3ESLGovXspgACigOUGREqIW3lwF8oLaZyY/GsftoiQgxJ
mamy7+y4YHR4npxmurVrzz+4GjrltptOYen2CRR0Gk8FmUAJHvXsH9e/b2X3Lams6F0pLiB6E6fC
g9uQwsOhOr2Rfa4Mnr8YPJFXohzVRY1kEE9WC3M6GM3eWp755fqfXwlN/mLgpjnvDUKG4izkvSjo
QZtpqCA4BMvm3efesIivorFb38tdyGRU5dfZ85MQxs37yYQIo07mZmOc/pVCPoiBSx7o3MH9V0LR
Jy4gcDlURiQU9CXgy66HI6BQ90l/ov13yyVgb+qdhrhSV37XbvZWjArI6u+45G1cTtambBGNC9ga
UUAxprguzfIb8APWbhgSqGf7dvYZQhEUIhZJ2UwJoAPAd8LIrIovbtFlU++Zv/EBKwF/SWlUsD+l
nWVbIHJ2geH+SUoryP371nWB+9AbZ+LKKHmXl79LHCpk9rIaWXUei24SYVeimWCDv6siuOR8Ct9p
sqW0IdVTY9iTDeqxAU3L2k/q3SBlEiWk4Z9ceM5ifUNTuDe5cNVZ0KrNgiHj+idkDu3XOq3tx36a
EPFhj2rDxssy2W8bPWNoPc2DV0cFBAvTwJ9TdAaMBH2b0LB6FwDEy22CVANM5j218T9XNvpS/Xxy
6tyyHT3Fk9CPFiPQBhqCwoMoh/55faOvzejl93czSkkqRwF11DiZZxIX89we/Nkwd6ounY11v3JZ
WCp2a+iKudacjhhr/desnTIaMzXFBCkKD+rBGaHiWjVYtO2sd5/7qkWA7NJ0NCWt27OdeMZuyOZv
udnAu7kTG7ttbWIW60eVuvQzF1/hAor+MDvcu5cDrNiKzLqA7dSW/+HKMbVkhCY56NBVirCUgJ4z
OsaOMPLJaVlEPFFVfWZOMj+jFeU7z4ZUQaNxWnVgoD+k3ZZi/MoXLImgg2nBcVyJ/AyM87mVzgtw
ORup4dqjF7fQ2S3GPHfoFOuxuwECMM7yeiM3+bDXhaxrMb9dVyEz8T0rbh24z4dJLoedAfw8WMNW
dmCytXZGB5g7sLrirzkY9caGX3uv+f/bseS5CXUPSeGSpV/HTshAULljLYNIFR9hsNp9IwUDaAYJ
y8ZeWTk4lgLXhcox57olZ0eAqVuPI5A9wNsEBR3xUjDy9g33tuCdK1O2ZOVZMJa2Soxs3FXZ/Zjy
nUjZVqa88iFLVl4/CbvKKD4krwAQ2lX9rn9Nd1lkw58+SH/7cCS4qx+mu2qX3s8P1wPNShxYIqvn
KeEzSabmTLR1yrVn3gK1Pe1YNsoopY1xuP6atWG7vP59lIakZNugoHlGnkJOU1aLV6O0PmUEjgN3
cQYA4k5GA5zPuCpA0NYoheUpOQ2y0PvB1FsVx8vTPsj1/sMsm4y56gF5PZveoU7vVfagjJfPDc9i
11hAT7VQW0Pfm5VvlZU/u9kWoWXtXy+iJBRaK+C9PDPWbppDaY0dbQqHaaevNnr2K6t2CTIe4Ena
ORokTwN+LVAIGXJY5iTfAZYLrE1tnZX1swQal8RLEsOEqFc6l48FDICHHAn0pwZ/iTG2xtnriwld
CtrooOF/yPTJRHApnFtSiCqrAdzULufTDaAYEKtUkLxmKTU3Wpwr8XaJG4YaAWu7GratTQcXTIga
0yxAYcmOSqGqXQu4nghV8SNtiv2srOrt+pCtzfllmt5t516kTVaSyowH6joh1eVLwQgNOlnflQN/
qQVcWz/3pkUilLmsLwYTMj6N/zq5fyH/EimsM0f9yNtPsVcg6LY4K+eLS+zsAfFdFf2wn6cLoAEm
pntIVm6xUp1/3ZUPoscSRixsFFomh6OaaKTlnokONVmzVn882G4ZNzPg5He0aSBGwFEnLg9uTspj
a2qRw2rAnfLA42rmgYV2Ls6GVsVAvk6hbzo2nuU1u3pK9TdS0QqetaMXVX0126GlQG6C/qCTnNDq
c2NIWZZhzUgXDXNi/bFhfXcCk91BccjM/TvLSWrkTjyNSNene9q59CbPIAamKz/bd7qHIRufvDfW
Fv6LaWpQa90xd55xXSj2E2PSDe1S6Vtj5OkN9TorC3xXwJW3qJMDkGdpnMIu/CeqThAuqBCEWrvk
YeZPZO/nfrWnuJg/V93AYVPRzwe3NNQu9fHwgGbaO0rT9F6Z76Uon/fkEco+420HCZC4MUsdVazi
4VDA0YB0rAkq1SVHI/XE0S/NMSAZTDVZ48x/kZu4BwdoiaBh8Jabjc55GUquzwZxyQGJxBAVBR2i
SQsSjNzDh9ujuDG6Ot1NEBZ+7iGQEEDm0X+iBsCYQd/OHpRNHLqfFIEYdNkg38mBqq5dNUa1aZcg
lTGxLx13PkyVat7UbFuHYhqL18YFd6JRuBbaJWDO4dzl4JPXvvWzc9wxQlVePisH3F+d1f257pxz
6wx0N7ChhBj3mO7g0+wewKdtIqlAiapy2txBddt8hLCL99NKO5TeO+XhllKPJ1fwCpfQtD97hZ5u
2WSmey29+aLrTVGVs381sKBEN8Ry97lFAih8AAZclV5o5+Yc2Cx7MLhBTxNQ2nuP8d9p1zgn1EzJ
s2m3L2VVdke4R9FfACS0ImS1Gr5Rqodw7C86YrhWcoj2pg58R5KS/210LUOhJw07MWhN+pBXjgC4
9B4K4JqfeedPd03H2c6X0/xNOGb9qlTd3qWjm94Muf6r7akBsHoq7r3WSzAAU3bbeu2rq2Qe9zMd
MCE1P08QQ7zLTFftgciSgTXVXzyYatwxhRE2S8lPCZ54SqTdH+qKOzyUQ1tG0nent6QYx1hbOTng
Fm1FdE4hMQO36L2rmRPUsoX3hls3B0ln6yflmt80eQ0mZKfhb9Ja1YnpaUCKmDUHC9n+LjdJAvIX
AKsK+8cNa2OWN41TidC3LHwkhwEVVrSMmEIJN2nQEBh5m+2L3usfGDq3wWynLDKkOYKQzLMjZFn9
UCCkBCwHctGHwunEJhmW4yTg6uFmHAxD5n91pVs9VkpNjz1EwSJZ9mnkTK46QjSO9ND3hC0R6i5Q
lqtwIdjjdd65NYw8bCYCJkHqV/NjA9+5h7IpkpD7tYynptMHbrU2OrDFn8QSduw7RRKlFtr7ieXm
RxfOpn6QsRZKi40n65Oj5uGOCbjnhMlksq+c5E6QUQ91aZMn4DXUA/PhMlmK7yZYFzlU9Er5MM3c
ElHbU0g6CNAb7v2p9u8qm6XfXdP4MnHeeIgdDe4aGULITkwl23Ol25tZAeknbLzEgOnKLWow/d7N
0TJyBUoQQsHHMAAEen6YM6zCrHLniKjUP49M9TvGsiZiEvYqFrxD7sxu6O4mlHD2JW5Ltxnc484w
K1VfsKqLL4lFrFesnfEJBd8R8RTKmE7ARt2wgMC/Cm4uTB/KhhpPaD3Kr0BGExA6sgGuTb28oVNl
GVEyokx5MWz2wPzW0PWTvuWhYC1dBFKdVUdzNNjFVhx7k9OMvjRVPodGlrKdUc3T93ZsaATGegMZ
RZZAuaHMWbbLnQ6n2pSgS9zxnB4ryUTgZtUYdl0zHpllWfdzo7oIDrj8LgdK46gHZwaLk6Hs5lOb
HycNiCSxCnI/isp64JlRR80893vsYCzTGntBegI6KGTsDnDRQh+xSlrIJA0QZjrB9kG+VnA1iixS
zreVzLvIzAtzXzDh31EysqeJTwMw3Krfsx43N9ANzPsyS4Ejbmj6q9VWt697ld2liDihtGcrKlxI
fpegfwUpI3Abt8hcBDlJ9D6/gI9KxpADIf2qVJhAdOKBASXyJMqmeiYdUE+1KKBqW9TlrYKY/4so
pyTgcypfyqJ0y2DE6jlBPJvsy5GSvbSaBx/m31Fuk/lkaZt8Ry3cPSaF10S1luwO8F54yaHnGUAI
Qt/6mWY8cPMRdjmQ1D+gqqIeBXrm8VTN9ZvDBr6rrNI7ACXqHwYNg8nKytogM7V9qnXevtRWiaNL
1snTUGn9MwOs8ADQlPdodQ1M3CdVYJ8QiGsT+PT1hnJPmU9z1Jvr9qZHmfNsI3h/s0xjfKk6+Xuq
qAmzRrf93Q7wZw4nlMdv+3aa7mxmtD8GW+aQeEx7qDCmwx7UZ30z6LnMMMSTBcPlUeEwL4lTIoBj
Fe1Krhoa9IOtIhtq71/RZyyeIRuX/dDQq4hgvWDf07QrvnWt24F0BPVoSmaKkSTtqyMpSAqGC2y4
Z0ocLEnR3HR0tH708ww/Ya1hP2PXmXGq9CUZ6yCl99wRB+hZ7hTQSpf0MKWAdMmUzneJrOUf0hcs
KB3fA38KXeZyGlpApbL8a9oW+U3mFP0T4vZ8g9BrRSSZnSdeaXGjEOKOlQH1cEsDOxHVqqOxNyDp
EgUEFc22S6NCEHDmhrL4OgjD2RNRV6eam8Oxh3rd2TRlFk3WbJtoYllzlBvZxQ2oFWhY+mOqwClK
OcJ57Z8cXSUXP6f+FyyUEnxlIR7AO7Y3Kj4rF70lQ6S1O1u3rEXnLwclZCysOqIK4toWBB436lUr
xYIlsaOBTJnrNB6LsQ9jkFz7MMG51NT1zjccI7ye8a9UW5cED8fXrq1gfRSTvoHyY0dvJDdu0qLf
Ozw7GXbnoDBhbdz91r7oMpjvLjKonfsIohdZ1Q46OqU4eWkJRbxSnRKDbwCaV+6uS45H2tTMy3tJ
4s7QEiRAMK7kFj927dmL6xHkVISX64LEqlZvEABECJH+Frt37eGLe5FfE8r9XkGxAAYrkZaOjkE8
5J8rCdmLwoRt8squC1iQ2I3xvdT010C3dB3WtsKiUeWOwP3KygUfwgD5qbH5ScryjhTtJ2d0Ua6B
HnbtuaPAqDvQp9PTNAaqGr9dX/9rf34xLmrQdVlxpH9IhcXeLmDlpql23obGGza4+yvX9yUdhTeg
r6Jagy1muBZKQQAEjzZE6uZvtS+eZjn/uf4pK7tryUvxuEm1oJBrwGUqVA1sfyCXNcDhVIxbOMm1
V1w+8d0GtiSBX1E1mLE3qnAyf7V8ihu2k+B1XP+GlU2wpKS4KTy2WGvNMZFIkdr+pi29jcrZykwv
+Sh8HPK5hhvtOa3eDJxGbfPYzlsNnrU5vnzPu4FRedLMHFJYsefkxS6ZcUzBsbuMElkeirZpA9mh
YnN9jNbetYhCmldl5nQoQqVjIs7K8Q+9zSO3gSlhD0MhEA39LePmldOBLmISg3OunzANmNtks8jl
uRNW1JUBbs5OMM6p2NFxBEoz8bZEFNZW2GKzI3sSNlAtBY56tLzdyRoC6L++wUU5CTxabtThV+p4
dLHry4TkIH6nkAJNn3oo+I8tifj8lac8gI7Erum/mcNGyXBltpYEFatHNifNCshZ+deavnTdg8N3
I+YqN75eXw8rC3tJTHGgMO2NrQGTM6JOwlY/WdJHde9+SpgL15DFptdekhZEO2Y8O9UUEEXf+hGC
0df//NrwXNbBu43jiBoSUBSFugI5ZkC9+uBZYPmb+a6zp1eDpRtBeG2QLr+/e48woFGI24AZq37+
U1PjOe+mi2Dl1nesBK4lQ4VOk+LuCGiK21j1iaNme9cNKERcH6WVXbGkpjSlMMHxRMtS0zqQI4/M
4qs15rvasKPrb1gbn8VOl4IZDhPQUdHMPzDu/04KDuvS2d3Il9fGZ7GvmaUKx/FBZ8S1E8oN6pD1
8nT9r68tocVmbs2Smv1sIj9IobWg/ubp34qk0Zyhr7ORJazEwSXzAZcplBHoDJWSCvIIOTO7B99K
yrMY9L2Xyr1lpfPOSFJvYzZW5ntpWtVOyrd6XFRj4UDcffzbOyoi+Y8OZYzrY7Yy3UvCg3SFMdo1
Gqu6R90AJQop/zj1j+sPX/v3iz1tUcOGlAT1cadQR6fkryi3VKExqHtUVOzd9ZesLKgl7QEOVxBx
GGwzvqgcGNP8WkEfZOOEXRudyzvfBQtUoTq/dVI/hjLnl9QgT6MBYwxvA0mxsl6XrlPM8VvwCC9s
yMIOK9FAsY92Pu6q5FQ3tgrMAmyx64O0NhOLXe1DOVP3LaxYmDoyaexs/jOHOjjKfxsLdW2kFts6
LVOicjDfzgqNC+Z9p9Nd4dUbU7z27xcbW5R2jtIUECygCHypBcjCJorRHCjogGVyK3J//An+f8gP
RE00SSd9LuTFhJHmj7V2KEqI08ZnfLxS/SX7gYPN0nImzXhM6hOUkX8bhb8BYvh4hPyljRRKc70A
mw9xybFvIIrzVef1DSfmM9pqf68voY9Xq88ur363F+p8mEk90QY2gHPYuuhsSuk889J7blOIqkyi
2EILro3TZYLevQl15gIwSN6dey3ROWicr5SKjTvkCnLbX3IYmoJW0Eqq8fDC1mE1wbeb1Ha30xk7
evUAK3hyAMjySzbr79QU93Ac/zay8qGb7Uc3F49dYT4zkzxfH9R/tMX/9id9tsjhSUMgOIO+VVwO
PnjiXuKgRl+MBwdejne+UOm9ruTFP7CWZ8O24TxHLXoiqdX/gDkEe7KGCbyo2eLPNlRf/sfZmTRH
imtR+BcRgZAQsIWc03Z6qnGjqKGLSYAkJsGvfyffqpo2zgivOtrdAYnme3XPd+Lake0niJRwS9/X
Pf4d9JIXplHZ0vUT6qLdUV2YN3h3lKjflLkjCtYbr48jP6ouwFXxu7EGf8aoFDmztJZPsMGzcdMr
9LKZvb0sCrFDC46x0/fiXiCaOSMPQu4l9cdjgSgHjB5FdmTu4cvqRlajyhEXPmC+Vyek/eQ3qYJ2
U3szOWSWFFss3PMmLbAbKElCOApWApJRVJHNAv8BVbRhErVYGedIpQ+ljbIvYiTBYeC22Y2pm29q
hmW5GLvhoY+CW5T9tRG4WC6VspGiV48V7lUXStWRMXHjkLK2yiwXShkJCINQzhK1e4fdFcETszeC
mf9HLW8NpsU6OeqSOJL5+tyf2F7dQeGr29i/Cw5Vkm7rg3cpj+LC8tg8IFS7ry79jdVn5ZuWopEI
kRoqHbz6rEBoV9tqrIYq7g0ApV4Zjrd09yudshSNZBW0gTCWq8/uPP2Ew81XqbJbcLO3z3XhUi2C
iymYsoLIfjLwybzLCubEYmTTtmuicYvktZtAwx5uUjl1r+/P/LfNuQDjv66zf61yIqyk8Hy3PXlm
3Dmk39dtePAFamwqBnPV+lWP/SaiTUIBRIXn0GYAufL9d7+9lPNlcqVxArdH1UMHWfZT7o0PKqvu
tSo2uKl4mLtx87G3LJbxQad9j0y+OeUOrlaLqu1RU+GdtKi/lyVuZZHI/+CbriPmr6bExQZAVqkZ
TgDQfYdv6CstZLbvUouyjnb6wwab7d7/prdHOl/SPwJc22sLg9eTKcooQTEOAfYIpW4DltSPvWGx
9BAcoyoX6tITCm3HSxvU42PKcaeXesOtHNW1Wf67TPAl6mPybJd1U6RPUWB++hWKCnpcAr//898+
iPBlQiXtrINqEPz8qTT7yHn1Znfr6D+Fe6sEf6UHlvF1hyuxYPRkd0LWCQdBEObKbUMKXPU2xruR
SFmZH8som7hOEDAvrU7VCBlLrq46bRTNHL1IwphG+SwOejncOAKsfdCiwweFaiMsbPKUtzBszzUu
YruO8aMuq/JDQR5fMgfKbEjVTEpUwJE7+I9vA+8gcFP3fo+v/f7FptNIFBmHQ6NPzFPVvsKd65Gy
VgKW2NVP77/i7dWZL6PuMSpQhCWD8qQJvHghGSb6R1GGwfNQ00bGFcF1s20DHylCoqIbL12ZJUuB
uBkRDERayBMs1O4n5bxcL7Xf/561Ry+aLMp50xWDqU5+LcNL7/p/etg23xi8bz/cX4YxSHBlgobF
cCIFyGmiFd+hMEhv/PK3Z4a/DGHaIVB+WoRgblpX/pDpBLSIHll5Tyh4J8PcMJ44bRTcyJmujK1l
+oNJXooA6ytO5eNPOYWvnE/flTYfOrfwZfIDFwFe5MxjhagJpd59buujGxiC2pniluL97d7gS+qD
47fwog0b/1i7pNumgo/7dmxv2aKtrLbL3IdtdJ/1tAiO8lqPJC9RY+PqCgydn98fqWsvuH7WXzsr
CrsDa4BwPLEsGr/3bS7TuJ8ju1OVzVAgKMJ8//6b1hqK/vtNE+sJ7AYJpltJun0L6fEdIFRy87Gn
LxbZEdcWHgN882T6tt9SMSLM8kxzI5Hz9vrkL6NvPdcs7Ht1VWODx1y7DtsXIi9jHVaoZQIzN6F+
+Atmu58/8jX+MhQ3MM9OvcDTp3mun5u8fG2rW8i8tQl+nYl/dTiZKu00bqBPHIZLCReo7qoG/551
1aGvc5ZUhblxDff20PKXgXhlWTrqUJlTiWi7GOp9lLPtVDqHZmi/vN9Oby8f/n+Ca6/tetIMqAyZ
nBcxtZ/CYPreTo66sRquPX8xqoZM5S7KiA0q8BiosvW2KkKoM+fD+z//7SnhL0kCzjRASx3h5090
fGhUM8QSSvYbM2Kt+Rd7UNGWVRFExpy6XMBvrCqdmCD8H6i+OOxWRcDKFywDwx5VdkXH0McWRpN3
nZONe9lWHzsq+8uAsDZD086M6VMGM5pNOma/GkuCZJIfOzehjOnfk4GPAgE1dNgn8F0H+BCWv5CW
ynEdfat9VgbQEiMwTaaox0JggI5fNP/STRcpbsQRb6Nrib9UqpfOKKXjNwNAxlWLoqrC8o1GZ2PV
dh37LaDcfG+o7j8rOwZbEfbFuZjZdAhGYnekSOlWp1yhWhHSBpaCmsKk+7PnSP1A20If3x/iK/wU
RNj/bmLLcFwB30ccq1KiOFz2XftkosIPklTjiouqIjuUomphWDVE/j0sZ+otCs/5mcP6pC/DCJLu
Mf3sCHnLJXVlMV+K8EU91ynYbtCWN+JsdX+ns/CxIebZE6Dga/8JgsQ5fv/zV1bbpSC/CAfcPFKk
Ha50bS/aOajU9pS7dVGqiruY91+yMtPDRRMPLJtDwyZxRD//bjukaed5fqhF/Rsa6hv9uDaQF1kt
S2xRzWoKj2F15irat56TZGN9Y61ae/pirUKm1nXhwuVclXLjDhnQ5uKhsuK7mJtbF20rr1iK7DW4
lDWx3Dn6GNut5hBw83Sv3Tb6WC8sdfYg9LvpHHjiaCA/2ThddT/WWHitlIcRhZ833rKy4C6F9hG8
ym2maghPoi9B/8czN044a81zHVt/HQucuiBFCG74sSN3Fibo4/CS4Qz1/gBdycn7wfWtfz2d177j
Tv0sjq6AC68zUnoHZ2ISw303xXKTEb2hnlS/gdfiW+D9o4RMZXl2tJ7344xLMiiGAE0XAUEaH2XZ
U+jOHwoR/KUIPRdOQQnBhzetSQBS3LTzo19/yKmR+MHi0NuFJG/y69NbKLiyNK6Lo+f+utGq17n3
3zQP7Jf/3aoa/vECiHL89KGo4jafhySgKi6w0Fet2oHo38ZtiNjWXiU3k3a3cB29UWWxsrAtfYIZ
rAKioCXi6Kn+ItIstj5sufNqNxWw+BpvjPaVtyw14q0q3ZxpnZ0qQ2MHNr6PKM8PdqnPLiCSqzia
3BvXRivjf2m7WwDDVNRRkwI4wvKD0JXeBZP6p6BQWb/fXSszd4nO5FnmGxSkZycWfVFjcXYDeeMY
ufbbF3PXkDSa4UItjrTxfvDOyF2KEzYX7S1r1rUXXP/+1/RtQBdyGuuK44iUeZI7uX9RxPTPQsjs
g61zbbW/XhEMYT5HDVYIZQ49qDVufetmfK3dF1OwH3Vno65E0XuJfLuJbL5RFQRY7/dq9PYcXPIA
BAU+oh/xuycXnEfVia8u9X/0Y/ZzbrzHdApJPDlQrOhw//4LVzZ7vpj0tmd1IxwnPAaFbY8DIV95
IV/ayPTxnN1CkK11+GI/nmu/89OACmh3xg2rn0vWwW5ivLEdrBzAllr/AmwGv1a4cOtM8ZBR86uU
3QX+LK+9C9+ZnH6W/GPZGdQd/XtYcadAxeqED/Eov7e+2HBR3dg4VsbVUuE/zTynCsTPo9vIpxrQ
YBhr3BhUa49eTOg8ytuqyeHvSTOczykYkHMfdTdaf2XELkX9TuSoJiMmP3llVL0gaVz4CRKWPNg2
CnSyCDHcELt2NF/tHETHNqqnD57Blkr/fLTWc8wEYw1gK3yew7PkPE3s9UMzY4kHktUUaKfDh3Uz
DE7Kne/KJOBwuwlvXVCuTIslHCgX7TChb/ITK7syruxBTxDxWUAu3/+Ctecv5nahdBXhyts5mtw/
lrPZ2DR6ivLoxq3gytLhL2Y1VlivMddZDX+eWGUkNu73UD45t248V56/JBYEcEpAqIl5XZZFE5vM
FXGB5VyG6jXPQvKxybFEFhi4s0wj2IJHqPYObuHvesU+v9/+ax9wPYb8tQmleaCjFNXCJ6L0Zu4O
YYuLdGJi8Hx3H3vD9c1/vYFHbahzg2MGdLp+eXGI/+iIh94nN8K0lQPTEltAG+KwmeBYBu3rmdTp
PyKPMJt1fyC1/gIxzq3S9JU1fOl8Jhsy+LQUWFhhyiRxvpyD+4iazSQxs8fnushvLFcrc2LpfJZO
KGwLbBgemb2g/jmpwSECCedjM26JKEDlX8QnIN6OARk+FwEcpMaSvPrtrf5eWcmXdIIxaHQkJiOO
dUmhmPc2jdO+vD+U1hpmMZv14A9ws8ZsJgWLAc+J22iKAxiSfujxS/OlTFai8XToHCef/fB7pEZ0
JVPoibHyvf+Gldm2FNahpolzx8UGii0Z8m4ITj/bTiZzcQsss9L4S1kdsgjMA5VCHEOlXyuABO0Q
3FiE1n77Yh6XpMqwLeJEPA1mQ4vXqGSJLYuYyuf3G2eld+n1738tFCjwCgBgkimOANmwM1iUjmw0
wVaNjrgRNqx9w7XZ/nrFQCDxL68hTxi+kB4bP9/X/IWKD55iKP3380uSz3nJgvA4et1d5NrEFeON
bMXKMrd0erYQvfOpxjLHK86+wvGuTaYp+6PSnqLYj7Qvla6zG820NoqWm3IBzsUwDbhDHJtxWzlV
uWXWv+XrsNYJi1lsC95I1vXyVLuoxotpW7k7V8ksViiSvJddVN1ospUXLbVpOY9YiDKd9BSF96R7
CvPHVvzw3a/vD9f/7/Fv5CKWkrS5MCH3Q5Oevn69HJ3t5T5/Znu2P48xsAYx6A6JlzTxWSS/wXeI
nZgl7R7XTwnd4AAVD3G7aTfk5J/mz80x2Os74NlVrJIXoBPjPv79/q98e1Kh2vHfI7IJhyFFO5tT
34TwDmwhNGrhD9kMt+zk3m7kYKm9nGTXms7HhcVYz1sWfSYG1V2AikWfP/QB/1mU56YHiJgCiZqj
+LeJq+IXC26VR7890IPlegwCDdH9WJsTyav6oXMcsyuytNy8/9PfPjAEy8XYN+FcynEcTlaUqHX6
mhMH0GQSd8GOiV06sxuJqbWvuHbNX6tahHtaaBUrlIpFPYAUbGjPRdE4u/e/Yu3pi2U548ZQSOL1
qYdB16VPKzCKAea60UYrw2epaHYHJVMPNHe41jl7gkgJdyT6vtFwuoLL9a3q65VZsFyX22kaMjlP
6oQroEPjw/JtDoSMibG/3m+ktyPMYLk6cyhHObVdAcFGqrZTrlFTUNNAbmtYhv4sVMaTUCvwigAB
oiobboVna0NsMb1pzZH8qtL61DRtGEMC/SvqVJDouckQbWYZcAF1cMqc8FYovTYaFov3KGCP2xad
f4xcIuK0AVFdjV5zozZm5enLFZtV6SzlgHzqQFG8EmW6gdw6Cz+0rQXLBXsYXAAqprI6NUGebjU8
cS+4wr+VHFlBeAfL4lcWdkOQDihcocb+JjODxWPtP0paPZNcD/FYgATQjffg5v0uHPaxfHGwrHsd
uZEOEnz1SfhnCUw4b8udobhLsgfafOxkHCzlxaBMd5Xs/OIER5DsYoscXLsod5qHLGzzG72zMke9
65j4axVLlSajy+HGmeWfrNjprkEKsbpx8F57+OJg1sBmZBLUuVpKpjMYS0W3SXNW3xte3goP18au
9+/fX9ZNP/htpM5Eh/dtyo9RQG/ce3v/L3T771kjWJa3UoAHZtBSImjmjEEdN+qXLlSYco6HSvaP
QZMCZlPMPJk93uxTJkcasx6Em6lMuw1k7dkIHqFp91Xeed9CV9P+fsLlJpxbXWP0wXN59TyOTugm
k1dUv7OWNAb4sEY/UK/kdzDv9eFMXBlzJlw2cA/zuzFxwzAHRiwLkllHWTIBCJZYEUUvvO6sjXXm
sUtbcVhNzUX76KJw4jwA1HQvfR2cKIBMSUHoHhwz/6kqRZ5UvWe/UNePdkh3YD/OKXlFwrSPUR3v
7gQMq8OEjWP2WmQ5u2+tYQ+t8JwNJRV/Ga96V1iZ/YjyVPz02wb3Qy7RgA257n7mDvnNrHS+2EHR
H1z5xS53SoYqdd/Jti4fwmfiGb95qP0S9ia5sv1jqRR5cJ2m2dU9CGcoG3DCMIGv8wQ+oQjlnZ+6
QZikjd/3Ww/or0956hCATBzwpmaQGeG01BUbrMztHjIPd4xLLkt6Nq1Qp5RMdNsAePLgZ4V5Rt6R
nXxlzEVM3nAvKLA+Al7ayagm/36wYfSUuR0/woqgOnclLe6B1/FfteuizqHExWFqQYIDSox8HyJS
VQm9lh6oMq2SwtfymMum3YlC1L+qYXS3fTTJQxD6+ZFMqtgP1tX7YPayA+1J9DNkDmgzmQ8KHNF0
3NqJqa0zcEAD/Tz74ouu+VrhU+bENUNkISvvo3PbjX6MbGRQx571Q/yvKDEO5/wx5JmHq6yZ0qTg
WsJMXNU833fhFB3qpsbgs+A/Mdk6e5fS8UDRd3HDhdh77YwzpT/II6yIybYEZevOAKh1VjzNHoY6
Kg4ozozihim2cRtq4Kyb6fFzCP4QeGmefUrNHO5GwXkTW48C35v7mm9CWXsbCKayc1kBGNYMAQy3
YSS+hckYh/OaG+4K6qcwP9YjDgnDvB1hhO1tJwULBu5jg3WA7rs4OgU2zzHpfeRmMBWv4ZpRANB2
Z6EzPykqwEnKm9EkBlmLOEPwPwC5FXQ7zge784Ny+tZWUCsqTduzagNz1ABg/ROVpXowphmzxAs7
kWGXHVs4C1lUfiUWiKIwrpuybjd6TqUCJYqBdwin7nhK+fxlpp63FY3LXoY2ZQ+FIuW251N1LrNq
Hk/R5NcONomq29Z55uKS1gOlri+QHW2hyfJU1rzwSeb7qqrdBIfKcjei+v2FkFDuIwHdvczS5xST
MPbnMNjwsiTn2fOd2Ir0D0dOPaHu4AQbHxj5jQz76QGZlOA8lDNJApSexFVX1Bt7LT7q4In02HJ4
sx4J7cN/wHcHlhVCJR4mQx3SPQzXujiKpnRjIVqFgkR4BJbUswWRGX3zi0y52YRl4cR9gEq1vATV
MBgywMQwteDhY5CeO3KqGFg5qvkJW68qsYPNj5oys01drje+abJ/RNCN3woXjovZXDSHiqnxHws9
0z0Ppfezap3+2LhNnXDJ+CHrq/kCC/QwmahWGwO42X1eZMU+jcJ2NwuwUYHV9KlOMogS7jMYKcWj
36I83Q8jeSmlCHZEKxeRr/XhJw8VnP7pXc2Vjw7+UcVhZLkLVttQwLVg9Mr7LpraBnZ0IzLvAQk6
dqZBjvzm+0fXla1xWc079BOBeAYmqXzsQLesQ7vBrXMVswp6k4+94vrqv7Z2eJawIusafS6bdCdV
d1bBdB6U/7EIZenfFtA0iAYRqjMsNGg81P6eDcOtKtuVAGUpaEbG18ciLtQ5dF9zjKtJwOgSF6ql
c6uWaeXgsLS5pJNsTSBTDZxr872LonuIqG/Uo6707X+UK1HlukUxiRMUEv7WDmEH8hpHN9Tt9v2u
XWmeJQFkaq2A+0UtTpmxe6bFz0FTwNXK/hcy17esiVZaaAkB4TqiRS56GLWP6vEqnwTq80YLvZ1W
w+z599AEOgrHWFbpsxmS6d54SV5scHQOPob8D5a+tF0FM6hZ+dHJquqX5/1hJf9QMjxYOtKywa3d
FtS8cw2uXdMXSebWMXFuBXprHbs8jruVF2JnwaiU9Kls54OPShfRTj+oSm8ca9e6dXEoN9no9Lg7
Q3VU99XPX4P65/tjcu25i5N4A2AiaoAyfVZ6fgLD9DPp0uf3H73WKot4e4BbB7xohTkbyrdeeCez
6hjJBzV+zK0j+H9w+ddSCT8V7s0l2gTHZKCRq2Bv/RsXZSvNslQcmV5lPvyv9Tny/tT6BZcEH2qT
paClwR7Vpg78gcfgBQmBnUtw5u3EHjTf+P03rP3yxSTFBu845UigAUbQHg9NBV5kcUsdwMNr7uKN
4Mpd5DRMr8e01ygm7cTg7LxUpp+tbMJDT8diNxKI8Vrl2a3vZw1JZr/InooGYmDjBWWa+CBSjjsd
1fYcatE9OoVsd5w15DLwNPjmghP6g/KqvS8zkr+iwrOCgze7koHBGK4MlKq57Zutr6Z5j7LsGRx0
Q+/zoIWfGTXAcMdzXassnvqB/DM1jrpaM/+p8nH6qaoQlpkl7kw2rgV+ZjO6jGU4ZIftq8tBTogL
7evrOSvsA8S7sj7OeT0eO43KwwTqOfuQZV4RgvNrFLqNu0hcUwvs7RxA6GhptgtRi/48eJ2O264b
ejwbcKea0cGJ4ZIwbRzL7DaFLKSVsPxxGkSYPXfsAy/m4OdMpb2bIP3fBVxPCRmuZY0ktTTdODwr
tiUfy/uoUPM3IH3DJA87xWM1VNUhG4Acha2lT7/LnswlcPCO3clcIwSJ8sIFiVi2D2A3iYdsyqN9
MZHiGUTlfkNC1D3FUVAA4Iy5msYt0EX3gS/N99GETRJ2MjgUqEvbpL4mP+cwG375UO7vCIozkTez
8nXCiXNDZsCRVT/RE8Jq+otQpzhH0Ug/Caj0N9qkvNziIMt2MtMScWw3ptOWBHO+s0DlJDJQU5JN
zT85YuAf0zggco9c9lxxV4G0HLHEdbz8W8GjPPGME3zOoId4YbYF0FbiizY+3E/OczCoI8df4xpY
2XNR9f6+DNLgBXT1HgedXB1QG5vW8UicMNpUmmU/ehcoV+y/4VfttRmYyYrnMnaGengAHLXeS/hU
xcaMYLLklXoQqFNH9VkTHNUkEFNYAeQWkLuGnvEzC3LmqY94cSidqklUE4z1FlzLyd2asKzP2DjN
ifu+fbI27bfQY867sjBaA/bbwcaogRnFN48wkBdKQN1QvktRaeNh8n6ObM0vEGtguyW+/F7AAPlP
54ri14SM5QVpQNR3Qg+kwOCu7SupXEXBXhCz3Pk05JcROhIEPL1R0K2K9gHZkfbU+9cRMMMF3gPq
4LFvuLsJW8sBc1fFDvRxsvVNbkwcGJBovWZ04Go4qYM7CA3oQiFPtGJ1ieDTwgQUR7+TCR1vx1A6
tKuNcRMfUdoGRxEfuQltDkHQdXcD5vWWE1AhOAxy9r6Yi20V6XznGn4NMkqzracOAXnZe3dwsEEQ
Hbjj3lgjD0aXbAM8cwe0c9l99STLcCnc1GQDdCNMxNzWDk/FlBZJHszd0zWseMRKNZ/KiUxQPhQ0
RU3OrDByI/DvQ9mBA1uK4pkHI5SjaIBpH5IcNWZZGuqjBPgaPLu5va9JK4+ICMPXDLH/rsKc/Z0y
LDmIZPq4HbmD5+JqejO0Sn3KwsD/LmGNtRmaYrivXFROeUEFD2CnS9sxsVqgyysLMnEVTqiMLSlF
JaaH0qSDQ/i0sf3kbDs+TIcyQFWzZqw6lVrOCYs650n3oQwAMDfhvuyC+Qc4ziggBx5+J6hkXw3Y
Cz9TBwsGWJZqX0bu/FJmQnx256BAOWBm4jqLfIVkA5N3cCEKnrwxmh5yNsMxGoyXTelG/GCHEtZR
LrpXFzy9VG42HKBZJdvKm1BVE9TRltqU/wxhLBTPw9z9AIpwjkVO3TSetebw8e1y8FRUsYVFUPPJ
maFtNj01RVI3YYqCXVfuFKPufenVGOXuiOiVOVO1VbYWu6Kg2acKjoFwzwD4igaWynhy9YijIaiD
sgwRWiJjq93MTwYAUg5MIYFXddFrSFBx0jjpdUF384PLUEHQBCx6DBs+tvHMkbmC56vUOwPm7Zmw
wj6agRYxguvpIYLi9B6mGrbaMBuw3cioQaaFZwdDXXTLmLI7txnlqxCufO2lxOrn1v6GR17+ibmd
BLglLc9B6NS4RnXTpwpWU7uqNqB9AHlefXFawE0SH5Pv5NQMeQkmzV6Mlf11NbZH3o618I8w4IVr
R+zmBlPAq+oyQb0FP9RtlgP/5Qx79K4GODB3Y0qol8gBZ1mZAygB1+pxPvZt62DmVrrcu2MFgwNv
DKCxw3qSF9d0PoAdMKhgRN81aTR8GRW3OEGJEPZtDgdZladJM4XqiwIhZkv6tkjCFPf/qBhPv1Zi
Ku9I0AOwIJrhWV3Rzqmd6WG0vNsA14l4POjyJK299uQi5Q5ujWfxa7xw2nJWsp2oojkpyxQGmsio
kp2uTJfAWUaexszSRAM0uB8jr4SkH2uLE80/ScvT74xquwWxz9/iPwqYFEbRqdWRwbiC/MsP+uiu
xFnq4lrcXiGf6ZjfmazHAxAU/mfsP94ZakY6x2TAKrLDDccrcSysLoSrvE1tC+BkgzKTj2U32l3T
AI6NLHu9CcQAew/t6O4H5gf72obIz84jMRuPDepZj613FHk172DF4mMKm2kTCTo94/rkkNWZ3OO0
NGDkaHaHucseqynivzrk+TYAnRfboGzUAQnH4RJJqg+FEDSpUdi5t1MbHsFhnuCj5TsPmXK8RJSd
84CDKTkMQKJveGvbCzSU4jEvCudFl57+1OVEfuptV5+6SD1mgEjEJQztN9ga8r3L6va6rfd3sGua
dxZD8sBa5iIrLIYNgYAiMSxv7yQKkr+ZAhsAwPa2upOkju67gfcInECEtpPT/R5apNGwt+ePJfH8
y+ygsNxD7vyzbprqR4mkX6wiJNQmTeALANuQJ+765CkoyuYRgMTinynsml0QyvAMWvkzGOfFVqUs
3zehae7SySMvgBQ5vwUk/i+Drfy9W47U7gxWmgfYLgSXThIbR4z0P/op9P4Efeid8MF26xqhjlkh
2DOSBdE+mqfpE5yenD23Hvs9+PX0rfJbsg07I3a4iqrjFrZ/92Lu+K9adOW9D8ObTymSsTB4yOrh
pRjS/Ica6u4PtnkYo0S4e/tR5K16GnIOoQp613vm5dV8CeybgcZtmSJ1GM0WNAdZKkm3LK9KaFkG
USNx1KjsgA27Rd6LsPohQ6z+0Jkyeqgrp7+bSuZtG+idPmlLnMsoXeCcZniiIBU48mpT0aA/NXPY
b5grsyDmLQ/HTW8d+wkO5w3GeqNg7lG1mwy+JY+4tAAISuEIts8dF0lP6X0mboXMg4VPQ0gbcB6z
pkqmVpKnerDyvuYd3beSYucqGnonqkrDJjhMH+BkgxsS1DHsgy70H0tPlJ9SK4GlstwM25SN/jYy
zrDB5kyBt6cBdpAgCmOLRPHB2CZ6HDu4sZYgAyJdb5tpi/aLfousCF6Qt7bX65hu64NZcldA3Qfw
JE7H536I3K9h3vXxKEeSRJHnHcOWk+Mgu8xD503T1qvT9FLmbgUTGhNa3K3AYR5u9vUGVZTs2R/B
LN16SKdf8j7gD5GBy4AP7eA276AIbwRLL03m5w8Od/LdDOeP305OGxQrepbHWBzYxTXOBiaE4E3k
QfEY4MD5MCAs/6d1JwnsfKa8mNm0A3AeuWLuazCwhYI3cYqj3pO0Atgr7ZRPrRN5bJPhVIU1vlNb
Okx7CjXm3hN1uKds0k9IV7BXrzBOIkt/3hZM9fsJfiUx2KLeEGe+g2M7ydQ/vbLsMZeZCxvfnj/D
MkXKZEpp7m9YE92iDLydGeNLooRXGyT4hafOqPpL2ukr7gZjDKb349W1h19v6/8K4ulI3DZzqTpz
oVBJe6rNbxgUv//stzMQfKnLb5HCmhyLZ3cYh1j6E/h6hOmm724JhN8OtvlSiN80ntuxIdLnyXdO
YZZdAttv3v/ta4++ttdf7aKNcpkwDvLA0QO2fUQgN3Jhaw++/v2vB8OplUXWKQV0wQ78evxPqspv
JJPeThDypd4+1xpXC5aFkPSzk+34l1LIO9wVSCix6KsWxY1PWBszi6RVyIoBviyZOSNJs0ElQQJu
VXHLSnNt0CzSVsjPRogN4bYAT5Z49FDl5HxrmjCZ3Vsm2Ws/f5FDmeAKNbWZB253jfiR0mzbleYy
usMtocAaW+w/unsHJl5mwD0FYNmATO9NmcD79xP/FiQdgrUNn26kJVcaaynBF9DHBrat9Vm2kMap
uESABDFnouXHOAV8qcHPHTkC15aac+hjmYaMCUFLTLw5LsPd+zNtZdQuRfhdG451qJExE8HYJw1N
T3VuDkXj9ht3DGwc/I+zM2uOU2e79i9SFQgJoVOgB7dnO7Edn1BxBgYxCCTE8Ou/1c93kt1vOl3l
s72TveluQNN9r3WtEsWcf3/UmSd/6slvGhUIPUH3UDkon9x93SJN51LgxbmLnwzsZrRetXgoz/fZ
c8vQJeYGMSj6c/P0qVXdMxFZfHJMvuY2JeVryJAYAzL7v2/MmUnp1KPeFQMi5DofG/po3BBs0o24
RC0/A0L4/6XMPya81suwR0e98aoaDEooKHavaTErNyH3x/F3JJGEL6vMJp3U9dAAgNeWODHWy9UQ
IE5rA/QmLAyUGuxpJ/JzbtDEL6Bfi6cIaovCTNmFe3BmLJ1a0KlfebOqxwAGpTt/VEmJyWGBviKk
n+pehqcW9J5SjUZ/5B+yWTU3iPSCiBaJ6e99SeZP/objGPvjXjc5ZY0aOwh1Ow+WwKtWRHiUAY4g
n9Iph+J48/74gMzj1Og5QFyQjzB19bOWcFH2cU0u3KMzL+KpFb2uRJQDBMUOg0Apowrqfdk3H/9+
yc8MUHEyQEVZdDiKjBRBRU+mG5NJ3i8I7Pv3xc998eC/N8YZEwgyhSsmL/fYtOSRodL1uUvT/166
QUKXn4+opOVT9LrW7aFWTfq5S58stsEImN+sLT3g3LwZiUBRbfC///va5273yTJr+ihywqM4E45T
7MwQG4O3prpwU86M1lPvuQtsjlM+XhRU8GUtUo1SRemegdW48AFnvv6p5bxgrjTz6NMDSgVxE+Id
97+Z8MK9ObPmnbrNA5lDUZON7IBtPYhVDADntXFfZMgOHW9/D4p8zmILUct/X54c1YmFRf56kNl3
aDyS7CLV8NwTON64P6YCRMeiXig5PUBda7doGTV7iePRve9wCm3KrKkuTGrnnsTJuF3XRUkkGvkH
GkUykQQFvMAv3gSR20+9qeHJ2C0nECU07ekB/dJkBuVuvZu7S+vfudt0MnrHXItRI9AP3IVkCKFN
a9+qPoz7LvzclHxqOc/zWkQo2S2QCrcSfAy1aTO+xd7264AeyCefwclg7toGEKPjYM6jJrFyjQnw
NeulJPMzw+HUco5a7lr1NVYVr31ZehS09m215eAPoYN04QeceQynVnNbkznyMkkPjQvQI83Tbii2
CKXDAfXChHHuR5ysvQzlij6SJT1kFvun/Ius8vui/l1VNukFu7Q+nhkM/Pj7/hh1JmhHNyDl9koT
hb0xc8FByhIMrkD0X1Xb0MeiqeYoXoQqt9ACTRtSFei3tS2qOajDQxqmFOLrVqRW3sAA4191qmDQ
IkYmGY6trBiDgUH65uoV2jDRoyxpEXoB5VKCGDR9UxvTgC46aXPTkra7Q061SkBY5E8oY4NtCjcW
sols8YINzoh65qKhH+9VYWERVSqlVFoe+xMCjKGRRfxl3bWHURSgr6P9iHrs2LA97wr7EtLsEozr
3KM5map8hET2aLtSNHJgDwvVdmxtPK/TWwdR4uA+ybM8NdD7QWRZsPj6ehj2PaqzFZwNkJFeeIPP
7DBODfSo9VG39Ku+5qDyD0G7nbvP8dbDU+d8sM5zhBJ2f13lTxHMc+v441MzKz/ZX9iyVFkIS8F1
od6HHPU7dEote/3cxU/mpL6ZinwU0NJlzItpWW60+BLybPOpq5/a5d0K5P241OvBumsyy5SMyCQo
L1z8DHcNmUH/HcYLbD5lGa3RVYnE0zqpypFtAYpDOxY5nAlXVl/LRqJwrJADTZIIYKYN0jebhBpj
gdq3cquLpU8NR1rx537wyfzVB9Dc99XkIYtrfa9VBU9I7+0IesQXXuAzUxc7mbooFN5BxzAFExpu
TPkM50+qza9/f/szo+PUWu9zL8u743atQfh5HwTfudG/P3fpk/0H0mQHQUtDDxIClax48MdLd+Tc
lz7ZeER5a4Fqwh3JvHmJO4HNUwu61r+/9pkVj9H/vmKji4xT4EgcEOaF8Bz/K9JpdxXIxHE1mQuf
ce6RnozvcfDClkEOdBgpMqWrW7gg4lldssKdmbZP/ZpZHUKN2zGkbfUf9co2GhnrQxcvWGZIeeHh
nrlLp57NCsrwIoKS6BCJ5yF6V0Zu1mFIeDlekJyd+RGnvs0saI6OGIqEkV71sPSGbF+2npelFXJu
sDir0UevR8wf/37qZ57IqZHTrtpE1iLkMmDhtaf4BlHG+1B9+/fVz7ywpym1oHFSiuAEHIqYi1v+
7rMLFz73tY9//se2hkFMbpH15B8QfSy26LhcczM/FAPxdv/+5uc+4HQQE5rPZYPktjJy+7Uccyhy
ovvS97f/vv65x3wylHkFoBRMbPMhd92tw24q7v3guTM4zAXVhwgvQVfPfc7JqG5tqGRRYEzYZTab
Qte3okKg9gICWyHJIawvNW/O3bCTob2MYAIrTtbDapd803g820oixYbXDfvkMzlZwIuqowrJ1/l1
V08HIthr7bL3MvycEzA8dWg2cvIbDoIhsn00AvuiFM6zrxAiX5j7guMt/79azPDUo4kucudVfYbJ
D+yHJDfEbUvoFTeVtXB4TBAHdvFaz9V3YWb/Gqdi/fXIKthAsZbv4L8rmxgVozHVqwKiunDIv2wg
rt/PXStlqlheQksFd9stafIF+ktSoFvREHuvkBz02ka0eFlXvv7Ky7HbIqZueoRzmB64D51SRbVL
J0EhuFvdMv381Et+qqAfphq60izoD9Gw1HHR2FtVRQ9c2m01ud8iKC58znEX9Jc7eyqitzQQBUQm
/WHuyLesgbTHDVfFXD80jUxCPb9NTFx4imdmtFNRPcSQEN5oIIBzn6YwROWxX18KAj537eOa88ek
5k9zj0mBDwe5jvtqjJAs4a9h/O9ncWZ8nmrql4Y1zq8AG4C9D0R18z7X0xY8xkstgTMeYX7qEdYR
gTtKZ+VBFwrdOKNoGddzLjDplOZASvwT7JdhiYUsMz9DLgDaEmsVXlg3/74w81OzMMTHXCNVPj/0
/FqyOmb6aoamZeT1hSf/9xvIT43C0WSQ8CPD/ACV7G4aTAW5gvjKFkgH//2E/j5V81OXsJwUg3yB
VAehJr7tgeB8sStsjBzgchNXS9Bdw7VQXZru/v628dNsnGwiZRb1LkdF1N1zuuwrKEY+90tOFh0c
4RyvKlEealZO93kzxhmShrcKOuFNALHHcfG7sI6eeyony85c5wF1HQEmDnA9DUVuza9WGAv//UPO
dGb5qctotHKixYqXeo2ijV3Xr7Yl0aEW4a32qt8e9FKwzDaxKqZ3g7zoGNoLyFaz4e3fn/+/l+v/
zmz8dAbNiiJjsB+h0cYw8evnANasgY17wn7CexMrv4XJ7ns0FWvCbXmAEmUHyQ109XD3QlBEA4hq
udsc3aV56W0D0d1Wg74rVrACx72T65so6acIB/x0Fq5hGzOK++UhVMPvopRJ6fUf/74PZwb36azr
F6zSkV+XBzAaADSRwKWYtIFiodfh5t8fcWb0nbqZoq4SaCrjSQtSb5V60dF41fO9lz144pND7nQO
NuiZuhxE2oO/ZjB8TVelHi58/f+FHf3tTTkO8z8Wj2PYGvWHCLcITq8obFPEmOymhqba/5YF6r2x
XyBajtsZDMoFBwk2XsPmfGFuPPd8gv9++OLVUWSXSh0g9uv3QwvaHlKVm63O5+6QlW1/4VeembP+
N0z/+JGQZnpRCEvOoRunByBhDq5oL/VC/z6TsFP1EUiZlsFVqw4CiPu4QHRNUuED0Q+1+YUZ/txH
HG/fH18/781QtBxafIQqAFQUzB+5G34E8ND/+x2G7vvvWyF+mh0lUKJVhq/BoV38YuuNZrm3Ua73
rScNBNimQm6wh2zfHzoykPlj3ndXY7Z6L1SisHmQJOhFbI0NXrggLTzomnwN6FA815YIGM0jes/B
AEhEUGUvebvWuFVBxW9MTtXV0IbZ9dh6xQvn9Yro3aGLboJoKbJ48Cf1OqOXHyTYl4rdkAd+fS08
CB2Z1IVBDYuKRLNRoyfRlrJD5YR6ENR5ftqCLQDDQEhBZkUc5RZ66yCBg6bdD0dHR++7fJ95TRTL
uRq2DVuBnwPL+NhnXni+ReqU3beA010htq/eY0fJ4JBpTTxlDlLIAWehpDMLoF2a8Wc663ZnyGK2
7ZJFB9Aa2I8ZcYDXuhnJK11gethZ3+ofdmFkv0yi/4HcdlxRa5OUpjfwRTA0CSwXWYwKddTGjiuS
+tJk934G90LSt50Ykroqi58tYqtkHPJ5KKFThLO9g3I5hrEDuT25BYAxXydsZ8oiNpRnSY37pRIP
8TU/J1b638d8hP2CD7BfkRqObbouv6Z1gILLo4Y/jZOZNmbQmsU6hOVJjCWsSTUAPsihWj7MUEJh
rqcwS5FiYH9kc+5eZTUv71FV+M9t46snxrt2m/m5eJunEaYJ4VUq7ZY12umpnn+E5THZ3McxM4i7
ZervZd8vKsmhgd3A9jGnyDFW0OuOaJ6vqpfITS5JgjjDbk7gdSd3Fr73IHF4aeB0r0OR1l3uIQq8
Dr/yANZw6C6BSFjm6TuiKqMbWdPlBa6pfuMv0v0iZSE3HZgDkNaqMa2Fo1/BDhE0Qb5pBJGnnF6s
kOE1ngt7qsFy0HE2ywXFp4GvCYEWSiRNUQUHf1D5Fe493/ktlU89rDW/58WuU8xghERpPmx/rHNA
HhCfRj5qb5QPRFo0R/OeQOvOaLMzGRtNHJHG92PVmCFtxwkyZFPAwZDriH3UvmenrbQ4oi1QLIM5
W1dSpF42Iw4qj8Bl2JUc8jiigmWEB690V2g1Rk8W+Uf4n3mUoA+hvzBBtB8TiKZt3ORM7xhbysRv
BOQtQoFu4YVVlwBWP1RxX2e4aCayjeVzeaMaOjw3MhKQk9TDAzxaocGgC5W/kcSbESluiHltlB1/
82H0AHMbkTMplia6YYTyDfX7ukZi0rpuEbq5HITAqCvzye2r1v9Wmba9t65xe8rb6S2nOWhdNRsf
qkn2ME/p5sEwrEpei0Vi9ntwpKIVOBzJ54PSQDpTJ4OD6JmfcBeE2xnhT3caKcZXOqznWPs1Ca5q
6/yNj3iBjw47Lih9YGpwog0QV9M0sa9g4sE3jb5h09Zty4WZuyIHmmFt4ZBjI6hR1qURjkFyZN3B
7yxxoMlIu1O6VDtmg9EmBaxJMg3cJG/1UGcpvjJ/dZ7/3Ov8aCADjbiWAeI/hr5Jx2CtbiXSANrE
TMF4N8DPt/EqIMldB6Ux2MtDtverAWYOWzp4zFoopTeIjQyvIqXoHtbV7rfXNOzVIPVvj84YLADG
zXSDhFYL41UlhrioNP9qorDZw74VcGjcsnFHVQ/ryDI2N1Q6ugM1otpgvwrwQy0K9PuKCUAPdE9w
0OsTfwLKpiwygjBEWa3plNcRQESkRSFzGm+gY/a+LLwi+wkueqT+TiC2C2wjYky9ahdVst2xEHjp
rVbGi0MvKuNJkybWg55RTCD0ZSVaPDhZsO9sEE219RcANOJMOvNtrvzwseV+9UB60+7myGWvFv2I
14wsIhmmysZZaDB9Bl59s05yunasVnsQNvKtzT29yXwjHrToii3zlvINmu/i1tlMpCYU+maVrXfI
a5Bp2pDR+0I0NVaPwqa07/LUwph4M/RE3KHGsQyAbij/0Xos31uo4u+iEprBclmHKxh84NibxJvt
Xfjd4sAHHcoRhBj7OrDPjcunKsnYPKShI22Y4qexVJmpu6oAMX5EuAnD0wzGLarQ48a2WZmSiLuX
3LHmqc+b8pGYWe5WGXgs0b7vxTMMnaC9Ni29Q/xD9qRVM/xoGgGkVg9fx74WqGS3fUFu3QTsC21w
ZA6DaWrgEGqBYl6ZCI8BNPl1yUR3J7qOvzNacdikavXR5Ko8EAe4SxWgJ5T33L+KEJ238XLEe4b1
IPH+i7yDOBw4GwXWYYJXqNtiE5z9nFe0jWGImcdHk0XyJsNO+3sOosq+htkPh3hT+r8QStt8ccj0
vAuZ6e+XnATvS63HVxIdU86yjusN/HEhQzrLCIOibbs8tl3gvQjAmWO0uWAfIqt8rTM3rGnpFdMx
UlMgdCIP5E7XSt1mHB7kecqB0Eb+38YjhF+NJCh2nPYWRQwC1xdv4RWAmSXmeQ2TMNQHSQ9Fdgo6
ZLXB2t1/jFgjU2MXix44gmbjwXTFbqYqjIOsz257hlxxAq/Iz0iuZGvnoNytFspBKzCeXN8V34Tv
FakZlfhaIAMqnV2mU6CbyjsEzlewB7Njsvb0mofz+GGD3kucqN1PGIN7u4WvQz2gsu+9TUNvbtmI
ecj33EriOnAZPHYAL+VJ5mvz3tE22M8FbZCh3fnrzbzkKD3Lpk1Q0Otu7Erl/dREHgbC0KO30bew
GY3Sx8kTsI24GVfvkUVhCVMSODiqUNXvIBz5Nfrz7m4AW+WuXkiQrBZYafic+2K6UlpxlUpQmZe7
pjTrruEl+05gEXmIYBQ9Fon4ZrCDuAK+uf7CeO72imVLuxesnR9RyAm2tDD9Bvssha0TCj1lXtHU
82dSwRTNJNx62HnJGJo33DUewAoObcW46xBv9YgCrvKO7ssaOTVwnyDaWM3PE+qzaQCQViIGS/Y4
quAUptamSQ08q36S+yVdU8sn/eaYArFaGdFhAnC9vG8txSTIh36Eq7UoJOSMpfc+NnL8msGMlTg5
dPfAGrFjP5ETmIbKQulNlPnNrrKA9cdjU0FO2NB1bLajUOEVjxqy13CgkxEp3TDuwdobVMlEPEQp
6KnfoUMj68S5krepbetu3mJrxD/IMPfv3VqyR61FBItcaxUklhXtHsoILWjnhfwx70P5fe5l/WtG
XnZaYAEskmjxYafE9udtBAo6RxhFqV+l8BjmXDX44KiqJjh2x0d+j9quhIPXK6e3tpqi59Hz2CHy
efCUG0Ph9wsN3bjcFSlGW3hfRyK6HZYcbrmlgpMNK5aPbdQkvDuo2KTdTH3lcDsGuZW9cg9Rvepf
bPQA8FG+9n/Z0YV3cMl1PKnNSG4CGrLjcwkUjIfHeC84ibwdTPj6EKxWvQIh1V7nbq1SVQDBg11T
cQAy0sLwnvv2uEmm4PtpzfeGTXMTiwwTBarvPjhUgUFJWtbwJHUkQlYQIzjSUgb/d9IWqNdgMQnI
rhsqbztNtgEEJuRwKQ0R+2rxmvTteCiQL7THUiff4B3rYUeeYWoc4Th/r/sQHGNfBLvB1ZBy0X74
kRe5125spIp01NmaZM6uH+UKCRBIJBNkXrUm8ot0SiwxU1P7rSQkzGJgOOntoHh9a/lSfa3bcNnA
7kBh3Q/qgxpMPaZr5cIEimEfiomqmH/xrK/uAhd1G/iOwAYrdpLz6Y6rFdGgUpkdAG1LlcCAqNAk
ENAgLcR/rOk472rKSBTDejxvepGNB+qEuZaLsJsRhUXwzrD/KHvpXY+zyeCNXcTLBBzSQx0p76Fk
zF3VcsphxYT1qG2G6P44h96OgDFdz0QjM0/k5U1XcyARaj9vrn0LRF/cHn1PC3ZQCsNtFNcec8A7
FFxsgIQcf5e6oddL0zY7kevlBwL48oPA+7APck23ZS3bx7rQ096XYQ0TYSS3wlQuoQSG72pdw+8l
oHOPBue8Bp5x4m5ymemjwn/cwLCNAUlM18NNEHHQwqCdX10cQIx0mPOue0Dnt/k1dA7Hi1blS+xN
rt/WIVhV2VACs0XawnywKddg2+upTFkdtKnMc/O1rWr/hmiQA5NcwfuPeKp1foHGEob/ppQ/2qMP
NMVGWz1V3GvveNdk/Q3ymaI9lat+nIHE2A/W2l2/MmyO6mhuepiEvfraQ5EVW/UOED3dAzTDPJcv
IFrkNmn7EmdPwME+MCNYWNmpQdcdHrJqUcUvojlwt6OnYGcvsY8fs7Ygm5l7y68OrstH1rR1tZuW
ELLqdsbmIunV0NxkaFLC0V02zQ1+pB8lPOQYmpBpCQx9a4ECQnR41BbDlcXwT3zmmb2rap7QEZ0N
+PWq5bBgNrwKeATNk19ZuAgRvZo2ePRdHLoKmAtd9SqtZN1/8SqvTGGdK58AIBDfxaJAEgs8Ly7x
hZ9CXtKfg+TLk629fN8BsHnthkJs54j6sPSZ4+pLLOgFbTmmhpYoimj88QvU6NgiC9AfyZqTbwbw
tJ85UsO/CEIcMM+CIZxHdhMwaMuKTQEm5yBIjSgR1VYGDWIQ1SjIh6XegO3uAo8oqjitt+kMjKgb
BI8C2EaCBo50wA/XdzWZksYAKZQbP+TBtawCh1MOnI9YUEob2tj1od36VI9XqGt6sS59bExkF25m
P2uuHE5cJSRuMMHG3oAt2Tp5YSqjJr/tgRj6COYAukQ9Ne11swR205c4yudT4Kcoi/vXAYb6thBw
6pmOsV07QWMdh2MhAP2K1hRY5To4doebPlGVMfd6mcwD/lo9BJ0wegMxpILwh4X6e7kGDCi3EEMF
IoIDpyrfhNbg/M/n2l3Xy7Ls26HpNgUd+Q8UCsAA6UxQgwk4wJhdi+6moTbbgEUh0mxGnQbm7xB1
hzl0W2xVIpFMPmW//BJtldrRdhvMS/vQipFu16lRbw2YMjdThM2bF+b1S9ji8K/HMf/oFmU31lmx
cdO0HDQOm3PMOCtTE/nkbZ1ABshQH0qzfG6R7Qw8E3ABbPrFKNHwxkSOw1revU7L6h0cKYGg5bTK
r/sRNEmGKC5so8XyGhmU65KiXvpvVTfYtyxTs4hxwuG3OrRtCmJmixUdlRuJ5evgjXN0g+TNENUl
BkJMixr5KGX3AWPv1KFEAwIFnPC2egkDC9PqBLsqK0LY3+t+TnGu7lKnkUgVAxXhMDxyMu5WPs53
7awwq+fYeM3T2uIudt1h9EX33C+z+jb6Ecwcbh3h7RcIxhxCu17rQPPrViiaVHSuvnmzmCHZM8Mr
WwE+yGcvvMEZXz+EuMw7ySf/deUi3Fup6I1PCtR8Qt8EEj1iEWxNHpUb6bwRTmQP9tdjoeMaoujj
m8QUNirAr5TJXA98B21Z8cw1zZ9Z5HnIZR3Wq7Zfmj0IjNOutwBuYqSoNJhpeQ/bTYY0wXC+ty2g
ZVJP3hbYyvouGPtoha1YdvsJRNT3YJnq++MmL/VDWMLBDPX8nwaU01tjVoSKLAzHRi2jDQ1mnRYW
Gy1kkpc41dUUNw5Lv2+qYUfg60pXxLq+aVCttyJALS1ue6/b0LIrnkWBJQYYZZ2ArovpDJLmTSQq
P11IC2gBzIH8Gl4ht3VhhihCrEDbYQK0sBmBlLaDnm7hruYFcD2N9zWzIXZccw64y4CgqR3ohkcm
3gx44YqnIpDN9+Rhv9OlZrLFHV4NmGZ63bTPpMoNdpETJ090nsy9VHJJREXHr2OpyE4p294MXjNu
NS31rulx3oo9yfgBWJ/ci6Gond9bbIMTuLLbCt0kbIVXl+V3C9b5N9/47mcHTOpzOzc6bfBok3kY
26sixMiPgSDAN1bMVE1aYC2FdZYw+6jKbrjDCF6vhezN1g/L/naBrf+KqXzato5ne1NN5Op4Nryb
Fh8lIqBYOaaYDjuu0ZAVkpRh6RIahuuO6SLfeMBUoKYGD48NBnBFedlPqQ199gOI8GnAmxbKL1NZ
hZsWmJkUVeT2gdsqvAVACTxTOYh8S40lKEtjx4ShN9zmRdYB8cSBZyiiSsMhHmSP3KnyupC4N9sg
0vhVEW29/UJWRtMJWYgb0Ijb27BC/ocGtmynu0qj58HdAhzKcccQaf0egM+wYUyaMe7QP70JM+df
LX3dbyrs3d6qkOjbfvJxGsiC7GmoTfnFn8bxFmlK3h44pwK3l68rzl4GpeJsgfc+mGUEp3iur6QG
tDdCtRC6Z9reGGmndJ7V8IHStU0iA7CAnr0O6qQR0aRz03aomcBqCxYKzvR6tyBw72sw6H5nJa0O
Yxa6PkF9pfuGeb6/b1bHrkDAG6/RLe2uaVmzO69fm3sUjLJX5VkNfCfL03xABo2vsyqVpHFY+ix/
KCIcrFTW8tcQete7sPVhe0O5Y91FLCC/KXJONhMJ8O+QjqpfWNTKPsZepUb/F5mZzdrPj5bX9oVO
HIyXCa/7Uk/dLWjL+a5EmW7b4z9OM9BgtgtD2ZpzMd9lcvgucRh4Bt1LpJinRCyRqb6NACK5jZbO
vwl6ItMeIpVXUoT6C6o67EYPjCcYVg0DArar5u0k5yIVSrUB6KVLdMsqiVJh6K3eDvWHOtp4M6E/
EB89YpaUmt0jNcf6D9UITHHiwWr61EdB9iXrc3c/9/PwJQNDOr+qg6UPtwHY7m+VxbKdBHJccdqc
sv7HCLrSQwnVhZcEK4rb8Yzy+RcvnygC7EbqxXLIqgPF0ZZsI10EL5DPuxnHa+8lW4FKUwB7lXOg
noEYawxQs6jMsZWA8zqWvtmRmWYb7WGbkzZsgGxppX2x6dnsJcXYRIBLgNcCylCjv0WTM88ImJ2R
4d6r9ns15wY6hjAMHqNQHcEoIrubBgLUDybDX3PRqXde6xnb5NZ8ndvViA0m5PFbiXbpHnYCB8Ba
uF5qXp1rkJ6or6ymzg28hTxh0c+Nj9AxiaUM/RgvLlpwbzCIL3S9Jdphf2llntL8Rt94AG8SctUU
0txW61Jgew41jyTliFjnqX7siGqvQN9WNyFv5P7f3TNx5hee0v4Wxwe0zvLmUAEslY6rCpIgUHO6
Atubqnyst0Bi1IBSzw66H4925XYASSD2Z0p3Y9uPW8pEvaNcaQSpuqKKl5ItuxxHwy9j6/d3i9+a
bx1iDZK5HMiOGvV7pJJic1YENx3M1Nd9a8GwW02WYMlBbaFFzPZTLyvU5vKxqn/WAqBsrsoMCPKq
XPFSmG7eILEVdXgV9ChQYuPn36J+tbQozPsW8ZimJL+JavLfCnueh7wy0Zb02cAOosonFGxcv2Lh
QQkJ9OxiEzboKIFv022wSYluHMjFt4Br/aJd4J64myKMszp7dNoosNZo9zL02IHLIgvfaOU3X7tu
RreJ4XBDpGt2wYiyBZBP6x1sX/M1NWTaFd0Ax4m3tHnCIvh4EWjLEqbcN5z/sriPKI+jhX7OLMS9
49P+o+k6FsiXzcsC7T3WkSsX+UVadlgrZ89zGyoBJEPjpb0gR/lfn/Vv7+5Ji3chJvOxBAK3FhjK
EpwezM9hNiwB7Vptwqn/OVnUeuOVcnYNdAE2Iw5FmOdReMPzv9/jc0os79h+/uMXV4BsYq6k9QFI
li1hEEh63QDfzrBHqwuHOqFf5Dht6koByxh++fennmnNn5KKTVQ3ecbn6gAi0vDqrWjVqC5gF+7r
8fb97baeCAwm7qMjwrziANRRdb06y7eRJ6d7hg4yGmhVdlHG9vdPYvLk5q0hiH4aRaCDbbEOwZF/
FDTIiIbpHDH31Cm8PwSrQbJiUU8nPnPgL/kPPMoBsXm5H+27ycteK1WND0XhGGpR4rP3+ERXVZiK
tNBtdQcElb6hAt28Lm6dPvkAT5RUS5/zhZchzilrgWS4qQ+fPNqMFyRh516Pk9VDRH0XBfaYyEzq
GKLwBID5C+KT/0l0/u/LwU6BN4MvZOc52x0iYsO3CCzoJw+D4OOocQUcn4QvQQCGIQ1Lfz+NXRUL
hz4TkmRRLagA7GrBJXroKCl34VwhPJAU+gLR5u8rCpNHlcYfI3HEXpIWYuwOGo2ApBjK19JWMuYq
ewbb3kty5y6Bef5+g5k8/vkfH2W5W/O2b3CDJWBrPbbw9Me/R/Y51crJ2HMONr9hQhXTRArhX347
fV8jv/0Cazm7oLM79+VPXuwILbAlnF14hRXooQWNJlfrBQr2uUufvNa0qmXYaLwcM3yE/4+z62iO
W2e2v4hVCIxbTtRQyZZkWd+GZVs2CeYAMP36d8ZvI+MKw6pZ3VsqFzkEGg2g+4Rs/jqS18vDYppb
LaLBQUTTt+irU78M4y/mpvZN2xb2l2yBqyJAMUqdYMnXXUV4sHWJGOpMXgxSUXKCwiIkT+9t/GcJ
VmRhDDBHW9eFkdjCcWbuGjidWTlETAMWjXk6+Pu5Ii50VdHiuUGpL5lh2+An2RHHizgS6MawG47O
kILyQrZGHf4cwYQW4L+BjD5A2VcBvBIJKvsbDwVqOclvRakOg+fe1H66n5D0VwLPMIn++e8fVo3n
Cmj1u1l1Skh7VBb9Cq19vvGK5d2B7KWF/vhKkjJsK/757x9e1M8Ng8skDPtmMK9JnRxgUB+W9CdL
V+Lc9AJt37KaalRFF0Ors8wAhIBLTfwKaWf/AN/GIKJDlY67y4FvyAe+lmngv+W1aPsnJ1Y9Jt0t
G3rIXa7h6z9/OOXaqsqWAgfBrB2iFDJ3AKAMaYqq/PPlX/55LqA6wyNQqQ+FNhA0RQ9zz+o+L1ce
/PngU53awQlaH2lbFxEEJBeUj2SSPPZdTP7UC02/COhTH677Ai1exQCQIhpnsJkgj3Cc2JYpXwlQ
09hoATpXkK9AfVbCDOKIRi56psFVawzikv+GPna92R6DQkZJ/mQ3QOE1TwnUfJI826HGtfISQ9zo
4HlncDNnQhklknD6sADTyQH1GICxuDzunyclyti/3yCdBeAKwmWUqgDHlzv0IqzM3viAti8iC2u0
RS6/6POERHU3rJGi1wFws4yU9LdLfNMmUCZGz3mBhWZmP15+ielrtEUmm4TFPrP6iPgJvSmbWRzH
IQn2xBrqE4QV5CsqrD6AcUG6u+qNOo49Q+lAgpgjo7HLbjvqPysubhOHjJs8KeDGRZG33Hp7+WWG
UNaB6DU4GQGqWuBht2dJOBfF0ZUka5gdHYcO3asZHSssP6ci6g6lm24Dw6hhc67BboaU5HsfFbP/
Xf4Mwyz9Pe5+2DKA54aSmdfKyHMhu77EWRF28SDOgK1iQyv4FQWorn6nE6Bal99oSGM6Pj33rDK2
MyojAHGqe1bM5WPS9AsQtAlDvUHm10WDfiW32q71rCkdItfftmic7eCFtezEA2Cdlz/EEAG68Q9t
u7GBR5SMENuhouhZZu+Xn2yIAP1uPVduOXYDYssfy5sMqCQh2qNATe+QNRSyq7FaeZEhoen36cT2
MwsSozKyvXzvSMBFli1zDpe/wqAnQIl2yEIzAtMJc7coQb9tA1Fe4A9oqW6BamhusgUsE0diunP/
7EcxBe4jFDnqPei8xbbt6birB1++eLxek2cy1E2o7hTkwbu9suOgj2JwBUM45h0U5KOBCpnDiWRv
jdU+A9+5R+9/FxCAOEa2dCs7n2mk9RsCYzPEWLCoR5w1CH9sphe/WmGlmQJRy7Sw+55A+kCk9/VP
X/zgYuU6/flvJvqVl43AoNk8RoMAMCm3fimIhyv7Wsns819N9GtrH6dAAEG1GN36DIi76QhE9XYl
8j7PMUSnWTC3mXvm+SpaamcC9gPYA5dmdcTbsymAMzT7RTT9LqjZ/OMMj8TmwOwKLZ8ku5ntbNww
UQLDA7GNHSApDBrJSfXz8m8z/TQtECj6I1UydwOkNECt8sjRAUGGFkBt0KvCgQRaOPSMkKWbLCzq
4tQBnrvGv/l7DvlvCYTo10NbzjTIJB6sNv0OatJfk2h4BnNiW+zT/RC623Ff34BF9mzf+lF3qDZr
Jsd/6YKfvfm8e33YpQAoL+JpCnAyuuUP/gF6yvtmP94BjGndi7sm6vflTfI43mZRtWNReop3wXO9
Ul75/5P7Z28/p+kPb899dylS0JijJG0Jh4q0OBvDqJcJtW0K2S+cNFLXrx4ZfBx6oNvhZRPCm64C
AL+nb1ZiAVTvDkzd+0Nl34IkI8jOwkGy2gBEA15IBgX8+8Fi5WksILwLfesyCaEND6trSMcF4QBb
lE1PsiacyoV/mQq04SCmvWwtogBUcQYCwfqaILna9IbAHAFsSDZ8q5uA/QlonJxRCe13NLnqreOj
qOmOsP3zQE4CQyMZ7q06ATYjgUI56tbeM5HJsFFnZ70S7e6okCWUvIHs2MMLbdqhHVCDB6Omlxqa
5pDPPBcfVQkTGMWACpptF82UuXH3XpfPdw2shna+3SW/ulrAlXIYG3xaM+Y4+rdNdd8AG/9U8swC
tNLh1o8Yqia3rB1omDhlsp2lz3rwd1X67gUkQL2jBVGoTtR97mYeQAjwmAR+7qdTevSVpywJ2zhd
Hr2c+rulWsZw4UAAT3SAY2JczOMmtmh5kjbQ+XBRkLeWvcQN4DiFdfDJ0H+dyYw+Wm7LBxDLALN1
lio9wESUf8chLw5jwhDT6HJEXZvmWw/QWYiYz9VrV0Ezvq6FvPftwoXjF5w9kZODG1CTwTsJKuD6
epWS3QzIEAcHR6DGUXglEH0uV9u5YiWMe7oE/0wCl70bspjfgupMn5oGDCagr9PgxPv2NYH3hIW8
lMCPEjBq/wTmjjXuL2cmU0I+Z6wPYZ4CxwQTnwZWa9kLQBs7OLmvnJRMG8n57x+ezLD/e47VBid3
gbKgXfe7Ooe9Ue8er/vl5y/68PxeEmi6w0MjmsVY3RWl8x39VrEiZff33P3J8tcVrLM86Wcmca2I
XW5va9gT/VjEGb/UtvkJOvjTPokrICjBfoB9QwWT1JjAhh1+6Zu6tK3HKWu6bVZhIyL9BPNZR7KH
KSnnlY83bSjarRHYpBaQs2yIRjbGOItmhyrz/a30oZCWxtnKFBqCQy8t2RZAvksX4+YOdpMv7uPy
5fLcGWJDlz92QN70u7Hmpxa8/bBARR2g/yIUUJO7/ALDMZTopaSaC/Qz+o6f7KAqIngbLEcX95nt
cnZrrioVAfQHJWzwy47gTW79ETg7QktYSQADy2deHqzkumMgiov/RuoskyKmc429ebkR1beiEWHi
rtwbDYGg6yWXOATOHYT2oql54NCTDvzpZizoIVb+ShA45yPEJ0vB1w4vqeVNQPwgCkasr+cRcmG3
TVzSmyZurKMfwFA3jKVn/wL9bHnB7lHi4kjhHOUU4KHMCbidc9d/qVEE2iJHim05w6u6rPP2WFCg
ZIDMFscADjKgqLXg9DZwRbLT5Axj95fj3MPmGLBM9qUl8xji6K72lteQLcQHk9fAseYTsETtIQfM
+s4P4uy+YC4/ioalG8/Pql3DAW9tHGvcwigjiDI6+FuvS+k9AxQMQLa4AMIL/zdYGTuiANZBtrAZ
dks/2ZtgDvKVC/DnV26iyxV3Pk6UlsIxCsZK1a5ott4dbt3ADa5edAyLVRcsln4GTtIZiQtwyH0+
uacGqI2V1WT69VqubVPYZncBoqwDVAOC14o61Y1wk+oJymEClj4Aglb7JLHp95IHJ9m1wGxJ8Voq
VPQh5vtTkJzilGT1y0k4fgcKl/AO4F3yDbzn1njWweeB6mhHtnFh4yDtSUYcWo9bmN2VOzFBya5j
tn3MJ6ZeSR0AP+qlL0wWa9RoUy7TTt6AEQJTUhcQ8V/iH1MtnmEy+gJP8ZWrg2lazx/7YZsrwLGt
JVysI5F88fzXOHu+PKem556n+uNzc4bTLXrJUd9Xe8j67JxkzSbEkJP+omA+PNqbZ3QkYHEbubBk
bhQs79saxMXh4LZyJSINg+5pKTUte1cqa5RRNd+DpROCXglSLNlfNzba7oqeb5DAKxx3HrBlM36U
7fvlB5tGRkulc5wCv0awRqlUJ6Byf0ng932WbJFpVjpun5eRiKeFo2pTOakEO4How6C6s86s7vIB
bKFNh+bNVZ+hS17HAnzrseAikov75M7id2NPN3ms7nl25elOF71u4CGWjj3PIrxnBrN8ORsnDc5K
+BjmQVe9nijQ+lZXtScR2JAU6yW8hPzRfqnh2fdt8Wi7cow0hKmueZ2daZmzpbDzl8vOT47gFANe
vBKlpo84v/TDMnNHuxpAVkMwxRU/271BtXt+zeGDySYk28tTbfqCc/r48BIgQZDcXEQs/E9k5Ydu
Azph8OXyww05SJe7rv1MwnuOyAh82Ri6Sl0AMlrJV87Ipp+urWIG2Hja+J2MAnfZ9vNhXJytslcO
mKbB11Yys1w0432U0Jt57y1A623HdAdu8nUDoy1i5IkkwfUbU3t2+XIh7KCum09d4DrBeRFOWSjE
99krSX+DHB3KYWXADalHV7aeVc8mGJ0h7wPfirMeLD7VuTE9oQoKdnwtjuDzz9vLQ/T5BHC9EG95
ce65gBufRPvTVYDuAxgMBPk2YWuin5/HD9cL8gs6S3m8AM1YZgukQxCe97kDGkcFMYiVAvHnIwZ2
tra6egK8EGDiJ5A3I+Hd++4Ng7xoCgYeuP2XB8r0Dm2rjBPXGiGayKFoo2qITef5uPWqIv86u3Cn
rQdIbA+oQ61sP6ZB0xadXLragUBEHXUN8F7Y3YLBvbPGfuVjTLOuLbuCwaouJ3BM8jsG/l0RJLcL
aEw7zNV8mOt6rRtueo+2AHOXItFJzk6qXQKoEMTPsw+FjtQStwQyY9fMDNNL7W7pMqhP9PwEDvoM
fHd6k0F9i0jvoMb21YPizOX3fD4nTC+6u4WaB7VAnz1p1G/gxjZlnv0AJPzHdY8/B96HLWK2GhuQ
pZqAZyRCP53DubkT9P3ywz/fIphurFalba46MlURmYZTXqdHK4lXMohpWM5///C72zHIa4dg+Ekq
UbBF+cbLl7e4H+mVLzh/04cX+EOK0jBELSI+oK/QfAVtJcy8q/o0TC9QwXOtBjCBTxFN7hkswWHl
ui+stbL/50kDSPF/fzrKn2k2L3UdQf1QHdnckK9wTK5vad7bWy6CYu/XAufuy5P8+WpjgbaqM1RJ
cT1z/NMSjO89Y7csy1Fud/ibF0OL7rqXaEuaMwUNJW/qIqiG7cGyQWUZZOEhmH450ltpGxiiVW+W
QPC4lf0AqjMMfu5pPjxXgq4UegzRqgPpCr93nNpT0L9MATuYUTsvgQp2ni4PjgHZzXS4Gm5sUICi
A4msVLy0LstPtq0OiU/eIa246QoK8TK1i6HtNBfV7vJLDdOulxcDkWdJ14FHljk/R8bAxvLAjyug
8fNy+QUG6Tqm1xlZIfPCnpHGraWKIUEGOa8xr9tntw3QmMmG7qlaLHqCTTo/tIFLnsF1YbBcYeQb
sariUU2kWtEw9LFy/ltFY3pBEt7aXb+UvI1kOm0cu4Pf6RiO3Qiy6XJH498qWMk6plHV9nuvAPK4
qkd64sNSwe/C3blcvsTz+Bp70HW6PLKml2j5AbV9ByoXUMmWCmIUIbHc4CEbwfn0UO0Gc89CHfry
m0xxr+WGtC2YL6aG4JbDRsjWDtuZJ2/MkSsHedPztbQAVm/PWkIp6MoEhSx/jt+rCrbXCdjMvy5/
giEr6H5uEkCeWamKn7q6fYeQIiB2wdfLj/685IXu9r952urgoJI2ZQxPH2hs2YDvLNC2E5N6wI3q
C639aMiH33zIHy+/z7Av6KUdt+Rz3cfzEqXDq4e7A1PTxvcfeo6Omvd63TvOMfdh23SqAmp6FEq/
ozdvY+VsMugvMfePGIMQHs/7y28xzLteLh09B20bMdFThqo8Ov1FiNPdaxAv/srpztA5Z945HD58
x8SddipHp4voNEFrEPoUYpP1rHpJ0a9sNjPQ6CFUwRTUhHibhzKv0geVUv44kaHJQ6/u4JnttM6p
Brs6CkC8fApc1+ngF5NX//M8lT9AxqLINu4MW/rKCwTqVWcdscsDZIhavcgzssoqnUGSU0YzNN3l
lufdypo2PVqLWkiNU8clAzsFs6seRI5uQZ9mYiXTmp6unUdRVKBge4ommtLAvpHKG+991sYrK8CQ
+fTKo102TdcTXM1r2KH7cwlJNS8B25g+c9o2K7Fj+ARPS6/xEJRjL2Eo4xdK3s+p7Z7l2tZ2CFPo
ayk1n1Ee8s9uyKAI3iR+/FzBkChZ1MvlwDH0TpleguymTFhsmAikhQFQaIsSvDiH1XtaeX9ol4i9
lTd0n3eqBry14DcgedpHe4qtQzC177kt4m0S5CCalkP3xQka/lxDE2glYxr2Yd1Nh+R1Dun4bjrV
DVCCEKOB7F77XE72F6g0bVEQh7riiNPn5bEwDLVeAAxqy1O9N9cRtDBuQVh/H8vmWHvNyiXAEIzu
+bUfUgzkUQbouTACYWRym8CyLPgGcdwjI/TK338O0A8voEndwtYeoq8+ZL5+uLUEKQV+zic+FvYa
wNr0EdqBZRCqAJ1q7KPSuoW+5BdCbyErc4BZ3cpqMmxarraakl4UghXuBFGE+ajcJw9iI4L4G56W
W28YDpen2vQZ2qpS/VLl8PZgJ6FAwCANPeGroN1QDCevm1f2RlM8aacVR4BJPsZTHy398NhzCDlB
eKIq8/3lbzDkHb06yHw1+mJR82kYHBzDc4AL12SkDZOgFwehx5mmAQW2iCX5Fmrev9zer8POGn6X
UEDYKNtfST+mfVdvA86WC8kCkUDd4H/yO9TSTvvpRh1oFOP4+NN9tp/ch+SR3EIn+/hU3KUv4ufl
wTPMzX8M8RZlAReE91rlcxtAUsfvtr44Xn64aWa0lS6YN+Ve3QNWq7I3qPi/0VUCkenR2hpXgZdU
CUeJpYPt0+KKr1ADXfOVMo2JtrYhFUIyms4A62Wq3KWU/oHi2x4LUO0uj4th1Tna2s46AnUPqxxP
jizg/R7z5SvJ83lbzQt/TWZIbV/3Hm11D8PswQugayPa5lEAWS/g3U5Qo9tDPWuleGAaK21tE4ju
MTJnmIeu39hl+a3jzXOWsTUqpGlf1q3egimAZpSqcKqwh++A48Pp5o8zZnsRL/dtOW0t1m1wIDuN
fdpu3BQEV6i2eJCxlaSBLPcYdgLNRGgAXR5SQ9zZ50zxYW+Ba0AJeOfUgL0znjqXH+JlWokKw1Dq
Bm+0gMx4HeCEM7jJQ+WUjySx0HjjPy7/ctPjz3//+MttQPJ6taioksCAeZS/QNKthg3NWigYkqWt
LUnYWdhsikus9vnBHW5RVD0GPN7TNA0Bytpe9xXa2kw6qG4VddlEc6XeAVCNWr48zLIYVs4OpvnV
libkR2Moelk4h2ftnoOL42RrDoGmcpWtLccaVfOlXToVdZn7C3kxKgPrJeG820hoILdy/sIT+dxV
dF+X3Rql0zTt2gJ1Eqi6NyUpI3+pd7Adv517yCbba4c5w3j9xwAuS8oyxoUuaioH6j2e2lgBxGeu
mmzd/G2YOF/GWSpIyb5WM+DG3i82rCxkQxFCd3pL8lzI3sXGlzcjOnDQ6RU/sdWTjRss9Fdvy/SB
jO74wluIX1spm1beayAXM37eFD6sw4HC7CxduiZqc+h1dw/A4rr+iOoxvJMI3UOK6F40xalG0UDW
kMi/spbHtfUPrUxZVGPTwo4TdE94EDTtZimGXZlCImsJk2xcKU4Z8gDX8oDwfF6kkIOIejCTXxIP
vMzBsfivquyd05IlFtha7ZqNmCG8uZYPlhh1MK68JlrGyK7Exk0k/AKWlckyPV3LBi1DVW0+P11O
r5ldbxJU24LVI/55xj+prnItHyhQu1mVYGvD9uz8sGD3fnRE6f4JmMjgXVCmKxNi+gotBRQMXhFT
ibwzsgDu1iAzKbFzinjlPmdIATqNGJRx6RWQ74wWq78BrGyfc7bSPzA9Wqu58KRzMZK8jAKUmYaq
fhvgonQ5txjWP9M28lxQgHUK5EUlRnc/Lv6WgBqJqwq9TRbrSzt41mFaAgcCev6VB0vdlMuBrHc+
ClRIztL9IVnUnx7aOKEaOFvZvgwhpZOL43KWFcgdQApDn7Zp633h3cnJPwEQvvIGQzDpzGKepS4s
TOgYNVAXC4CiDY4Qhlt5uKHO8ZdV8yE3Okvtlznvy8iq/jf1ECd31Ma2IQLbvXhg+/lsZUWY4kpb
16qAu2tXBHiPQzdzV9z4Ll8p5P0N+09WtU5ZtgSfiKxwewhsJbeKkmwTpBwyqgFNIZoMRbswzvrp
zms9foT5X7yHa5f92gadhL/s6IZQlZ/DrE+gWkBL9qeAPxxIoS64u5DPeopFwt8CuIR8matC3irS
QVijLcEm4h70F0WuIF2NI/44TNmmDfLiBUXY/vHyojHNj5ZJ+trxMhSjVBTnxRymSbpvnR4mAOOb
17uRk1MP4m/0ugOrTpIeFi7KaV7KCCfLTRc7uxI2StkaK9qwS+msaL9FPi/jVEXkbPHbRS0aNZPt
b5MCXCC2coAxxNnfS82HeJ6V5SooLSvIO7/JdN+INZiP6ddrhwgPIiPZ6DQqsuSGk99OoADFONNv
jvXazmr67ecE8OG3J4Edw+9FjFEWQNGk9ck3QOV3l+PI9PPP7/zwbEil0GaCF07UKT6H45RBGB/E
mLAfIWId2/YdJJCfr3uVfkAQhVugU6oigABQj4b9EII0B2dSEuSWbrxyprWMMlZuE5R5U0Uy794s
r9w7RF63CeoeVrGCILQF5fZo7uSr7ON9Ruvrzjd/byof5gHdHEjeBohPp1qaHQqB5OByOlbQdq/j
lYRo2DB0+cIBeGovtrDREqhbplZw8KvuMSnpdQOvqxQ2zJtTwYHb7mcOMxG2Ve5aT8CwAnRePrxa
2yAokzHyu1ptUjlUL2COZCvHJsNWrWMBG6dlKuvzMXI6CP/V9U4FcygKFYphzeTU9AHaEoZQOHGc
MsU2B6MdT54lQHKydpgxPfz89w+xA2IfclsKiqGcn3hQh0G9Bvc0PVlbsgqMZtmmAruMp37Hle2A
pOql0xrjwhSQ2lKFRxnte+KDceHU7d04zfkzEE9xNDRuvlL4NL1CO9n3SnoD3LVAxJPJKxny7Yil
FioJB9bLWc00RNpGHDhxns0U125cj2/TWD779fB+zaOpDvCDOv8YWzAQjkYXvmB5uenWss3nP5rq
kL48kXBAgcVKBNIvRGmmsHavyjFUZ9GDQw7voh60SmgPRgKdK9IFL17Cd5eH5PPphB/Dv6EuOu5V
YwHIN5fYYEn8UpyBP5BwX5nNz7dDqossUrvq3XoAMRL6vLvC/Z1P5LDAG8iClk4BXvB1X3Gelg8L
1q0BW3IhixVZg7qXln2E9dBb3iVXxTzVsX0Epl1sbu0BbDUYBQl2zOXJq9dg2qYp0BatElO+pPBS
iuKmBqecwrBd5fCpKNSayoPpDdqarQdwimDFk0S0Ej/SzI0qkv2cm/rp8uh/nu6prnXQyTn2ZI0P
6GMBZksBdwnXuuO2D91Z+Xz5HYYFpiP5kjwuC29qID7AYVBXHdjkrhwUDBGqA/kERIgFY3gyuvBP
Eu4yrT987ZPlEGMzH6ppWdnNP7+VUx3R53G7gaInHaKB8T/pLG6gWg1LHC4eut47wNEGZ8TAhWGV
n66hRg3zrgP6psaBTUAMbESDjWcDwQG4r0lJwzGF0cjleTGoQkCV5d+ll8OoPocRZQ/1mrGGJGI/
nBJZAnQWyC7+ygWE5JX6MkE3Ld9CsB96fo11PiW1Evr+pAk8uomJgFhD7DoEDhcMNmVWq4QL1FRR
Pcwwd/qZEKLg0coXywp9SbNd6aVdB00u58r8reMCYDC7wNdpgiAIG59pGTwUc/L18ggZJkHHBAAt
F/gtFL+j1GKPduzftNL7Arze9vLjP7+3UldLfYuXBX2xEHRXifyWcnQN4vi+7GARyZ3zDcrO3tmA
Yv/ltxk+RkdN9jN8JOcc4muUD3Po1/SlRuMKRktr1yfTOtcOSAuhM/xp8QIYaXkVqB5v1/1wLckC
mC2ssnWGaGG3IntX2W0/v19+tCH96XxsCj1nOOh0XQQfiLoJaZ9bTdgToLUAj4MACShbZGWyTaOj
nY0STrgze/OAPpQfttP9AqX9yx9heLKOifRRu09aiic31f8cOBWvbZ2m557D9uPO3FopGRtE/8Ka
XTqIOw5Hscs/2TDuOvbRCs6VGl/A7GaZUhTr8m9d1RwcAWicaOVK1jYEvM4TT+HS2gxZHp868BEY
JQ8wktqzZK1+bRoeLXtCYbeEgnoCWqWrxNEb5/q2RSNz5cf/Na//b8GO6pBHwYPKHTqF5Voq72il
SxrCUdDewLALJ40ZLgZiiZUVWr6VQvI+p1vFhnJTuLkXjpDFDlW9jG8jmtLbFkr5oR9ztCMtUs2o
X8ZkaytePwR2Ua4ctEzDoa3+VDStHSzQZSJ9XX/L8iC7kzLrvl8XMFoOqFLR5a1I5CkonGYDoZfk
xhoXuU09G+YWObSornuPdtyicwZFoRSbCSyMQIX2AGoRwbcZjhpbCw32K9+i54K2mAqcSYfIa75I
7zckZzeivWH2yr3DMBX/gZtWoMm2FkKnb36L7GdQXodjpTqTGPzSMUgg2B35ToRDwGbha/LghrX6
Hxbxgl+8NAsSgl++ZIT2EHVKvmax8+3yvJqGRIvOpbLg0ojrUmSTBziRw+dl7c5r+uVaZKbL4mRt
L9F56OEZloVZJcKutK7btF0tHnHsg7kzqeG16/u7bhIhJ2yLstJ1o6LFIdSqks4i+O0wsAhH624a
1gALhgSvo9+CmlrWDKmryEpgImHNm2Vsdyr7OpVr+6lh3HUQnKwpjsh9P0ZuD+Gt9Jaecd7zypHD
EC467q0Fgw1+TT2SGTw80/mByNfLI264sejANjiFni1ycJNoreHUp/WGdjC1q57gi7td2nglakw/
/zxmH3buoEPpgbsoPHiZ9wQD7g3ryi+XP+BvG/iTfck5v/PDs+EPMDbZPKCIBEsjO4Q7EwlVJezt
BKvA7awo+uqV9Laje/YRhl6kOhAbxgx50mbblDX0GCQAmbDAgf7aEEAvDHepyOqa/gn9+S5Ufw2O
ZnAVhF/5944z13nY1gwWHNBv3sdF6iNT0vHeO9t/MdiR7TwYrG+LMsBJQtCfl7/TFMDa0iAZUDEp
nL4iOCeVcDFN91L6z04KJ1+O6/11E6UjqL3abotzUj3V8BpQAqO5hgQ28LWojlDzcm4FC9iSJ3h+
pe85pOWSTf67f4OJYnGfv/F6E5fhGl7TEHA6/gyV9FoWNV4G20IIpj/FywoH2jANOvosYz2AmjVk
qWHv5Is07JwyjGFOUU7D9vJEG+72trZW/DqzMsV4EXl98t4PALOq5CvQx9lG9NAFTPKbvrXuarjp
XH6faai09dMVI/xYBdamPb/Z7Q2d1lKuISHa2hZXz7xTo4Oc1fhNsOOsH8KG99NN2fC1ioFpNti/
a78di661Uz+PymI5DU65RLKd+j8OqBV3qOg3K1NiGiJt04uHdCG+C081CcWhaQhuMrv/enn0DV/g
aINUBdLhfgY5Gjin8rAI+qe+6Z/lAtr71Nxcfofh5+s42q7wydz7cY82fvbo9PEPMDhWloNjmGRH
G5q5x7Y6uO0QwWlw3nR2bu8AFLA2jjcOdghySxGHKYx2NhKmtTsJu/v9LDJfhi48NgGqghEf3EnV
C6zgq1svg+8tvORg25xCUrODvPiXElSrF+IwZ5sM8MrCqLR7Nc8+bL4VwGE1S/YiEN1LUqj+xF3W
wzm387MUeo20+mOrij0tbTfswZvwBti1woSyiud6N6gJBlTYPDYOLnmsfCWeFZeHoXC9LQCf5B5G
jt1NQ1S6tyuef6F9Qv6USSJfIXY5PDA849A3YDDD9sI/4twSw7uOOw+wNEf7Il2AWV7JyYaqjK1l
/oaimQZVD5QxHFceknSSL1Obzlvbxs0UwDcIfI8SNrss6GHGezlkDGGp4xWVlbgsDnDVnroR1h41
RV8Ypg3L9CNRw3Vh+R/YYj/k3VDjSDbT7Keg6S+YXq/tNoZjjQ5bxO48u3WzFBGcU9WmtOrnasmj
tPKeRyXvOEwSVwbKsLZ0mCJJ4aHo9WjR21MCX6chqn1y3ZlPRyLKBup8SjBcQcZ2K+kbiX9enlzD
DqMjD88M4mVh0KuDF57/u+C92MOBHnx5+Pc+NtDY33TZbIWZ78LNnCdsf/m1hlShYxAHWzAXYk8Q
2G/YDvDafQI3wGRcUzMyHTA4+3czGEAIcAUE29BNHOpk04CysetL17+bbPiIyhju8A2hYp/4qrpf
eOw9VC6NYYouyi8ztGzuIRkRv1z+VoNGJdUhWlnRAZDveOi3w+N2N5SwfgZMqTnbdY7HubLdrYVs
vGuAmtw1BS92o7Do0YGRPfSHVfe/pPbKXTnG+dfLP8iQRPT+f9FJuow99Hu6XPWQVEOVwnXZkecE
R/60zzfKb1+Hun+//Dr6d1Y/OZbrqM2yhQYj6H7nTlSXRlbMndvF56oI/bZdvhP4lN60aQDZvmYQ
LxPz3B9+4YEdyGew9rdjaYtNvZQg6/GCezsuZBORWLU3kpXxgwpysiWEe/tiLNofcMsa7mCz6UHN
2HbG0CV2+gBHvWxvsaD8CYMSnsEJcRC3uWPVYSKX7CGTs3VrtyndWxDBfCSq9h7nKvB+TkBSH0AA
nXt0cSx/64Dh/QbNh+5RNsLZ9W09fotdIV5SbxTvdCrTu6ob/E3St+Qg5iVpw4IW2S3IjcuT3VTw
71Nt8+JK9IkTRMVvv2ZeFaYdzb+izTFtxnKZAC1OZuAdPf4gF8HDDLWykELi/N5RiQvTz6Qtt41C
Ka2qYMCH6rPYqLq5b2Gq/E1UI93BPNx7G2z4lRd2Lfc1ePpbJQf3MMBjZuu1VH5fhOPAStanG6cl
zmYevPqUkbLa4BYoN72ATAEtZuyfUBe4G1PP+u3FDjukrhtvLQiF3Y7EicNyxNiXVesc0xR6q8DM
ewdLJtZP0jvpJnCcZMsyu5A436fsmw9P4P1YZs2LBzJjODsEzjwugD8IfHZMCE02Mgd8ETC89EXl
SwG3w3J+REXQBjaIVo8553DKgAflgde83nawydvBRghVcfBd0pBbsbMpYGgXVTz40zXDeIB7d7t1
3aa7repgPHiDB/5nVxffl0Ql70XJ2rDMRuANU5WvAUoN28DfNPDhEjpy0BPaJkCZLiXiljktv3Pi
66zU6N+E9+HhFGa1rFO4+gWsfvg/zr5sOXIcy/JX2vKd1VxAEGzrqgcuvsldq0uK0AtNISm4gVhI
kAT49XNUUzPdWW1tPTZmmQ9hinC508mLe889C6ZaOKmJdhcJ9v+5ifk7B/8//YLEXye9DDY9peKO
87tGfjH3PzSI/00j8c+sLF/QSBqHQIpug1k5HMolXMMtE8X6Pwl2/rtL/0/tkXaUQHCOyra5Gcyg
tkuPeKLi/6Fu/jeH1n+hZbW4txDCBbvI2C8YibMa2tjAxvnf6+S/fth/q7/k/f8uiNPf/h1//pDK
jW3dmH/649+ucsB///79b/7v3/nzv/jb/kvevg9f0z//pT/9G7zuP35v8W7e//SHUsDW2j3MX6N7
/Jpmbv7++niH33/z//WH//L191e5OvX11z8+5Ix9FF6tbqX44x8/On7+9Y/wO87qX//z6//jh98f
4K9/XN+7tm8n8/5f/9HX+2T++kcS/yWIo5TCbB+LSFDv8Y2sX98/oclf8DjBc4ERJH2x+Du0UMjR
NH/9gwR/AT0OQQZJGNAkpd8L+EnO3z+K6F+gZg7ASmEpkknwin/8nzf3p6/nP76ufxHzcC9bYSZ8
mj+fozRF7HWYpHFECI0iFv+z7jgamsDVJEz3YiDASJLemSPRCz9roaJfRksUaL82suxWqMeQ5Y4N
p16TkqwVojcaGj6DO2jLOpm6MrWDOk7+UNOzMv3SZxDZ2B9uDrtX/J31LvHq7bBR7f/s/DT8Va8d
zYLIYS3uApMv9TqWUV3z8j99H//4yH/6iMHfDab/4+zGh0xgNRUQGobYRvmIJ/hzR/UtGkm2zgb7
cE36Q9BOCsy+FAkfiBWsgl3lb6Ks4iR2Ba2A7u24qm4cFaK0m+MfE1aZhZz96GFm27pnkCi+pM1W
PyE6ZJqzQawRkKC4YTsSwgAXR2x4WMNoeWB9CgLDHMcjnDUMachObHa5D5ilv6oK+6OOt2rJa1ud
FduGbK4ELgiCBaqhGX9RuAQf7FBHOyjU2Lvlod4yzyC0fbdob8hGGscgnMO+ozvBUxo+S9/sdhoM
4gvE5va3kRM3RwPq5bh3az3KYgrn4YEYOWZjkvKzWpHAEHijRFzeQpHH14fw5+4sNRmflf5I1009
9ZLCWx4hQs2HBDH7h+5qcAu5MwWbghRMRlPHCqEIZK5LW/VLUCgSJ88erNt+EL6G3Q6tsoJW1Oum
IauRVJBviKfo8xU5fS8oMGM+YrttsyFZ+zJxA7swacUxmeAQv1A/PdQzMmcjwKO5Gp13gDdCd+9Y
L2EfDpsGZD90v5lavVLMTXXLqg5UIVKH8zlG/uglNJFXJH5gL0FaqSs6M5zimz8e+qrv71fJ26Kf
FrHTcgGYs672p4lbeII7uwyftrc4bKs6uHH+TC7LUi8710X6hcwDlFvxUj+bqvMK1W5IiHI+g414
ALJMS2LWZ/2o9GdK1/iuIiMWahvSK5RXw1h9a6CR4t5MEGrmjycvSsJbNU9y7xAmUiDd3exa1U7v
hqXolcbb1B/LgJAtFwMyLkRkpyNlvn5AKHl0h2RtW2Cez2Ou6k9UIu/EE9nnegvqXSMwRsAjhewa
FXnHTvDghTE2ZbGMzF62AVoSiGLekCyRPMADwv0e2qjliKN27ZPaGrGhnXJz3rfEFAqrcPS+MZtP
CP91P5PeIFt5YzVUACYFWBDFZiujqBp2g6hRCTZ33Ej4YaKlOiNDAudmPP5CTqDL6OA6pIurJCdL
Y7PAc/cx9dhXxMyl6SCQDFJZxouF3qDyyniq9V299KXacMkqPXf3Kwv6glqBdZkNyqCm475pqpOp
g0c1EWz9hu2TSnKcLXBw0LDOYIQMMCFAskntZWkfIgja6eV1DYNTlYYfIGiFReTXX17wpJV3uyWs
HLgSmVsa5Jq0Lzj8ryMdT1UbXb26eerb4TFs9KGb4yyNhoJ16x7r6ktE+6yC+QHAohqLZYOHqRfo
++vxKsT47nXry5hYnSV42L/pPVlfB3tefZtxF3G//Goicm368M01zlyoRyXIY2mVt7GJ7qew+3RN
3SKMw9pbZbxz7+gJ7hrgVwQHsjbZNn4NYLdknHgnBHRQ+KbWBQLVx5zy6QofhhIVKY8qrNI2uDDD
zpadDQLNM68br8Txs0wJNmG2hK9xVm/xwdffiuogw0VtME43JiqrLfrglCJrHektlxkhT0codPuD
YOJK+io+jTZWB9N0+gO29qLohrrf2SAuIHm/C4z84XUN+/LSyDvQMT5163pd45aUPgaUpyBGKrng
9StUTV02LWkehQhf481pGbaMdK+rNGZPA6heKNvyHgWT936+qbd4Ae4I2y3kZXZfItSP3RCp3KQo
74beOiCs5dZCZBMPz0mMXBx227TNtYswQA69+Kx6vL7V6KlVWF0MqELEBFAizetjAtIKgs/2LRQE
AcJvcha3J76Aet74b0DY7mCddEnUmDm2nFfDvctC16V0rXrAl4v1DTsgqUXtfJs0pWqmR7PZooPD
ewYMvkR0bik9M2VrBY8n0l70GJexxGzTMp0nKWgc8PdEHF1brDAeCTc2Z55M6iysUNlo+6NukT2v
1IWk+K7AXX3tDCvbVDzMzXDXj8FDMKdd4bMO+nVgeb6XnuH53ORDtchMI2Gsr7H+9Lv2rou8OzzU
T96ksjbBq9WUTnmbHoOer5kUoKYyK/JpC4fSLPEdVFXIw1Dqbl2Ws/Lmnwq5eRX0+AZJJAbwy+qs
zasmTfbOb282Bt6bTqd96MeXwCUGtyt9rOf5hlfqVsDUau68lzgS52AFatOQDWr15aHHYUEDyQs/
ceXUGD+rZXRcYdObme3bszIsgoTDIceUwtqDiWGcD98J7iXjt8lYWoItZ7MONlQHE4xnO8QXq2i3
J+oLz1dT2LqNsHC3CfCWWeSwmO/LBgX+HNRc552DLRYcXa+NWknR+5MzUGz54l7A8f66MeqdBCWP
PEbCRDoQH3EJ+G1bF7kC9IAaN/2Ku8cbUtzfPo5BiLa22rBDt/kLvn9a5RadxakFfWS/2CZAHI8r
TfSuVtoVjiwVopA8mqepS6D2quDAy7xLUjtYBaDSSAgKxW7pdf0EIVoNTwZlt/clmR8rObwEht5t
0RC92IRbdnYVe2bQC/WM75YVGUs0OTGCK8WBBqTdDlavKSZKe2GwAdIvTAG0WAi+pslr7wf/+5lG
HJ50t6TmxSqCl8RLnomDrHjpGVL0up8hcHBUvwaRfYh7yRIrvsNKZJOt0fSW0PF+s1WTQSwHER6F
mxNOpC04JIF5YbpKcSN27/O4oWqFbGcm9amDRmRJ0i8Z4nM0dlQLCqcin4tInqXjJFOxWopJ8V/J
wPMUCWBFO3Q6n4w9bh50FjOydHO0lE9zHR6VRw9Ct/dTr54aTOl8am8qj+QuaSCQFvc2ifmtGJ9m
fzpw2xUWqqG6shlvxNXpGTGKMpW4U9I90P4THJo0zjF96hjknLKKn/GOf6bYNS6VPIajv+tX0+Da
+D9sYwu4jJzAIP/dVeoCucNpJMM+HdOf8KF6VKBwJoqVQRfH+6o2j5HkKkcKHckb1b4htnfKJMEa
gnrJqU6Ar8yADYYVtQpS3Mwht3KPhIeDbiqaj1uQKx9Lb2uLeoCntRzi3CbiPNkK4VpeteWQLpGM
rMfWNrrUnT538NTJFlQweE7yjKLVz7Q33iN57tfoG3xbkFrvazXOBQj9CIRyNiqNfapHLG2R7aPw
C+mOYY3RezD2m2n4UsfARLu5fewWZFq1bFUHv/oGO6C1W6aVZYjBOCx+CJpkq8mODBKN8uZjCiC0
3iP35tnGWhSUj7t5BigUzyXE+nzPZDXk2CJMoGfV0NROQXhooS5DMnefloNrfphA7RvOTx4XD1ip
gbOFigItRvKWjrCMGW1TUBfxrFZpm3toL4qFtnoXY6+Xybb+1VcqzihHpQwCLFa09pHR4r9gCH2o
NrhgApcrZKLTPK2QQep09QVKceEN7kG22AirEUJi7nU74UJcYIua2BUxalPjxI9hatvTGqEBx711
E8RuehnQuh3qmh2rtvXzZRx3vmJYOEmZz1vzG7l2wJnE+NJ7871KwhdC2AGpTnmF5B87h31uvm9K
Cl0OlBZD1qXJneUsl7Lpjw4Ol1kY+xcvpmwXDeottOht/dBPc390KB9c1FnH6ZAhD2rOa8mgWK3G
B8SivHSmOfgo1JiX85jqvDUDim7yqitfo7Qt0R4mCX3B4Z422f452fw2j5Qt+wE3auDMC+XuQqCy
1HQ7wI38ldZbPgzxPfLVD622z6tlONC9vTTxp6M3dT11u2VyBFls28222JsWSkc9saWom/a7N7sJ
K/MzmtDmpFCJIkFtzac47Qutl0M0xdO7mqsyGfEeFh3SfB7dm9AKBqbd9o73+s7W+geZ/FvdNj6e
ZTKAaO5VGRfLLzbwh8g153GKYTGDkll0NAbvxcY1VlNjhGuThC0cWoOiYvXRkOAMhD4Tnd5Pgz2L
yRc50fUV9gHNXsWtzXqsm8DH1tlK3AUZdipTaVDWEQ72vp1z+o0Ig1wxRY+sHk9jQouAtttuhs8w
KWmPsuOPFIW+u0a9mXN4vhVbHP0OYAkcDMu5s01JQ3f1fOpKnRiAii28eMZH3mv09Si5UB8VM+Cw
jHhmt/Z22c+dbK48qn1RTDyODLDFVB7WFM911jczBsaB/UiTYToGQBT3nBnEJi6w3xPxQh802m4Q
pZKR55UM7BFEHnH0GyCgYdvWe4hFoy9l4vCVyQYhSMGabAcQVQ5gpWeoIWBZdtYGgJz86q6bSK/R
xegRyYFgBZ8aklYfMafRDz9eWlg6WIF1oFJVe4+JCtiqsBpT7NQsdc6FS1Q+sDi60mXAOLcgRCdL
bRB99Zg0UDO+Y7rQNYy/QSD9nieaNfqez4OjJJ4uV6UCu4v16AGDXPinXCt5A+aAd/ACRkrkr6/H
1WzzQW/Gu01mShAzKGDeYSvLH4GiRLsqsWgbpRb0RxuyJY976tWgZ6wSkIjPdiKdsB5OmP6E4Fuf
4S8l4sxLw+qZjnr5CLfKnZjp1Q+YqyOckm+IcPK5s6cghHosb5JE5skaiEOIhLAnRNUy7Ia96DD7
dfMZ2s24vEWMoQfUeB3YASZFLQpaqlmuB2l/m77x7oaKh1mYVCdrHRJrUzHsHdFuRLkb6Wc1E3uP
dmKG1Fo25Lb2thaDi4Vlh4VTStlQNMemp1GuA2oOJkzJy6q94F1GuPi2Hb427BiekGVoynDqIaLQ
tr41UXTkTf/CWl9l2rT+3k6T8nKNVUEZyUZevHS1+1HPDBMW0rSwMv8GF7z0sMYeQjNnSb0nU3dJ
mle6XxG8hOMuq0UaI3NrDpt9lUTjM8QDzRekw8sbtuDREdSVZTcODi0zAaNkmwfvghULjsJqNScY
usldnW5tlmLI39ulad45KrrG9OXQr20LTw4LS/r7fkq6YyDj6Sada7tzaxMfxzU2kBAre1hZVQGr
j+Wrrof1nU7mdbK470EhhC2l3osRNPQMS472lx91qKtqSpse0xJkJhnxqzR3/UiR57twICVk7j5I
I7sbIsm6gk+CptFPAlJ0YZIgzqer7qk/bzmAB1h4TYu+aEIhFsHAj7dtrx0VdD8GRu+Smo35RONb
HWGWk5OfrUNob42AMDaDEiU5TDVIZZKucrchKu+XRzxeBEhU/CGXwO5xwnDYX9TVzy6MoyOt0eHj
//BxqoLhghA/bFDTDnFUKcrHYXRt2mWG6s6HDRd89ImbEsxeSXxreyw8sqgiw46GQMyaeMTqK4Q1
l0za8Gto4+4nRgj2OSPWeOeqtTpLRXSm68a99i6sr9Wa2ALWl8kdMSsrsZVpEY1mppIsPYiOyFqF
1MUiZ7rGSHmqxNDe+UmPqm3jaQdqXvdKUoNNS4gwoaRGBGdLOv+OyGR96Kd1OTfJtr31AU462szx
QxMwtw/7wN2QJZ3vUum2N5wPBJ0xE+DVSTKXa9MbgTOUtxe1xCzM6CbF5zwptJDoWc8q1eIeGzKS
iykKnzXYmVkTYscXuNFd/WTCKYNJb5ryVMAJZ9k8ldOYhIj5raZcYnt4g2mlPaaJoncpBdMn5N5W
DDFpcrb54VWJhh+aSnY7rLqmklqsgGfH5mLp9Aw2ih8oWMm4vsBR6pdTkCRFneCljTRVjtiOKmeJ
P7w6Vm03QyCjMoi96iYJzZ1ahyeqk3afVotFj4OmIoTNbTbOA3nakmnJwxjsDIpNGCZjCUdEUm/m
B3i5c5YuMPIdpTDPyvrkFHwn+XWLaJ62mXXlFFI0kCxRWZJuEwAE6oIrNOGphmo4xfI4dHFy7/me
fhiF5OdorPsfvVHLvBOdTC4znsudbHSNbt7M3q1sXdMcQo1BEFazDZ7uRA65j0yqm6EfJ3+32tEz
Fyc5QFSj3fLNXAd3uPBHYa7DKPvntuITyVya8jsdu29lVfs9C0Z4ILHEBIA9YwLEBE8wkbKR0eug
thj5tiQpmg4ix4Q38R1HdxIjTF0m2DRCVJylsPDNsJLTxTj16H+odbpMKslPKtTqI9hUcIwavn1D
nPKOpiEOBW/MgyXsb0Ufm8fBIR+WGTPfi35EiaowzV6w4ot3M+1+tnwImpseWbBPPXzS99iJTD/C
Ad5KXuvTvRxbdww8bX7Zfqg+1lCFv+bWD58Ua70TbanxcxS+BqtqLxVo7oHPqp3mrX1J0qFdiqpG
RQbmAfOxcA3YZSYzZspWr2BbQ9TkvTFey/epa/ivKgCcWXYVHw8LaKbIz0DQKGa9NW0PTc/TKx+8
bWdsMrX3wrdgjJIE1JtiTDTK3eJmTG58FdWRpANKlF9PCk19W88lZuDoiYV23a+ei++bLmRXbCHQ
BGj4Tp8FmCO7NUHjmDV9yrHyDMbuMC41XGR1n5SGR8FuA0BO4dSkLQqGUstpiwWCxCRpkNMImmMV
lgsAmxvY/owHO3OLTatY9yEU82+V6cOfBBrZPa62OJGti8NcwRgOSCN1w2cdzNMRIa7VHei55MVD
g3IXT0EdZC1ePx9ky46ThLohC5SKnidstPkOgZPtVfGA7tem1TIfto7mvPOwtu6CXNPa2wciIEeh
Ccq9U/H4pDnMubBCgmBfNM7djZvyLq2g9qNGgDBwq00+wWNesgLZveHtrMR6D1F+CCfgBLSHeuhl
rjgfw9ymHrKZo7BvrtpLvaPv8/k5dMY7OouKBL+sWv9g3fxZLw5C/llCvpM7cDgQyX32vDAPuqVA
IvR9VdcKWSb+hjzyDeNEoKa9ng+1JbZHA+31gOArH5HHKgFtyOcCKEs7nvUYhDfVPPn4RrHwRfAi
RghfW1KA/OtlqGCf9awAScsgukSxHa+TArFA1j6gowbqk9NmAMfB1bH1yqAHmsVm5ChnZibb3ZpU
CUC2Zgl3YpXbfgxXnOwE/ZUYYzS2W98USIvunzHUQeNPF3mDAXPchcKopzVFkAIUIt+cZxLFD4DP
JCLuIpcvPbE3YzphoDHke55rhMuDacBdEQGbbJROnmpZ1ej5vXa+KhnR11F6dD/jM73EaywOZrX5
wN0cFRGg3/dqazzQW1ewnC8xIvW2fBXdDz46UTapHouGYwWVEdKm3w0G09mCGhKXYzuH+wiIt32Z
Z03vMGIEyOsO4zAqqg3amXJTld0NK6rOHWlHecd8kG+yqBe9xYMux5+w7ek+tGYcozz41TetmsxL
2HnsYeY1sOFJiY+tU+L3EE5qh1ZkfobiCs8ET8nPZZrbBWtAyZ+mhsqDjYbkqOsASGzQ9d5FhDW/
m/g831ZEescp7uact6CpSHAFoNOaQCWGa3rWc1/dAWXCnWXS8L1lCHzYc+PQ5IUkNmVfL8szYLEJ
pvJtPZW16KOcOUlKzIegVHlzc2xRlW569DzPuD8+J0HRGABd2lddah49k5rrNn17aVkYOD5A3qmb
AjbQuBXg5i0eGHJTzz6QywIBuviG5biUWAKIT2wR9H4VbkDGBQ9c6c0enp1Jz6mfwSFmOHMB1B5m
FA/jDPQriFd+NY3ySyLS8IS14OQyA9O7MpmEfG6QnL1DsRv3BJrWoiWun8C1qetf8cpCDkdPHA/B
ApEGBWoktRk/8L3CsKlX5itZQ14Y4/n3NLXbrfGTcBc0cBtI4HF6EauP4YkkkwFMwmP0ahpu5Mk6
3oMa4t13/nZN2/Q6dpV9HBI1lLFHEVSKtxrXmKtAMK1lvD1zP6Cg3iTrCrOReBjRW68EnItwYd5x
27AR9aagKhDEoB5HHH65HJOx4EhNfRtaNr2hyKxnQt128eFde9Ngrjm3gmzPdRgp5IJT9dY3Y/gD
Ht80B9Nr+cU7GVxFNX0OiHHPjGyqHcQZ5hxCmlVnvoZgLsc3seXzMkCHR6rhbuls9O7m+rBFzJ7C
Ee+Vw3lqzOpl0kcg0vaeCkZMzicggDlwvJ5jwO6Gc4UJa6OW33cxhNQdgVno4CdqxXJAmBLHmPrw
oPh7RhUC2IERdY/RCt1VuIGwyWThRzVYTCL6hHKSs2wZwgbbkT4aYYVhXXuIcBbt6NZ2yG+TXL54
Iwm+aAIgMZTY1NmKux3G2/UybttSdtC3ZGaYxMmO4Q1HQBZuE/oakRFaw2iJdq4Pqvt21Qqdb0uq
vY48SJKT2B9ukU0HvEZ6t7zV9KOm/nvPmuYlRWIYgyEWVhe+2ccDYDyMXNix9yl6pal5laDCiYzV
juTSs9g9UXzZwL4d8KANTRdTkQ/5J3upU8Cadb8luTXwhF3mY+TLMe+RTY485gL4v/e4TGOEQA7g
cRh/VxhHfs/vc3CnJuVeRYd9ikXjhRASfGy4nnRFrwUu9Tzuk3GlTzasj/BfAlaZRhsm0S2XDdwN
k+G5rsZnzTcG0rnzj2gyTi6yb95ivt87N95D3bE73qnbFYnIwGzPkfTfKiFumEZGc8iPSMR87Kx4
6NbxsnXbgEsRcYQ7Vw/1PCYvQbTxvBFLldfMsyBP02OHzpNm/mr9V7SdkMAgzYIL87hSrTKYVPq7
0bNXDBsY67nc0xUdNU/o8LEBboZ3pYvAGYZWZc06tIK/WruyFcvlNMk9xE3vJxJDASjR+KodsDB3
gjhoLNp1Uq8rSt9+ayCp3FoWvSJGyOR1s1U5dnDfUJNaHw0e6SHv5xhb0ChKAGZPPXjDk+uuk2Pp
Cii+6s6Wwp4ptetwNDLGGpix4Q1LbszUfBp3Gnr2AhAFNvCW3CJ+jO8Nd+qQYm6bMxGFvztl8SF8
WYGxtHnzfo08VMmp4Q8gaJBbjKQAe8fUiX1AYbG8oBbubTKccGAtrx2krhnCZ6pi6w2gfEzmx9A2
1YuvabCja4rNoSEEQ0PvA3bJwhmPWMrYuoOJOg4pb5nUQy1Bjj74IVZWiFzucZEklmvrEMD+rttK
G6XpXNDv/Wwe1CCAZ8o34zNj0ZabBWRnF03ujGmRlArheTlySJAi4zXr/CPF/vATeWvAx5yuzZvv
YvnIq8hiZxTMebQN7gZQsPALxFLFx2HjLcRPthEX3/MCnZt4OuOoXp+5B1L4BALOO/XmCRgfuow0
jwMzfWpl7Ml2tHkFbwhMSlhsY+Hr2viYYtm8Fz5ZomwCF6POIaOK0IL5iGsQIMUM+bIynLdby/mc
++g6ALC4NXgC9rY8z2LpNgzWA43KCfnvZwReeLKEZ05YnXQdeTr3NjIOO+zxBcSPWMY+cbZArLMl
5JKwtcfSv/eOnuvha5bY4BG7Qw04QWx79KTVDag5HgX6WA8neEkonrsoMHdVjyD5dnBhW/Y9YS9x
kzi4TzSTxBMjGvnCN9rvFolCvGgtHpCSHsSQPYcYEbY0uKBhJEcA1x4Yi7UMcSmkjwat8d2IvHS+
0hLorQQ7iIBEwNNwLKhhCcKrkisImwCo4qbubuHqXEEFoNtd5QXYQ2G6bZ0hOGB9OJIhNPN3OPbt
/cbjFTveUUV30YwHMF8ib8b9iEi0REB5DYchfdchk/AVS7dl13rcK2jfhjlObHw+LBax/sfHa1ey
PCyVwCa5qbUHi8/VXUU8y2daVfXBgVWRsZSZ3Ubj6tYPKnWomocmlG+RaF9jTYFKsIZlaewvT0Ow
yYOP3vUH2WR4z8PeIC29X94QzRPuTd95ZyWmhedgJNNcqZTfb6Zpn9w0q4eFbb9g8e2tJeA+BfCp
j32Swd8BMlG4/2Db5UHd94hIi+pRiJ7ea9InRdIOOsnrKEk/VvDbj52TC/bfJMCSATXM0773O8B3
mPtx17wMmEJ3KAfRsR6Jn/f1EDUZh+gO69GAXtJJNqAgpMtJzQNGFzUGv5RXJQU2uvHZx87gJJdF
3LpBsyNWhTXo7eJXU6knXvny22UULX3f4XfAxbYDeCfx+ecoRvliTU5GNpRjkP6e+m27dmETgpDd
fkVKQ7WTcF5iAncXNrTdHVBjdsXq3H9sGNxQHLY6l5b3gD+rzWC3gc1Yhsy99Anh7JpkM0w93jHg
Y3zSmH6z1Az0wYYCmNO2wfgkDDsMlsjGEodm7VkZOxZ/4fYH40MZ8jIhP+CAIb8B1OSlO8yjh7Rr
t8McDwGBaQdNdou3NTu4A2C5xlVQZfAkQxNnRngnI0OnuYXGqSoAlNMHf/neYWKw2/bJ0CKoo4+6
NeMaHOc8mGHyC+Z0HR8BYgX3g2Dyfu6a+XZ1XF66tYnWfEmx5PcTFhwx42PDsPYAq7iefg9+27zO
Xgz3a1zBDquO1WOl5MPzBuTrFWgcoDMtybnGSJnBxU+XcgU9iNeAVbDsTM5txA1izrxlp8Ze5czE
80eliSrGli3ZFvbivGyyOvKUYyMZjqiyaWIe53gTtxFU+oU2BpS/AUF7WQ9vE9BBvlWgIRq5ddMB
2H/pQ9QQVyBgMXqUqnfI7xZJviqmX5K11OAm5JUy97RaLUSnMzb0ys8VuE2lnBMSwkkBUZNhnOKS
oT2pbsQGlGV2vp0RNZW0N5ws/IYuxkG00XagMnyPzPX/4u5MlutGkm37RShDAAFEYPIGBzgNe6qh
lKkJTF2ibwP91991MstuiUd8oqlGz96krCqzyCCAaDzc194+8FtduVz3nak/klsEkUlyKnFNcVMH
af8gVJsdudkWT9vmDnjkzHm4rHb1p+CWd0yarfsjNqn+6GeW/01WmMAu1IB2EGp0B1s8EdWpKJ/o
CPs0mypauEc86NV013Y1qfvR3izecSfvHInj8ZiN3c1qGutISd7ZVeXUPJLz51mFu4gxIm1kX5FX
jj9g7rMci8Ju04gozOJ07tqHcWN37CEfrZ031+MDLR+Dz7irqpNwuyHZuf4Yu9zB8nduz/faUery
76hnzKdgENXIJO8xEE+cJQkbto5+lwWZ+82GwYtI9t8FUyXJvMhEAUOQtcEzkQq6Vawe3V4IMwcz
U3c524nufApe7wWmAC3+UfvJ6uMvRbWct1Y7W7414DuPIxd5DU9vY2HltXm3r+nrCBH5HQ2hFabb
+n6yVyAXMV0zjntTkGnbx+lAi+PCb7pPBozlGEN+kgKVTvq2MEMYcH3eCwrHd0stHR0hbvW+YVJC
Rd8jsrsnu5bfT/Bfe1+73d7t+quuVBs1DsIfauVSYh5aJJK6vaXFHLJgrFflN2fe+jk0Sr7ddv1A
Iv3XzqV781DZS8bGlJ1GOl2HM63Ym6ssd9hqBopiBxiVfi8hDfYNt7ZbrUfsfsceMO+3PASAV7Un
XWG7NpiiHSj7ggvPMpEsjT37R7oZumGRpsM+c01+/H1w+y772oOt/zVcYtnPSO6H9nv9bui/fx/u
PreX/8//BwFucbY5/b8D3Fdfv5efa+RA/9DgZ+T775/4h962hPsvGXhQw7YjXN9xzx22/8G3LUf+
CyrAloFQga2YLLDV/+a3QbsFJ7cL8M1PKaLy/+W3ffdfdAiGueZnmFRn4vo3+O3nukBPgpQDNVOw
d3RgB/JSEkuRwaPURTigmvShb5pkv+bdcuz0YqCquRCRhnltZTyXQJzHZNV5jq/cAFNH5KbPaerR
91KyMLhy9GT2Pk/zUrMYxJta6+lxQlqz++FzvMBvP1cs/DOcBE1XLsVQOj9fwNuDPcRN4XZmT/dA
yZ2rbXe9s4GD5a0f/RdDBTTSpLcsWLy6WGpY76KTpX3wPhGWjR15kGJXNa6gSXYji1e49OeqxX8/
V+B6UmuphLh8jYa6hKAiY/aN2xf3KSLzIzkN9xNljuodV28/6ksHfMHxx/5Ooh54ZfyXPqPH4Wfb
vu8GPO/zzzjh7UbWhE0s8XV1A3+87XTR97eUvvNo7nCs//XLfXE831OYUgTw+JfPG8Rz6ziVC4YZ
x91bvXXdHdVbnEBmrelW9Jqxy8vDBWzhjkKAcanK7aoxmL2EHrYtmFoUWCXa07PTt2GqAT3o8vT7
jwdxb5+lHoqVf/57ftAembXN6mxe+/0K3n8YEl882nMZ3FUO8DJygNdaRF8uC8l54AW+D60jA9f/
W/Pww3ilpwkjiqXf1/kmqV2n9Kc8m50ALWevCHf/Fjf95yj05OVYF+L+wAFG5N7d70eSn1eFDyaZ
kH4I7SLjxpIk432SOI+B8Kc3sgnsmwBL+lOhqIi+ModeemgmrO1q23GFvmzCPeOPUlYlf8gKxxxR
TOPmFqTZzTR285dff8/nwpi/nxm3ExvxjeN6bLMXz6w90SbeBiDnpWej5iygN9AmlncDZcYAwnD+
SvrTo19Y0sWHXw99uTNIm5qqsLXULskP/9I7tKWvbEdCA93sh2xv3RMyj39Yx3GNtne/HuinZ2Sn
43DjWTzXYwc5S9F+mENub/V90gXpXskWjiPLvIdWSG4dSlnunuStutJF6u6d2c7mVz7lC2PzkukJ
78CZUr64OEWmzHczqhXJXpZTduOmvn3avHGhj1SCeCER3+ZUDlfJBjz/64f+6e0KwUHpcz7bmF04
l011x1IimSABRkmw7k8MQoUqgI5eu5UsqTY1pQJrOnYTDICbxN0r+8TPiwm5ji0CpNQO+y6xw/OX
To+GQNDjId2bzduwzXM3oAlQT7cdfLGnB6QItUsma+djjHOKTU2SaqXcKM6qkV+/ip+/gVQYvAsO
IcWaunQLNGWd2enQtftzsSA0Ov+WyQbkx09JB+JpEHVBHRwwIupfmeEvD6xtW0mhbRCC5+8gnkdD
46225XHNhFq80vsCYPO42W59n+SjfFrW6a2/UVL79RP/tIEICdvj0xuDuAxBzsWqBloTIls1rbFy
bXCeW8HydQUukfX2K0rRF55RC8n6VR4O1f6l6Gz2rXyYehw6AMKT2zkNvIPxnemqrcgfL8YRb2dt
9DvYpuyVGf7zyMSemsgQ+SC3h0uPMHeGozH2XO3dCkkbpaLmz8QuPrSrdE9uYyXXkpw7aZY6ePPr
t3t55kpBqCvORAi3FdR2F2t6djqr5Pcne6/rVZiT/tjbUIs3enXfiIRS9K+HEy+Mh3xR8EUdV/qo
bp9Po6xBFt9RU6biKsDeuSpFykkHuJNstk8a4PkWb3PysdhVpvT5CbI7ZVnIGkfd4ylXFpSBV3nV
zljVWLKfTpkTzK98DHbU5zfJ8y7nBOQP/459iPYuLdZBa7jVAwNEcIM14Io39dsngQy8/EuSV+/u
VdDUy22FHat9kwxZ7kJa5BuSdy91y2O7kaQ4LvOyUJPNmq33dlsibcrpY+xkn8Z4tO37AIUn9lAI
FwKScJTLQrdrPPe6WOrUnGLZ1d6nyVmb+mRTACqi1awwM+jz7cTeV6qMt2udulV5GrmLzuHqUDQ+
WHlZVvfu7OrPptsq/2M8mDS5a+XUt1HcUBkjvZhN5S63huGLvfirc22lyfRhWw0t3lvMxxAXMu1I
KKFefJu4y0h+b3H5JJVDAprsfymdXWya+LGDlEngKQjSACjFar8f9Sy/F22znGqvXv9YwdIwOF77
2qNwGCRPXFSAblQ16KiZ2lkD/IE+PG5k2MYrK+0CO2rLysc9A5bitmNBJgeL2tzngKR9eyCJNB8x
NwtWCtwQbqTTqH4fN5Wuf8BA2W/6jirfrt+8+NM6zx0mzpSLqt209Op+0QtNDmfuJBW6n9hrjwUC
w54tJYV7SqVrNZGMa3FWNTRdtV8ypwBWWNGaYK1tPtd91Yu9VBbah7E3DlYl1eqG1tAny1Vu8uUz
4vLpHjcHfz7M1hBPD9O0dAV4fZuOhwzo3QohMgD3id+tq3LIvFuxdcOObGrfwcPnCk1N2vzl0poE
b/BeB97V6lsUS3jujMLUjCTxFOvMuVJxv+FaJGx4L0RNbXedJra1t6sisI49MtPkIDZrJeGIx4gM
vQGtetTHiX+v6KpEn5V+6LKoRQONCFhP/RSlM1hV2OGsAL3jL6q4hsVLBHjHavAhEm68py1elxzd
qlqo0K9pU+wR18w3i0zGdG+hMx2ufIrEU4j4FNq2JF03XgFz+tnBWdv4exBY871vMErBVoHk2F67
VhKEBYWr927br/FZmkRAXM3o9HbFgCtSFMODfCwLdLp7NJkCSJGNpT5I4xbv3TqhdND3iJfC1cTD
wd2yoXlL144zLzk4Sf7GRseyd7xiobvJumXVsXIQWz0MzaanK5e73P08x25y0wlPvlt8yqmA/EGj
9vZqx/pdO9T9bbstnbsPUoW5hdvPGEAN+TSKUFQrdWj8WN3+2NNw62jXANvH0ZPxoyx7ujhyhgMl
lW0+sZw60xGQVi0qopojqGJV4QQSxaWdPwkTxB84W2gxuIEjxzsMz4NHaiFnCGzwz1LfsnTd0G+d
0aa0tDZf/MRwXhApUiFVM/WtA3b43fSYiji33zhpWXX4Ya3lG+kkvgVtblPytO2a/gUwKAOvwx6D
x7VFQPLIBYTOwq3J3PZuVmp517SOKK6Dyh5vs16k/d5Zi/ornDGE77CMMNseuo6rOlvEFi5ET7TQ
yoTiHxcOpeYJgCHfFV43WmFMda+J6qBCJVXByc2I4+bJ2tU0Uf2WDw6sUrJp587CPCSIsi1IT0BO
QPPDpu2Hoc9DmnFlj2nad26YxV4asZtwiUkrhE4U6WovCMcqF/3HxMr8dDe0pp4QWLVDSuZb0SVy
bEWW7UWftmiAqrkdrppmrqksNSoA+q7xngkTp5zng7e2wj7bJ3r3I93A1qdzxXUiHEj4rvmglP9W
ep03RZJeE3m4rp7+XtlTDKXhc1XdZ35HGtjvF8rfucGCeHBxYhkKC3ExNqvLYSuMBZs+q9E5dP1s
612hlcAyvw42+j0qQJArJ8/zB6oVdRnB9yTuw2jL8YOye2XjWjLOb4IgSd/HevX/qOqKm85U0y1l
x+0kPhWidMgRTzHVvnQp2mBHh2SJDhHf/m7vqwWNw7rUmx/B4QuUflRAN86dea5Cf83qpyKJvXWf
xXX+6Pc5UFqD39e409WguJd3unq3NJRWduvqi3eqrpOvJpjaNiREI3/l9zg3FCsR3VXjm2a9Kljn
yaFOgrU44ms7GWjCQh/mBtwh8vF94TjSWfKdwmjXhxhYoUvoBqGewDTP3mizgDFy9ArIrVA/Ikfx
tpFOWuUKp07XeNLuNYrmJh7etQtI346S3kwXc+m0uxX20bANLDRBWGOnxLqyUdYfvdm2v+rKXXLU
W44vKDHFOjRmdKg015gx7aoVz9AdiZwqOzCl2JYSZ8vvtqBHYot4yvouUm94U7XV2l6tU9zuPWAA
jlTR2oDjOd2fdqllO5CJrkRKVZi4xDMu1t3h3LwW0bqBoQtJSXASjXWzTuG8CEW9YUYvt6N9Xx3v
ZDVROU0ygg7Wx+p8oQequbVTE3zxUq/oDulSB3oXT2V3WFtI6mhBEdTuiiDbvgB/QS03rV2gKAMX
aKLCUv4DWtmVCnbjT95e2ZAq/Mu1HRB/znAOVWquETF9SyRhxd5VjboHcsARcKmKz2OCoBeXHSrz
WNnKJCQ6qb94U9lWoTXJ5I5T0ExRMa3qC06exoHdF60+C54yfHaCEmnoWlSwTsumC/s2G+hLB3rT
mzspsu19gsL6TzwKbDxmN6P7d6vCruLYao2QSSUi+WaNifaP1qhF+lT1W/HQbE05nysUG9Iyj6ru
brLK4itA2nrV+8no72M/dvHVa5Lg/cq0xhg1p93SbjDnJMhWFH2ERX/xNY7zjiqpOJcDjKYPBOXU
5RxyuoQ+SgKtUkfrvZtVjWN5VcnFlIcZAci1PYjlz7ldnVOrCy0gmRaChZIPjmPSWtfWHkwweUoW
hQmgZHMBTo/F93iw5xXuZwDfJMkVPC5c49PTpiZsE8rS1gv6zdRWIUW6tYyImPR1U1uwwVtvJ29a
WfK1jBY9c0hsvbjzhW/MAQcIzWP1bpDssUiB8pOlqBMoEStVEdVlGldbUB4Zm+zkfG68ArEsvbLZ
vUq/r+Wpc+hzA3AXTDbowLSmB+cM/sM2lMGHmZ4AQay/EE1KGFDhZQ1HVeDs3MFy+Y2YK3lL+xF9
Qvahltgr4Dh1JtCHFp+R3TTI5cnC6QphQKZxxMvhKYMOuAIhkdbfZgJREjN+6ryvrSl5v861aU7W
UlYft7aZ228w/uIYyGFzD4FZluqujn0ac07BnGQ0yT3r2uIm6YZbs6X57TgYD5bR69F6xnpqD62q
qZ1pq3Xnq03PuUL5u1anzapQBDYFuZtdObkLzlEIp+rrfkONF/qq5ZJvzZ3BLnbJEDbSx8mqYCHs
KT1oFNkQoj6Gfqd27hbkM6Ys0hM1TsRLSydldVWeTUIAfUG1kCVP859l4oH1wLP0+oaQd8hOeR/Q
Uc/zPLTxm6OHz8FaKZZ/PNV40vZleYPGwzbHIumxLxg19AOuM66KNuguFKdL6p6s2W041jFZQz9C
bfCL5Y7iazskaK/WBIUp9lu9G81jvQXhlMoK6wlKIO9RkNPv0N8sywrL4azeRhKIdIv1DHC9qLE6
KK+b762Odpa7pddMWBV0c7Dz5MaflzppwC+0N8PuUxDlhs5Q6Gm/oFseSWu2+Zu8G9gTHYjYk2M4
GE/tkraUNp2AMRFc6m9DJhXVSLkuX61UjoZYF8N2KobzkEVpu+YYjeRzQ8QJl52dhqSBE+8mCwpD
lmoeIsQzdrzrVe6e4Y/881SQlzma1QCkl2NQgyjEQb9fWpW5O0xDyo85OY46og8gK5SCoSrIGs3O
FdQK6ssC65+YcFIgdCFJMMrd0Fdq2Unc44KDZfSM6iIvUpp/BguCV7HWfX6lN6GONppsMG6JTuBh
1ZvOQ5J0WXuS0lhEIfNMlO1lfoKbk2rX/QoK4lG8bwrs7/JsidKezofIvPwmtERbQoQCPIDPFMSZ
QND2BGpLqIf4iOh1N7lF95jSEeF9stjmWg1IKlAwx1z0fHtBCCjB5WBYe2JIx89GmKrCGmRkeUu9
d4O+PNWWcSYQu3H8cKZaFEnEdnTCHNn1hKJXYqrm8FqZmGpFn6iWrfX3beJM33I8A5trKtDGvsmz
zrjftB7WE6qcZtzjkVN/0V2JSniMl+oraj7aD81Qy5wVtXLbqJgpwSFz5KSLukbQocHQX0DuCneA
zwiGwdkjhkisY50mogqXekGd64zAQu08NBBUfrmdJlVZX3mn07bzVJ1jkQNMz1cp8V5em2V9yy12
5ADfcoIj6bPKhOUs+YO1BdNV71RBvRNdst10nobdGKE655M1qW3el/nSvC3omszddab74s4b+R67
KqMMH6kKpr3pC2nYfe35CfFhdf7xFZnPBKD5KAg8Plh+6fXhRMnG3jXCid+MCMoUECwnJlaBnbtF
dbIR+qZLXN2OJA/ckLq6eirgSZgmiWT7I9cKnzA4+FQ7ZcntbGHZ9icoDswntnkgpEvb2gVbs2si
FqEnZyE8RzlsBo6cnisdZEOJEUXYU6t/51UdIYNGtvxEbwHMyTv0w/txNdN2lLGR/NfOMtcm84Lg
SmdskHT7tbsw8ZZsOeAKirQ7WVprZy+D4+0hJ2i87OFiUIRUxHCAVe6sulCmxXYCkzMd60qWOkqD
WnzxxyWdD13qqHca/55b/GnW6o1dpToO0zRfiPCaFVchR+gBYxeVceq5pEWSB+pC/ns5busc4hDg
3kkDlMLG5gwB6j1dqb1vkbi4sWD5m51MUTjQphHecN+sQ4/18zS091hajOtV2zpzcqDgxavLjF8z
5WtHo1PuUoX1YpNuU1jXSyOPFQBhsCuTwN/zRuP4nfbon8IF9WyvNeaVNAcPD97+YfQtk30vszyh
E5Q3sldHI09FvcVxuWyN1dox0QpTBFddjg0ESGWerydvGxDbDbm0u33pCG8DeCG8JgXW6vc+7Sy3
990UC/R4elw/aLuYnYMn4vkqblAI7Cwa6vnhMmfLp81prdMiUnYkP8k5k2AHx++yMNstTP7GNiK9
bL7NNj8VoUnpmH7mtGEmM8KO5RbD2moMSdqPw94WhgJ0o9mGIwPRZl212snHvVtM3ZvYXswYNpwe
5oEeEnm381xwHxrVqTQ4aA4ya9fmQKOnekwoTXaFFXQH0Ek1RX4TqCzC4GG1Q1o5VoRmEpusaVy9
DvX2Uv0lcf+4awNncw74vvJJbHAYTvyp8yOfK1a6E+B0dugi60awkLjmT0U6DKVJITgIWZoYWbnB
MDvXa7x1n4AuidAWmVr+07JV45nFxjloGbdEhwjvljcK65n03ZLKfg29McjUWWKJiQD0F9lfepg5
X5uql/GOrRiDI5IFgDyLKBM35Gf65XbwMjinpeEwP0NfaMU4rSpuv1hMcaMY2uTJJgKzQllPfRrh
9obDhlfogWLYNuv0aHt+Su+aSiNYTDpr7sOtsq0+2tYYQ9ECRwvD1aJ3ktNcFDrZC0LPq8LlR6M8
n8c7cgmIVNhB5iyiCSdCeNHWCHuldiontMeMvi1U3LLPi2PG+5SgloUKyFMTNU+Ay2Q30I2lkFXb
TmAf+kFUGXf1WCzLbV8mBTAkcvHbTVpDQROSNv4rY+f9gkWSfuots8iw6uKMJ5ATxY9Nt/07hvTW
axD25gPq4Z6+oH4af0vXvtlObbBazinlJsmJYry4DGtEOg9EiNt68id6ST8a2vuBtRJsthG6AL2G
BSkQ9h5kYIp9eTD39N1O57Aam/6LEpnKQpTU/XdrLdUXG/O7B7mZkazFonFGQIAyVITUZF1uGhI3
6d5NQSbzhFrvafCdLbvqutb+0HPkfJRThVHBOszFk1GZ/a1TYsHlq6tJkU1pNriRLfnBq62c8bto
u8Q/pGWXn6SXOJSPyZUNO3eTXyndHVuOG2wzEtdPwjzvsuNoXO6wTU9gv1sssT36cy6v1nwtvrk4
wQacDJb4wvYxdm+JoVP/ZGLk6DtfEUBE5BkK5jvXsXQvbI9o5IzJklmkFPQtMVa8hNyaC+xUB2Hv
PeOSsTFq40PLzbc+Ga6GXJgDzX+qtZcIrLYSRF/aE9qnYCaIakmYmIiDfKP7iTH0nlzt1MYkOGtx
InLLhXSi268HLzuLAck9TmbfVo7i6lpsE2qITA1/VG5hTSHmaDW+EGKyv4yB5IQghUlhyoMIeZf7
stA3cQ+Wj6hoAPAXeTkzYwMukje+p+1D0o01RYEhibnYJwovkt49r9nV6qdrDqaqODAX9Klp2hJR
KAbpD6CyC3FMM2CMlyfGiY+Otmr3kOYBXaFyhDAl4luVfmKrK+rzfMBxuQiS79gbpoKg1+Ttnjx0
zifr1DgfW2o/9q7CjGUJkbCtaWh1q9VQRweDJbuF+HhPZbvZF3zGsBnpyXYSaGQ6SoKo+PfdhIsV
dnKjKLli43ZB+k71IO9T8yfQsNwOfjzNb2tVTSuQzOb3O5NoUYcqXZYrMVRYuiedX1WnwpDHYwTD
PgSz3H5IbOpQV8HEpv+OhE2PhcomsQOpSWPKw7SNtHvvkyElUx00RXMoRLpmRzIh3NzZKURPfNo0
CNadAaMMH19jLi51izNLbk2IEZh0w4NN/hsVVUnTcqwZukOADBvrj7idTLRuqSFzq7cmCDMrqZBb
NX51n7Yj2vIp9bYP5HIoZGm7Qe6zxeQ1bJXPfxiJZ/yAd9bHMRgnL/Ryf0rDgXtItwOezzFuK83K
1yZrDL47rRMZyaR1v+VsWCSVlFyPMS5NzU558Ilz0XdPvB2MZGhCkt60VI2CnZq24UY1hEA749Te
kQ2BmwyAO1bsbVWiHdJoKvCa6NY23ZdtwHLEFK2Pqbc4qjkRWdBXbN26EdGMaMm814TP3Gh0rpcw
TTYq+wKiWaFlrqbxdiiy9cHK4jg4rKVA085GPzW3dsOmftSbHwSnBYCTqAYHqSJaPLoYHRzRdn+S
zy24AcGvO7QXqLvTqpguMLlNOR2tzinfD/maVidMjdUJfVkldorr358F2VwZIs02b3y395ob3ACT
O979gEOZjq2H+GwUiP4E/UXYFqlN/JLQiCm0TSxvszXG99D3Mm5fjkSRtSfLlW67Qbl8BmyR/GDX
YXMtD6XduGmY0fTjbZBUKbeQUs+f0wxvoh0WF8pCHOxOHwAuEb9vm9k4ZakGRe2g+z+spOG6jeRA
xfuEEmQdaeXVJkqNxw1LQPyT5G1M8alfe5rk6MnU9d2Q48K/a4LN+epMLf2AVqfWX/2ic97LLUDm
fM71jrvYWYKWZe4Uh2RN3e/K9GjT1nrsPvq9q49+p0klBrFlUd9QZ9fClPgtO2Sp69p7qsnuAlE0
/wFnMH1Z5pk8SZzFTWSZuSuxt97QZHHUsTvHpECwIWFaYksVlKW/b2pMevaDRYXr2FhVdl34qvDC
IKFxxKkyq/cWRDqjy5wZffOYclMWpINM8oYE9/bWCxBm71tMJLLjKqFY7oj+uLGUJOTiG+k2U/w2
oz5horJO7fmvzkI+3fMplVFPlFvwGyxXSpHHpmO93lgrxtVvnEpV7v24LNP6oHP6AL1tUGKoW1n4
2fDJKwK0RIXIyS5TpTSPwisq3DalaFEg/bq2+1Np1w0AlpUvXKWlVJdgIyo+Gh8QokRunM1Xy+D6
D/biBHs2OffgQHj//nhCOjaoj2BksM7npWQEDaZPqSfQOokrtQww2vRlmZ9Mqjo0wUn8Dx3wb8Pi
f2ONF87IF//z//z/ytvyLX/B2/afn1kli3NV/x/YFjTW5c17+BHDLaD2Bo35h7WV8l+Y4MM++3+T
BUI5/4vausG/lHbgH1EM2OcfB+kw/1glO96/zogc3jRw3AAJIIf/NWqrXE9hv+1oAbQLvgPm93yG
kGVUsLWOs69ITsXXk3GymzRHOXta9OQGnzxiCHVC/DHYr7GMz6mVf4aGQpZ/M8UqOAPNP3JaNW4C
WSFjFMgj+wGhxfp+lpOhCm4jGfrha7yA256Zif+wfgreHeEQNtXC4zyBT+ZN/zjWVBlWdeqvlHCr
+WBIxmBrRq2pTPyPojvffUlJvoLKvDimYCwIaxBrefFqPatYCCpJ3Gm5Inxwl+67NaTJR6strPui
a9/6vZavjHn+nZfPCRnKopeSttviAsPyxkHZCO9oP9MmKcq8IXcfivXsNmrVgBZVnzS/Rcf882Zh
coCBAAsVVk7P3+y8mq0v02aNvLkrbly7y298xQ3V7tz5g22BHvz6S77whAHgNOk/m+mKzcvz8UyZ
GxKJ3UrIm9yk+EppvI/uKWZkyH6d+RWy6oVvCEoIKO8AvMDBnqGkH1jC3gSY2y3OGtm4UYZkzB6E
Vd5lFTGzX3snV6fvfv14Zzjx4gMGzFEJ4RtgY64uuPB1XRI0yAVCJMd/MlMeXHvbWr3yDl8axAfU
x8obbBBm//lTOfQmlb7pQS9jqh+RmRvql1uj9Sso089vjywxGxwvDmYMPvD5OF3RdlBrYo2Sud8w
uO2rKXtw/XNXqNEKVLBvcV8qb7bcVMtrXbIvx2ZbhRZTghsf2X9qt8/HdqqcLhhpv0UTXk9cM9vh
SaSTfYjNOZjOavw4al70K/vM5Zs9jxpww8J4HnkEVN7zUbfiHMwjiY6ypYbMkDiv92GqRbIdfm+e
QH9DXnmK6itzRV92+hws8l+poinioAAi5hRrCIc85MPvj4KNPsoIqE5m/8UWprQ1l5aX0lFEi/UT
lWpDxxXug/5vLjOe5kzL+mBm0Is/LTMSWC34QLxFHl4934DiHIxlRfVg+9VI6xAP7E6jlXvlY/19
wvy42IjYkXyAnLscywgGzifUD6tbj3GJPyMNkn2HdESBUmCvzHL0HfdkLHj6PNjHLQ0piQ9//V5/
mpzS13w/D5wRjIU18nxg1BfGstAhRp1yoShRyEeDxn+I6iQFDBLb5LcH2gc8/nrYyxNXSYpQgXAl
UYX2SYU8H1bVwTQ77HbYPfarDyzk0hN6l8drh09K3VjZb3UUVlT0iV+Q70ikRKz+y9OoasA3Ou5h
UdJ3Iir9pjnRvDt/ZSlcngiKiJq0v9BEQ4KBLp9qEqxpTQ69zVbvZsnU+ogfzXbEigvL7yXbXjnx
fnqLjOcyb9hdbIKmswrqx1mDU0ZDsSbVkZsGZr/1wYJxRDpnKBYHjotXpspPO8rf9wWmKKIqZEL+
xV5NqasaMpQukQFHuOoHwKctXfpX5HgvPRMyJF6k9zedT7j54zO1qLQ9a9OosuNWfa3tpvkqcyDt
XelYVvSbs/D8RA73EdacOiuSno+FnRbesudGfpN9zgPNJrtDT5Zdb9OyvjLhX3x5Dps/BrKCYPri
sRKF2tjfeHlwbu2NPhekNqxAf3eXPD8Qi+osW+OUuxStOPi1zmNe6KhSU/Me34z8uiKf8Monemma
/zjKxbP4lUvqkX4cUYUHwk2CVv1xpcdStKWJC7uSlk+//kzi/Auf7Y5/P5Zisz1fNDx98Z16iwI7
+5eCABnmJyrV2bs5adDCZmtxEKQpd/xb50Da1b7uXWuEbCFVujnjHOWFd7DpbXD96z/pPOJPfxFx
mION1VmbeBFPpEWr6KXBzFGAYwdLYHZXNUIdzFynYW+P3+y5dz78eszn2Dl72PkteFyfuXFpZFfn
lfPDGTFi6NMsZLOixXWwZp6pQiHrqo6lGq0Pidu8TeJxvhvKRZ1+PfCLSxIdHcE5kkoOjOcDpz3J
bavyVOR2k3uiwLLtsxG8q8xs9cqt4Xwr+Om9/jDUxa1B13iIzFTnwWTn5TZNBRQFxqlp7dGEwaXg
ZuztXZdZzoEmX80rH/XFNYrJJGIveRYvXAzeBMZdZouP2pMXOs50IT6uJqj/m03nP6Poi220S/D1
nCd8JGlyvNzIEZE1bFgbeq3sw19/uBcfiGs5kkCUpFxSnn+4cputjsiJD+cE07HG9vaTasbXLgov
zksm5ll1Q3h7eVGwxgwv0JzXRsG7vsaWSF1P8Zx8pI+P/NwIr77mPu8ddYdq/tfP9/LISFdhplgd
+mIjSnWNCgMhbVTOhVh3KXTCCQDLOuA9kl5D9WCPcnZ9nnvAsV8P/dKrJeQlSGRJBJQ6nr/aDQde
CxMIhnazs0+vbK4zDANe2fleWnk/jnKxzazKzLZrNhVZrcgxc2lk2Al8ibIlGP+HvTNbrhRJt/Sr
tPU9ZeDMt+xJ0tYUGkJS3GAxAs7kgIMDT38+VKfNMpXZGVanb9usLOsqxAYcH/5/rW/d/r/dkPjz
Dek6rsMo58trQoSfspMpugT0NP98lb9bOkIqEFQiYmzOH12cYWMPqJW5IfrspAgCLNsNaA/3TjjR
q1mJT/jNEPnbJ/iHC35YOmy3t31diHDfBVX1vfHhwUFQKD4PZnT/B18b5auISkDA2eGjkbqLMm+E
zBntp753v4f9hLLRzPo3S/zf3RDVlJBqHKs8lds/v6eOoJgu8/mmSy8GsAdN5ywIHDi2vL3DP7+s
v70UPtAYl9Vmz/8wJPocHLZqZbTvmojEEtJxf4TwXDZgg/7NTvbvPifsptiJPfayfxkXlSfXnkMB
lBzXc3Y4JNShtvzyN4Ph76+CFxPJyOZP+3BDUQxwW/RZRAyZ8o+OG6nrpcXL8s+P7XdX+TArLSXe
u4Ww0P3SS2b5bEK3huTvf3SVKOTghh4Ke+mHcZAiv54n5r62W0OoZrNAtyJ/Z3X7u3uhUUAvd4Mz
cCj+81XKKV29teZeOCl7SSygXU2p+7vqzN8MNIqurLox1ekgCD5cZRD+OEqjnH0sJe0imorjfEgX
vz/6AKTi33ynf73aVgTarJGuz9Hzo6tt9b1yJEfJ2XfKJ2AjRynZ7usaRB2tQJ948f90OPggLDgu
8cH6Pq/qz4/QEUW02HYu9lZPqhlbKTh5WfQ79//f3JTvBNt2FEnBVkD/81Vg42AFpuy4b3VHAFgX
KkLz/D6bJKTosvwdXOGv44JsXEz43JrnM0Ns8/wf9qJT3bGlKIWzbwvb/0GBiz4c2Gfzu3LM++/+
84YQEy/kLdoC0UZy+LD3VI5wwPdG/h6Jc2m+pU0XdOHBCS0bv0K8aLTA0eC55YtHzxlR5+QizIEx
2cNmFClniXeVu/dA0VsUx5bDOQ1yp8Sx0qZRjCuEYdLURBSGuTikaOsqdIBO757+eRD89fWA84hs
mt24cdmtfNguZL0sETwgBA5HvtljGBJutxuxeRTHuYRI9s9X+7jK4osNMX1ThOC4yef7YdHjja2c
e/x03+CDrxNTW+Xb2OVkPGX8uxja2pzK//Cr2ry4IsLp7IJnoJa0PYE/jIhxIMikarx4Hw9rHJ2V
cV2HUhJaAfBlBMP9ZiPxcQBGlFM9GJeBSzWHGtKHqdyPixmnt0kp6NC3RhUSeG/4A8RvZtm/PkkA
LGxXGHwxZbmPibdWhFy41Tm5xlXYSbIvVPhzqSV55H5KJlo5Omb/z+/urzeGlXX7H2s8NYmPZlYq
wYZasUj5kE1/gT1K4p8dot88vu3z4YX88cviOMef9xwwD9Q73Y+J9AP+GGwKeXuAkduUXys7sLqL
MGLz8lDg0jBoe+w5bZMlHV9zdD/7nDicu6qvI7ICMZrCiFzdIgmXuLH2GZTIR8gq6de1ri0UrPhA
0cl77etaZuc4A1ebtd6FQ2DGlkqTugiX6ji9JWul/B4Etblno1uFiaby8jnHZnkg9FE+isgeHjYT
MlYJjG3ZGSavUmfj4wbBsEuEzjLONOrQ0S+3Tdj78OmDon7yNbogOtveJVxIaqlFKP0XmOY9UYDd
cmuJ7qcSVqGSaFwRSKW584NcqyUxziC/OEs8nNUQVvfwtVlWUfbmTy4xE8fQbUYo0Q6SxihVe89f
vuH/xWw7eot+nCG+AZSblkbsZwnRPCFHFPUXsA6wb0sWZeqUlSbIMG3X0YAufPIRZqDTp1znrRcB
Nv1zh2cBkYEbwlq1sO52ZD7e1gDQD6E/9rh3BkUUZt/ZbsLpZ7lxp7E9Lu+MUF2mZOy5Xm1LwFmg
dgsrHW4W+IT4/crGfgsJIvgsEbwf8f35u9JHHAZ0PUZ3naPN8MQkpt1sWWhT8xEgRY9XeD9lQl/I
nP3uZ7R/VobY3d+eVJNl4W0ujcFKYiyME3VGJfKYBrWUqJZzP3xx3YpwtjbubAwpXvhqcjjeSWs5
MY6byGm/VrLpeHlDk/2qcIueB17x+GQ5VYtYuPejqKXThUoBk2IQDQFU8Rxh/s8aC7FzP2T8w73b
i+AuXEgfveLPDhQn19KjYDAHQh3pX22SMqMr56ZzR0FoYNUDn8wquDVdhUY6cVtEvmhoHBKS7FpO
V06bT+quY9LxTyQTIi2cxrpQWKa78KV0c+uqF0SvH8Yoq19QqD8g2Wr3C6KvV7GIsMYNhGEwqVup
XHCjG4puntr4++roEgPnuKKjrdD2Cicrb4wlSCICYuztEJeQyNwPxLMzm6nA7Cl6dhlyL2Q9864x
JM+AUViW7ELIwEAwT2TQ+S1czhB0BQJeD4ObBymZHE7Ygbcg+Uo7Kdt5MDtcMQouHRfDA9MWftK1
UVERwoQFBJFwFJGhpKAs1g/ImjNqLXOWlvOzO84YZV1kTgM5pri7dnXdLTmax36URyHMijUtlko+
BP5a82Ub0kuzYo+OfGrvQAfgv8k08XYokaUSUCf9bBj3q47IAIvLsAQ72fTD585s6NJwiK3sS2OX
jXsRwisPj4HMLOuqjfRwZwVLbIEfHwyx5l6G3pGWJ/K9XWEX9EymcFgnstjCNkosZIj8YZEu6TGM
BoniHHYzEAPmeD61sovJuwN5cPT4Vse9sQnFgPQZqXt0bB7c/Lla7wl2IGMlDaaGPtOM1B3fZRb8
AA494CIPgxiJMNOYc6xzPdP67UyKdj1D5HdwsX2qfWRbAnArlMnPVmahuLXceHEPIdJzJzHVnN8h
1sQOGfWN+uqVtrjz36XBo91Zy751Bi/AJkNbPnfWwsVtaMrLUGShdRXh+vmR9ax+xGKQV4kCWZKT
AT2/ihPZSBPvwz5dvxlZ2gBzm2h6m+BShidPEiTCdDZkxOvkxC3WZALQbs3ROSSdLCS/1ylzlFkg
T5PNZ0oKYuhYxXGBDHkCtW/l6NVt6NN6RkaIstTGEJ+53XJe9DqhaM3oUmHEQYJ+UPbgoknOXOJy
Do2OMD0WwSzDS/DgJrhhbadGyxionSu7daLySMpSSOJqsZD9pq3RHMYYC+ze82bxAgUoLk5kXs4Q
jYNUBgmi1uWXjVgiv5yIUpyPU04udlyiDksmX9kEIkH0vBckcBY7p18B5xc6D3/BH4tv2Tq53kVe
jP5bEOjVvnJ1v9L0miW+EE8NE+lwbcM80kpg5MoU03rwal+9VXUD610ZSMlE82RheJxDR7+ssY5I
KkFPTYojS8enUhWCBaJdtwCotXJNgpWMnFndpdF1St/mB0z8MEjItDJegu9qcNGQpoU6OS1AZnJY
wuA7g0yjt2MdJoJ3BSpNjtEyoTtHeeAlrUY/dcqn3iUSW0r/mHdWbe8600KWbCVzUBSQ6LUfEbPq
o+c1cMKbDDcz2srNAEuDKF7gRgy4jCNPsh8dGA1fXP6iQF+QYtd0w9klqwod9BsCf/cL2F+qwFNd
u6/ovUu0hbgzS6I20vpi8MPexaMzbyOqNuF7cmh87fiSNMtC9enPztpyLULfIGiNe6zZGwhHD8eS
QgeQT0xPd5FTBURQtha1DCp3Aw7EBU8KLgTcKzv8RbO7H0AyP2s00TZcS7csWZVNNx59z8zf1pTJ
+jYQ+ficruTAHeMyN1+8cC2vS13ZIvEKxfjQTVb/tEbmxp3SOo8/kd60yh2xLqBlnWWAOj7W2rQ7
d5jhErd2zvo2YaxLd3EdG3e/TGVIst6S1tPBJUKiOS3tWrRHLKehj5Bz4RaNkync/zjBAIDTQ//u
R7PrnruwDWWimkZ5AMSjNb7K7SX3gMQjeN3xiRXFrppxzuJ5ZZ4lY8jFdtCHGSh4wpRanAFpSf4D
FYaYLUSRxZwmYn8hOqol1advIfiGsenHV5Ey019OCkEhOBLji6/puEjngCx2KG8BWdOwT9oc196h
aCYDrCGr3O7T2vlriYsEjrH8Ripf0f7QsxWklB/DYqxOngmmdXieOeQM6xeOTIK2KpoUTzafBgNL
JT1Ovu5T55DOPWFwSW85PSWXUmCySuAtwyc/2GrtAnvXBlYwkNCAIrz4UVS5KF8x2AtCFOexZp4M
2ZOESZ3O2JWIxmubo6oDEL2AlXrwBbocMPOjalZ3WMblFR67LNhmeNDfOKSqn0zXOjuE5OChKM7z
1d+CIWGGTFgeBMHLJv85yCzFVSrm7tGukTIdPX/1Tw2NhuqY098sEg27l/DoNBQ3xIII1tSJ9wmf
mxUBUwT7oJveExJRcZ31b7jqNgR2rqA4dHoyJ6vWGiVzz540wdkCOjkFyfEJe4QXnLH4W6+TwyJ5
9LLQafcVkW/mYMhdcuJjJ0lvoZ2U6cfWrbH2oBmTy662onE6VqvMruwMs+bl2BJL+9z3Uz7sWTJU
9AImqCfgj2SwrxNSwHVHzguLH2a6NT6WY927OzNSHN2ZdYke5wrA944nCE8/H+cyhW+dj/nOFVhD
E7fYTBWRmOKHDO/trSDd1z8THjOdEc0Ec0LLMX9bStd9kxLN7RPZJ6Qkevkq7/J5YMLqu0Jf9TBe
cIrGkesdrLiS7Bjpdb0RnSvqnaBckR17x2lJPxtJzT3aoK7vm2WofjklMU67GtO/TWLU6rNzdoUR
JHKF80MVquYbE6J4gqi86J0v0j47ra7ENYzoIqDfugYGm5jOf20iC7xipRh/LNbQ2pxgUIrvUwXR
f5FapQdkcNWvuGXZx4rTExXUl3q6n7FBVES6O+lPGASao4sK2Lljzy9/zhGr2YEwrf7antalgZUr
WJhbXUH1b1HwXzVNzq5wGtxQHSsWhCNCYQf3k0MKHQAAV5GJyInHJENRTq/t6r+QQ6N2dpV99Q04
x6HebtwL9BDvvYUYyY7gTJMa/nJaTXCZ5+Kuj8YfSseYxaNF3swZeRxJMfRRhsktbRE386k/KTMX
v9LCF+NlDmIQlffYHYM670lVbTY/AyvhgKVgGo70VKyjLDPMWy5gom9jNXUv0vIeZ85BxA3j8GkS
fyyIf+1mxz1NE95ayXywt3uCMKAiiGUrcwUACEp2wDk4OizBMn2oTWQvLKudc43+/XKV2KOIsXae
PDubr1dg9NhilugmQhcMhyaOPwOfTs8xW4TdEDbzkoy2sZ6AQVpvtVc2j0aN1rEQvffUCwOGPkKT
naRx8aXBKrXFOmEJT9Bej2J7bf0eN+56lbO9PxVpnZMRKsOXLBrMIxyRdZdipb/1iJ3A4tOzp7Ls
AgF+/bTOzYUzKgg3kV6vBblHO9PzZeOZWNbdZLfo0tU47qZIei8FGWAXGNDk68oCcsCPBTPKEOPh
p3NE6DyVEsamSMmsJOpz15bL44B1e5d3o3dliEO5zClgJ7O2gYVuLH7vpMMF3rOX6qQhF4iVkEpf
HFQ4yA1hnAgXxIvNCfsCN0WJM3IWb/hMAgqAlfwM6B7DTZDZ4d2KZfLYzxE5C2nzvADD57eXxZ6c
+/6cevEVJkDn1zIRCWOm4hX2UH7r2la9Ux7h2qogpnyufOslt93ueiEQ6inyPf0A1H4JjpO3RWJ2
RtgXHnCIg81QdFfk5G4Zvk2cNpOVYBK6TO1LP1LVXatGHoS2ogT3yHDmDFosdF3t+K3Ae5kfvTkt
diA0AvAaZLyvmcz2i2m3ML84OBNKuv6KIlI7y65iR12KYh9zil6N/SVQgfVQxWV6gZPDwvOcFxeF
ohoB6aOQO2fO7knFHeD+OMVTUQRDt5vG8gY7j3VJWWLG3qGYy6bl54hQ48j6Q4qCDMZXylH1QY0l
8UXRAIuizNarlq7jNbmVXxu2XhwsXOw6yiN6dlqKs6mb4iu+m/YJ1a+4aqx+OHQpBQd8VgHPOLIr
BLKEK+BPakl+JTvSTXyKTkfJmR5AikwvUWJ9AmcSE6OI6nXnBVjE1xW/TNGURsBhmAK8Ey4pEEAs
rqBEXU2VIQkuAN0+lv5nL3Wt+zVy5qQZPHX2sYoxHte5fSEPMbxFIfPAhBH+rKXH2hBk7n1Ypr+0
N7yM3MNXTh9k2NR+1X6Zq5i0O1xiwYEAwOFRrLW+qtaiv3Btc181o8t3w6S6xTZLxMaBe48ag12X
p81bAT8OnggH4HlMi2XnuhxEWJdcwoJqhRA64ZyPmaj06vTVcReCxtCwR85uGQdFWKLQ2F0azyHt
WHUs2cVcajboRT8DdLIHMhbZvo0PedMGe86izsOUtfZ84Ofj7cbTXLV7UG4lkZpdBThqofTwMBuf
TWsECPiM6ZUCgzKe+6r8mlwWKwvENwTZ9TH34iE9lgRdWruV4MDbOSPFIKE6RD5L1GUm23e8LbmD
SqKaHc4yXfPBq+i7wxQLTCgL/NMSj6I6VdOcotEitZ7DJZmGTCBjE7iYMhsqsian2JPHxHYlBWMI
vIFl7C29O6dO7PfSKbGm9ZJoBAUz4rJsIoMZ2OfhJfhLLFbifMJIWdrYmvaBqgiBTIuA1NrVCn3g
Re7yZkmBQU7KAK5+ZWXuCzxBCDi0JoKCM6DQhAPbvrkBCxMuO+nU8Y++tYZvwDL1fYXpckjIdM+w
ozNrfyesDaMUa1vtHnVP7Bpbf3zwO+BoYgCw1HrPjbKY2pBUFuWerAUc3tDVW3UzUkXBMIqBUx0n
TkTxflgwaB7kEAyPUJ4KIiiQY8DfgOHHUKBt97USi/RoRPahm2ijcaFnhfaph5mmpAzlZJH/SS9e
eqMHB8pqs1GWkrmQ5jb2FTw30FAgK8qgU8+hXigbN+uQvngAx1hviV7FmMJW7NfYk7yxa+tJfW3x
UteXs7CRDvcmFeGN5W5n5iXUIECaNm0RE3slC41oFraUIzv/cb+kXfempoh7IAqmvIuhXOQJM+2G
JMrwFBGIIeplJ2alun3nlNHN1FTRw9oRXHEkl6gMKO70y7wPZ47i5B1ALrzspjVb0Rv05ijnkkbF
0mspj844MUUWDar+PVqPOTzFTRT0V6Lq7fpEBKp1AU/nDZauyA8+CXXlgfidSCNHrpYOLFY/EdNR
Z1ofKubtz0Hnpj8zycpDAm3XPEAgGPJrwaZOAlikUUPJp4p+KDqT0wHLp80QzPL0oU2niOAmIdaV
mh9inYNVuOm68zhtPZOUSiGbASg59UVZkB8QegGpIZurJsM7KyeYHRpzN5MAqVDHKI2nm7XtOY/F
E+SpnYIc0CWF3aCkFNSPsGwrO+LwWEPnemojgEO/pCxLfRgrcvcuHWpuN82SqfHRXltPnayWT4rD
SIcY9tB4PIwjMcpGUSBpp3pP9gwLiO1Ovg8fRwH1gNhURDs3NdY55MwC/awnWQT3M1k9ZGTi0FxQ
h9x2ZSO/OrA/wPEV+XIn5oUJcCRdOE/StWm6Q+r5+nbMQ1g+4CZJRJ/z2nmaxjALT3pcJm+Pos8j
OFAh0N15WbpZM3tOZFe4mXnxe5LnlQ4SJ/VGVh+tZu9Z0wAqASgOTXcj0fXgMsyhTsDOCiuawJFr
0l/dgq/qsMbEFSUp7vMgyWo1ku3U9uPyHOnKqg4Ncx3lWoxxnHNoXN+3YwUEw+qq2U0AyRio3tno
mUMcmCq96RY/dBKqokQx52kQD6dGlQPadZT0AmGWGsxI7poh4B6i1xi396FmHk2wnK8RKZ11qe4J
aIOCZC9NbfNuyXdmzuhHm9K4W46nAO01J1H46GkC6o9wxHmKG4Wmgp3Cy0J1cNqPeOrDo98iQmsS
cFDC/jxLC6/4kXiOcT7HSyjnK+qYk74fBrS4B6Z8MT36Q8S56jAK1+JN1riDA7Lc0757kpXvQX+o
LGM+pYtrZ7/61q7JTUcTpq62+JLwyMTS9Y8GMy/CNCXz+FubuyrIdw3WFmApTuFZ/smnMdRcDuxy
Y+AETqCahC+v6G4LSn7E+8QqnxziOmuaSFB64Eu29k6vrSJeu6Zf/UsP3vyt9Dmp7TiOzVTp7GUI
Ku9qwkFdXVKd0fFz5dLvYiYjFBZ0WBOnAa5lzoIWlfJqcIYAJFvpznfrYIXxQ1EJaj9g9SZ2RKOX
LxmtYcCv4+US+2Rizhyk61fK55U5QPUZLJA9DhbaBZfx6pe3QY2oSp3oVrrryfGdvrxoBcWiXWZ1
xO0a3xBXzNlymQP2eQ3NJrz8wzAP8Dp82Z2wh4YLcTy9FV6ZFK+nStzFVWm8ZwuY1Z/rbjbjKeww
3xYJXtnJejCiyK0ywc5jzc/ojmXeEUhQ69ra9WRkmdOAcza+r2EyLue0jYvsHHDIL5JsnDwIQTQK
SNpRUw92qqdkQwZj1Wv1QHMqBc1BOPB0WwWipQ8fY6qOrsoUPe2aEPQXNXdKt2H3tXHodT0uld3V
PsvdbCn1767w/zcp/m+x5QH8302KTyyh9c+mGPSfzYrv/+y/zYrBv4IIqWuEmAGtBgLG/2NW9MW/
PES3kL1xCqIS3yj1/50L4ol/EfwR0GtHsIJIdvsV/21WdP1/behgVJCbCAMH83/iVfzYFsbGQ5ki
dumv838Ihf7c7J7SzG0q7LoHofrhaDxv3OWIm3aUOPyT6fLxP9SQbNdDo86dYbJBivPheiJAhhrX
foQ3smOlAFe7stZn7OH+8Bbu/939/V/NWN+3BQATklg2HcIfm8LvF4poCWMHRXZhf+jiC9lFFF9p
XFT2DFFIEjhbncDDhrc6o890I1srJocb936L3ChInatqK2HALONY+psf81EzsUV4RLx3XCIRGhPv
g6SF6F4UQ36Qkn63lhdR52RPgYyac72wjvzmWtsD/NN9w0l/D5oJMInRGP/wgOeejfpIKuQBb7YF
o7Oz7wHG6Es9xfWLQ0bZucnX4t4S0/D9N4980/98vDQj1uYOmd8j78Mjl3ZeouyZsKCFjrmuQi//
pJ2gvwlMG3uJs9GiksgJZoRX03CX85xPFQmVT8Psy3pPpzA9S9XWz7/5WeLvfhaKlRAbhoP6b9Mp
/EHPAZtGTha24IOPgR1pPelZjbtE8KEp18XpbO9md46PlO0K1KnjfNKr1ZxdBQGIHTjA1n/+PX/5
4nhBEVUPnhM6QT69P/+cpvYz42teULsuC1ztsqOqV8geRh4+WnPZZhn5Vf98zY9SDAYgMZhMMBiD
+RaiD29G1/UCdcbimjOswgqW0D5ooCb881X+MvTwtNnhNtXhg2T//EGsU8ftEFnFTCc1Vz1wAGfS
+SdgoGOT9LlVf58tMNGXk2hCddGW9dD9xs0Rvidc/XEEMqlgvXQZfvhZKYp+uE9pZWQOps5wVDMm
SSi0pROBikRgBK+ZEvvXCR3Gl3kV/pfOmYpnupX4HeIl7jrK7IrKx+JWPyvq6BUrdu03B2UXnPPz
yHPiPcyhoiLrHeE4UDYrF3fsEKo7IzuTHzK61k+E69nd8xLp4JMwC2S72svELw9in76zhprqZxDA
l3qW/TwDZZrnDgxX1ICjerYnqlCIUHTVrxdWXg79JTtFzqRhNw206IhKB61Knfm6AC+hDzR9UATQ
rd7SVHWg72VZFDziJfMOnAwInG9wwJsT+5v8vVfahbS2OkSLd51XKTBJYXEdLjPvJ5kHCG3f6jaA
353YbePG5a6HbNLc67yJ+33Lec9JhsHRcNIdMSHFU4TS/0ptbvoRirevL6DZVBt7wll/wacVgC38
Ov/eUQu1jtCPPPswIFkjFdAQewtEsNZOwleJRtYsWnwxXrgMlATz9UshaLRT7hyt+chEkq7HnlPD
GyrhWDNrbFAQwiDlm1ktkuJbjyDEpEMhRE3NmSCDEtFmRWd6boQ8G3hJmhxIJsMEpV8Rn+3C7fVZ
ZDGd18qKl/4oVwEkZ2W7Rqkrd7uaYNHJsy6UL6xjXYtxudGh8W5ETWxOomAlE9+WImKBIq+qiwo/
d8gBya+pPg+agpgLWontPB7q9HJpB6IpUlAbbMTj3H4YmBYDsgL9lvNt31X55z4se/dNuOkM2owS
f36f+3ZrH1wUSv4D2ACZ74mxz+1vW+3MqqjXts0jKUKpc/bDwYlv2lDAETvxemYJZGwszcvI05tP
ma/Butg2sitq3VD+4ae0BVkd59WAMoNBxClwGQ50xX11qAbkBsySNAx33QxqP9Ge5mBCDYSuTktW
apdQRky/h5NVlFeAwroMNSPnlb3Nam8n2oqlv6dRQpMBFAPRAjQAYrnHRSbloR1gY59WbGo66SHo
pOdhdgkhkI5PrkaPtOiJKpN3Uy9ImfcwnFBNdz7gtV1bxMGxqqNAntJujpx9REY4FPg2sPtdwQFh
w65X3W2LFrHZaMojxU9jcS8egisU+pWnEU2s1VcqNsFyiruSuuQ6A729AzPe2nsBk/k8BKC/k8DW
y0/Jf76WqCIMKKzMEa8M10BfL3nTOGcNhg60MYxPsOmGtMETE8YwfSnchpNQNIUm+4aYysAUhS/o
X6yQiprTFJnyLQ6dkqT3YJitEznuOfqmWgV2stCqh8+ftbN9WF1DFGSrMzNv85jByyqn9JRlLvRG
uzaAoecwm8VFX1bB0fc3SlwZNrm7l6NWFFBogdGR7Uhu3cquk9rR97OcQ5XyZHdNWQrkQBXpLQF1
HdoeWE7mxPbbDGR8YUeva1YUt/C8W0BIisICM2EEIKkIVnA1tM2cHxXUoktTgOVn+fKc63bN+y+5
pG92Ira7W08+dN5fVjtlsAH7ZTG3kMxjjaCozwwJUM7iH410p+uqZH/wCmqoI9OnIytuX9SZH8jd
qsEaUn2FZyR3vDSSI4TflY8NdM6vQx1Ed2RoUSi1Voe2atm2YtyZIpZ637de8TlyaK4dUqLwmMhS
sDmPRIWC6mQqTKvzskZA2jUZBMt1KCtdX8Eia58IEe79a4gx9LMptgObb2hJFDQLVMU5LyUj4DjM
K++GOnY8Xk8effATLitYqXHpsu8Zmqp6aSaKe3tg3tPTojITnqrFtX4yLcMpDNPMggqcC/dHTKiy
u2OrHAxHp9DOmmTUbF7ZfIMRolHibrDU0tFn6mFNetHPa29drF4zuJfYLfP2SuWoBCHaCqabJFxz
rzwZyydNpQDPpXZiFBbNdY7tK9g9oErXrrL0z8x2GvWwuhr1hJWV4ac+iNWaNAhSxmvaB8GNigwC
+cojy3LTE2aPkapGcar9jhpvLBr5y/JVpVEyZN1dHCJpPheAbqMbG6LuatFx63qopeOEKu0892sB
sRJ9/5nyKBVkOty0T6jGu99rolL9ZKzGiNQsZj+dlBVBc4mMoKNMRsG0Rr8oCgqIRIolZSrjy2al
yYPqoRXXLfuNmKUL3fae7u2w3IGRVfaZkqVfvGhOye1159VWdYt8LC9PaIpgHJq4mmCKMdqHRtxV
1mxW2hbMk6QjF2DaLjztmjiGiUvYAqVzFwbWXtdeHw47mvdkk4BdkiFSqk6PzisrBaQ4D2l+cG77
Xq0oHpG/ET5ripwui08GxM4rJ1efCjWLiIRXp76sA6+Xh9p0evmOMyps7pwgQ+uulUXRyQu7FpVA
PzZ2fTU7CjWJgraV7g3D9qVXrHtoY4B8XoIhrAQJ89I89hAMl2ed+818M5UYxO9J4BjuwymjeGE6
xy2uWnwoNwS3VsuerQIxel1eF9ljbFnZr3pc6+66b4MY+v2M1OC4UqWRV+VoZ8P3lOpZeqC/nQ+v
PUJeIM2x15j7oPOG+zSs6vxtdIr0hboRIKSqm4dhn9LC8GkEBi5FDHC6ywtYbt//okpiz4/gRla2
hkXwoJ2Z5zyPfRoe7dIh2QKFZ3S39Cild8SxZExfinwxOjFayDunX6rXXKVEB/vOwJySpmiNdn6X
EWGcsycSCZ6mFK3kCrkE7jIB90jjVfzdK+T0PJeEdR0GK47u+fLFN4Iy8jNNhSFHqhIsP4Sa1k+x
kpStrdTtH2WXS6iRkHNvZRqE6pzN6GB+esDdH3QcgBvXY5WpazMWdB3siQUJhnlufVtEzp5vLMOK
XQh37ryZRgclfOFa948Q7e0bGVCY2mnLG9qz0wsAmlDaaoukkSqIqY6XKRsKO68/FfY0YALwQ87m
eRa+2JjwrYNGxogIyS1pG3QANECJR3bfXfpAPrMDQHyUerKOSafsC+YCUIJ9Dv4uRiIM2d6Gr2iF
pYXHi6nOUJllmklgk2lv10RpUV2UUMKafUYlgoKcqH0UedT+P1clBbF9NRfmyRrdfibNIC9/wZun
FtgtdfuDVuD6KseAZA+fJa9NGLWoF3hD/KDMlvZzUIT91xZ1mAAFKpzXtSXPHAbhmn/jqKb0Tbay
O0OEiPiq/xT7rVanqUlLVOvdHOgXxsMQ/Si9HhmbbXdU/9g7xs5y6NMpY6Mq50zIfT140r8M5jQ2
9IzfhUVF5eftV7ZG7W0jY2RIIMKQJNVe5caPU14G+Rn2fuQgviAKROyduknT0xpNqceEVgm/B1jO
PjtmjWwy+6cvVFQdKe2ixJLvqix/E2ihQjRfrHfVVmHG8dkqOlPfxmxXv1n098dj9672ype5Rvm1
icDCNEUPtrl2qdO/68T8d81Y8K4fC9+1ZPWixztpbwqzIK1HZtXAEFLgLrUKE/WuSOPYlf4k2h2d
WjkP8fXyb/Xau5Ktf1e12ZvAbaHlWZ6Kd93buEngpnc13LoJ47JNIsdi42lC4DflnHhX0aECnL6E
79o6QFqbzu5dc4fCzK8AVm5aPOJxqM3qd41e+K7Xa961e13kzj8o6KLoy97VfXFkiU/Nu+Zv+bf+
710LCJiVVbm0B8c5LCJGL6jsLvxuv6sILbUpCot3daGIq5kFKltRHQpWM/Kg2/i/2DuP5ci1aLn+
i+Z4AW+GQgHlDavoOUHQNOHNgT3A12sVn16EpAgNNNe0o/vysgo4JvfKzKP5RyVWrQWhaPzRinDA
kIvdHWJ0/njG+Y9tnBwwR+OPeCSbFfrRylMyjY07FFn/8ZHxUGv/+v+kJivKA2AI7zSl/kdWWn+U
Za8o5jtqH+wlCKd7Tu5ApkXHD3nBf5wm9i/tYbDu9Kb7R3IuZmMfhz++k3QBWE8KYOZfrVNZaro/
GjT+I0ONOyRK0Tq8qPvHjmZ/HOlyR0qXP7o0+yNNrT/q1IbZsU/goIWzo90KMrVnzg+myrQMZhVz
J/zqaApYVvnHtZpTMrPg3WlXSdBI6eP/hYId/4hYyQ/fEEgFJ6uLCWaWeh742fiO0iKFJG6oSItL
bPFH24KVMPEByok/jT8ed/hjc/tqANP9I3araVy+CFEfvYBHNfeob7nzveKP9VUX6rc2VG+gABpt
NXQkoumi+CktO66+1cJlRmBbmF63iSBOeZvAeEdhEXO6XlcWxfIX1ifoFYs/sIO+z0Fd//SM/y9q
/7e7BvZ/17T/+9ARAv75vxVd8w/+U83WKKy20azRrgDwcD7/l5jt0XGNlRe/lE6MmGerqJz/JWZ7
/8G6hJ9PVTkIETyCLvM/xWzT/g8UYZJsiA1ChkEU+39Rs6G3/g8RUiUVjvpYSjsxhHHrtO5S2P+i
9mXM0RN34R6semO07xhnecUcskC9RTGzNsMRe6/tNqqxMRp1m0oWOlN+ALODPLHxrkjOTp6gUAcG
uMgwz1NW0zHGdJmA6Cl5Yl/Hk5FYm8ioQWgNuI/UsnGlNBSP6ZK6taeO23Sgmf2OLOKQNZWRIkdp
jUGiG4+7gSh84FCaQuqj4X217bCnjoI6ryj3Tdnmgdmlwb3BJHNbn9T7vbTvlx9dP1VYPBn8XWmr
W1XmK50qfu/NKwLMd6IE+gXPvSTTxNFrMTZ6pIvVJJl8O0qotPgz8KEsSlDm2V4t5nfsEGiPbb6h
LmctlGzVUqxhdtEbyV5bHU4B0mwIU5x3bfxRE1qTTHut+eixszSp+8ZJxgTeG4z3ofppGs2v5CvF
QXow5wQ9UXUHSkEzDgTEnonosyjKTdVNz6gH35Bb97qg/Lle9jqlZqmXE+OeI0ti4jHALklyZvKZ
K1sHDh/dbT2YebyfdOK7vSzZmtPNkNF+Sir54tDN1blPjneBjOX3tNzVADUsa3lps8RYVWTMb/Iq
8YlkTK4isyknULckRW9Imz2q8iMhDe5akID0UjeueGLlG05qVL/0PW6ptv/gjhGqk/uq9Q0He/Gu
m82+50xTczRMOlDOFAkgntgD74C7jV3Ej9p6W9R3tuBrcZUTefgHkkzGoJEN9YLTniQWrJyzsbuH
y4+uSF9aUA5OCFieMrUN3Sy5Vcv8OJmZ+FrEMP1zm9doAACU82fLISiO3IchKx6gBFeFuGr6nb5r
faWIAjiTGANwU8MhOS3FCCWIH2pyB1RIsFT3IgdguSLvoIercpvWcwaaG1V+r6qQ4rW2kYa2wn4b
ONTpWdWz5bjhpJ1g1K+63RzsiKDtcqlXvcuYPvPOkaYykY+Dbki3ZWZdG/rk6pqPFDdrnu9NMLou
B4L27M2EcTxiRG9TC2nvqNFhy1V9NTG3kgZEKgMoay+fXaokLOcni0v8UofcKS8dl12f8g7XOgB8
rudxPOg2Zc5e90QPzGNafC/xIZ6zZ7058FdPXDiGUGdnssePpfzyuqttAlQnA01Vm8FrggR+LM4P
xHpx7YCdjbT5QG/il0ZFjiqJ7WJuEQFHRwaHbtFGq7aDBuJiAmoLeJM+i1l9aJfsFSPcWV3M9YIs
SHybMRO+nUjBrrsv3Ko4UokFedA8CZv2JGdnsKFhXNOD0tJI7a3tVSxd4TOpanx9jKkXM+RW6ZRf
4rbSg+VmD1rengwx/E5p+gFZkIT4Y95qDj6bhJB0MRpnhLXeHzhg4uGx5m9qHeO3pWnc61TUFRbB
qg9g6fSwMrSnxBzH/SLd7lIuOOVaUVFlY2i8Wq0EpFLce0Fg+0D00mNLBk/uTqccn2GGt+03X2br
hdobTtdDbCK3Rk8WCW4VmgZfWJN2N+o911aX7GO1246JchpyzrYuhgGn+1hGl8jtkuhfS//SinZb
RP2hnZXHqEfecbJ3s5xWWVz1BF6P7O4FhQ+KO2thPLjYZhTEbBGHsfiMMGvGdYUiOCK+G7+TKIMp
s+XbYB7qhRyfZhhfXQNYhGze5Ae2mCYAi/4Vf2HYPm9lzvQe4BE/CGYlv1zUj4k72pGSPtpAaGCg
nQN6yMFVvekqHlMBWuznnaUEnbgACs5BRqFqTAgoXklDvJW6+5RorbrJPKVjn1jU75ED78qrC5Pb
q5hDEgdDIV51R7xlTmFxX31ry73C9fYm0p8GzwDiobOC9CeI/KpT5sLL0UA42tzPLqlKBS9ys4dj
6Bt4sae7kBuxYojDXNS7Mh4/7KxMgHmjLVOdfd6pa6BseHkeWeMz5XaTxChJUIr32AOsGUFEF0Yt
zVMxATFG3GAx3W3U+a1jPdMd/DFLxsyBPokOKnljLZRSFjg96C6dblrkhtnUHnV3OTZldkss+5GZ
G11YalEXh6Z0z06TftCUNYEDUtHNrzeC7480NOjHzgoGO0KE29O+GCzu1TXj9zLFZUe3UZS6wdAd
TfNRsL5CwqwI7fggMA2vCMVNPQIOJhekmYtnw/nUu649dvFb1IsPpeOlFvsRXtW6S9QI8aPmhFAg
ARoZOV7xmWT8DWackyWL99SRO1s8wx++uQ0wMqvgwdWAXJDEicWH7vDdCHq/sfFNeL1zJkgxWZkt
3Y9jK/ylRxTupvGoTPlV52fvzIUyu5KxHS1TVAXSphpPG8pJiDFPzoWJ7WbkW569H5NpAxOqwHWp
7sgYtqySotgMtJrLTOwGGPW44ZhhkM2IHXLceRXeyLTI5qAx8/daqZ+iqfpieoOu5oDOl1EAfLMq
eYKVxV7XfT0+0mKwTnL3h2qyu2XA/AE2fe01wiimuN+TaM4bxPn7jirZ61nXlAMUJPygxaMCbrei
2oOt5F3aFEbOcqHcnR41cyretHiWO0kf+kroVMWRv54xUtEDdXwSMtvVTGcQM9I1tEOYOai6RokB
NrpqYtHW0Ke4uiL8KqmYVw1Dq43JUgUluibicJ0T6t8vxqGx5TqSmwGfbz00dH8ML7097ug+4sNv
BH6sdEGr1jmZLLQguNqhrqvLkO1MDVZenXR1IxBpJLZeu8r3BABti5zhjDkho244HdQ0x+zYxHS8
utE6K5zNUnqBjfGgbmEeVeXfSNpEQ3wLzaZXrRSPjVFeZ2W46La8KXjMpRGV73Rt0fFlP+aiR4H4
5Q69GepfbTb2U3fQ4s+Y4VBiVLsJpFDS7+QQ8Z5T60Q3ToNCFFenpDmN7kek79XxBXvVKqrMVVqG
U7O35tfKq0KhzkgwW48ulQpHw5yMgeK9ABPTDYUC7oYWWct6fk75h6OkDrm1+e7MQKrWHQKD6JTb
SUvYLsqP7H7A69VKf20LKwDXX9UGhUyUYaBgz1t9ArXlqH3QICWdER1LGR7p5LbDtE1wY2a/qsur
NOSH2KTQp3aB/tvxzB2W9IaDRE+s7FI9S7DNdDC/20GsPKmanGTqrdYra9XAKB4126bw6DBrwJms
ijlJfcVJxfFNftHHsp2W+5h4VFZMbPd6au+KGDOTukh0jvrZpZKmd8VN604IKBg99euQ/pLeGCxa
zmqr7mkY2htL9QDWSeNPybyrxRFsOMOLiDXOH31I3L7mG20UVta0blLvxRzbHc7y9qwUKX2SXYQx
I2fhvBeY8exHeRiPpbR9G7hUlTXId444XbtrSFG/7PaGdRpKqbLoGL92tDwTwANQaZirOBkcIvmN
aGvPBIng6XmomVv5Y3m1mvbLdtU+8CTfiS3pRMkg/CvvQ2I0WDTlorfapZ/z3VT/ACwEEaFPnC5J
5SoYxejstp2VPQ7Lc2VClLZ8oHW3M3IU64UsPadGhy+6vda2L3cnPsbIVyuZXnIsX1RqHNgnVpPO
uaZWD8JQSUROTjoRoswKpK8tw0F2QscjMU6s2TTi2A4ebB0ncZLpLMR6Q7wwgqlNRQsJ4/5iE9DS
wvvVw1PWLVtPyZnEpU8zH7kylQGOH9/LaIweqbsKup6xuj32z24pOesOakKbybLJzGYG+bOCJus/
O8a22LDUb46u7btdsf7nUlPPMZo5i8dYbdIOV+k40BkZKLFOS5MGhomRWZ9hcMWBsM10G+vzRjSa
sXXJ8d8V2C3SPnos0GsfcCRiFena5rldWlZcUMbJuQCd5xe5ZNK3tUZdm7QgAtI2uBPo5SibTaSh
IQL5gE3gUhwKjv6CDyOplFdJI/EdpwnbEUGzWHq5niOGNK3RbAmZeiKG4Oy6wuOBd3kiKSl3160y
aSReoXHq1bKtXa599TiErpPgSHG5DmSVE30otveQUczE6IsTuwZ+PWfOstanvNsVee/6TV6zHJhO
2JAgSKv4DeMqvW810etpDU1ZVQ8tHsvVWP2kmRXCDeqBbeLmp4FDWZF186nZWfaAkbv7oQqs2zKh
L1Yg4szSOLoJBo6rycmUDShVd+wdE2dVR7EX+d0gwoN3tHs2sjZWfFeqyt4azSedUpQA7KteFdy0
rKoC/NbBLjpjXdOVsU1NXQkmMXn+0uG7djD97jj/bBqtZfFriLFRAU07POt8SWtqpTSKIi+9yBl2
tNdO9S4lx78kpR4rH3+cBeTaXKgebuMgwvBju8WRcpMLEBRnTV4WfXBWesnpsdcUbn/A+KuFZMsL
ZcTdpja54/Y9XxuoLmZo5tDruTXoWrHoGu7V7qNp9bep1W5Go2/nzjnWQoS9UV0gJjpCO3+F6b63
6rCdPOeXUquArpx/4BBY1qJPYhm3evntei+I0i+G1j22hflkyTLZR3PyjfX+02q7j7rs3h1luKUG
vz1BGRd8bEXYLvZnE/MqqGk4YxzbFrLfdeiZRg08nv6UXOIPCQkIgRtpdH+NBh6pzrL9ecBKkpNA
13GQyIblFQUtXpNDzKmdPiKGa2d6Nxe/W64M6MkeKD4we1Cbqo54fmiQBBjFFFMUNMAO3WkpuuTs
ZBVeHpCp0q3XxID5i6q+dGwhXVE+dfcrYTp8JbKawGSXhoXGloiX2UaX/R6c6ZVekce6Ks6R1Z0b
PQ+sgsNUs/yMTE6x5NyTq8gYEfhkRM92LTG35fMUzq4aqDjDuZXfimZcI23m6Bnzp+HYe4IBxqPj
xr/48XQtzg6FGB8qdfzxeltAheCaWBwY4qV6o5NtreIQWmHn59BehTSnvbVZyQekuvjQGi9j8hGv
HCpxMu0jzfqHNImoyrN9476RMNEMCzcrQuKCuKzGQaEv+8L0Nm1n8eRre1rqDyqWULUYni29pMu9
dDaRdNYjrEJOsA6lDD41oCuLoyQzVAxwNjZnWomdGH1oMPRXLLAkOpjIG1rHNRu8f8I8R5kwTPyn
mdZbclb2Q8pO2De7wUDSkBGFQt6QC3/2imPMEXWmuO/BaIxz794rwJWXtOYWXyt3Z4aVgTYkHFu3
cdcMR6emZjcWcodzAgwkyfr+lRPRcPSE/m2y1/XU62gTRz836dDSxtg6j/MkY27iUtslxpyeccaz
ITIhtQHfG1deEWJhyibmEtesG5O7mvFoCDinTDXmt77R91OTI0p5eI77kZHPkHVfsEqhJ38yUB56
mp+SVJ7H1PiH+o5/p57EOWZuzYAPR8UznbJTjiBVIjQJdt57c6Q6D2zAWG6dTNTbTOnUm4iqA//b
/Qof5yNxGDwJvCRhP+ErAvW7jHUfUl6+sihu9g27uRR884pXrqZanBI1xYph1xu1JzaDcA07MPv7
Z74URFdQSpl2YQK1A7UdUlhIk/ZEtZuFmHMeFwh4jSuykc1vTeHS7Dqb68qkkNLCjrW3u/rWDnl6
HGY5k59RrSdSGDe0U+8Xg005J8UZy1yWP4m2aUEICLPQpiSHSsxdGSAF4RiS32VNPR8lUQ/ZMK+d
u0pROSY3ke3UO0E0jmutVOO1GtGHFabU3q76MbbPLPL5q6sj7N2D6Viv34eZZKN44vzS2+UG+Cxh
xtXP58Hq5PNcpvOnQsfTb44/LxrOolS2qYi/Db1PN3FjRKBAVr1yEy5biCL7omkxedk49l4sjXt0
Ha1i2t3IJbIeB4e0jV5uc8e2N6Oxo8Lv10jRPvD+h3gwrpQZro2MQJko5kLmieVEPM6rYmCyVNrb
xEvsjyK5dRQy+jTF//ZJu7mfUQx7CiP1mGQ0TKvB3TtiWt1Ga4sn1/g2+nGlUXvqmcPNY9gSAICd
qFn7YZrNLipqALv8kMLCbPUlumWmOAld26gSaWoe+dOx59Ev7p9LUqS3tlRPpePJewizia/ESF+L
6L3L5FHvb155E3a1rZd2F0V2fEGYsq0YnbPYNJm0aLgV2sdCOfCqy6AKRzULGlGczU6e0uirMR7n
ARJutM5pa7xR2N1ahB5QmBkFksAGd8zOqcSyx65E0JVCsUuEE6QbOYosb2gee1jgraahgABF7knG
ZRiscRfQxOMYKdzfUutdUemRrHIi+W0O6Kj0RPO7N8ykjC7tjxnrBPu2F9qtTspIXzoIK+KQWU9d
TGYiaxlN68GAlkBK1KGotb1rI/akCECdmm1jdV4pHPZ0bHUYHM1dzK1n9vQVTma4htl9JacNr0bk
YjY0SWVis2mUUfhV/05JcYcoPce+21DAy8YzW3LD+du3KXiGKWE5WiIvDmAJpzd8k790rv3e3yob
tkmtxEZp1be+YAEeq+UG7ousVezxJbbVDh10jyV5Zyd4gahQzcbN6L3mPDsyUq9DWX/kpmqRlBdB
wBc7D0/8MBFScF8qlCd4iAAfO4giR2bZn8bR3Aj1vjh7m0p+08r50ZGfs0RvNqIEUQaUPf5j7hgo
iJ+EEwTlQp/3rG5sZ9jnsl8nZVgNYa4/JvKfXn4W7ttcjH6U/LBkH7x2DLVBX9n5e5c+o2iQI7Oh
QyFUzXtt73TuCmvdQQukmnYGJ1rntPqyYHSHMv5tqDqALTm1xDAxntu4g+dHM951pmek5xkc2KwV
NkI/ajKXmKxXbFdrLrl8gGa815MPoKRdVZQ7ZXyg3a7GXDhs29LcprhXwEYfrOrRNT6LwfDxXYZj
rd9KCq791lQ2gz7SpdjmF4z/h4g7G+E9RqjZRSCNNqjAbX26ta/2Mn0BxP7UGrug7JqHwtWDTMRX
a3T3CyseCVG7wl0YTFBku29V/bUhocwWr2I8g1X50fQCyLJu4l/JLEHAdumv1XSZejKYypd6Jp2H
szOdy+XDogzqfjKrnSKpVGYUITt7Y0ucgbm7N9PxqLY1gjDuT+MtXfpd2kxPhf5RTFiFRuc2duYm
myvflkkAqBhb7zD826qBfGU2+zxYmL04P1N3ljKVLg51f4m8AW90mqA3KVts3/QTwpwSdeBEj2lG
ti3zWOqSN4Y+rzMLO1s+rUgvY9N3V331QBMwDGrEJnibzKdqIE9J18uTnRK99THQLovY2+8UvHhO
25OxkuF33zPjgV/mHmVqh7I5LRBaNJdEyT53d1267JR4X3E6BjPEGu+mYVW9FMulsMu1pX4obOHZ
san3kqq/jPNDIp+g5E5TimdiZgOJeHb2XoOnNye8R9BuxiNzvxaaSr1Nl5/IkOScymuBG0zIVyqZ
KB+G7S26E/pyjaO7MpYzdOe6mow1rv4H3dPDgpSFzNgmZnpuxcnKmWDVuVxlJscklLXUhaey9J0j
rAuhYV70yvLvR04VquJgVQerONkcPpVt3SMVrY1U8+vmn6xejO6V+XCqs/81zk2U/FWtPpES8ZTp
ULqjvQbJSPxSeWkJAaH/gfWWBm1hMqHHbdgY2xoPpUsSQd2ewXF44zbCm96N7LpQP1lRP+0gmGfN
sao27t3Iae96g4UlZY26R3ABkkntS1vcRxySsHPlg8fxgUEF4w/X8jXPOSi6IoK4LO8tpOVpLDLP
pyD6FULSwA4wbEnn4Iw4hXm97HQNzy3ZrhiAyWagEVPU9IqUqoMnMnK2MwONrKFfb0xA3E1jYF6T
sPmQICBUt9yZc8f1rDg2GpJtMRy7pa9pXm8uZEB+Ep32YWBeW/rhlTRyEjHGgsBz3eNQqOXNafba
91y+LerS+WrXfddFemzLZQUdg9YzrNKhIRgm6FV3XSqXnDCHu0TuzfOmdRSWY9tv5guZpUQQfajF
Le3mlak04SDq9Nk01QtZpUec9eVadhupU4NOVMQd4lafckYRYumssMT8WeLxLBv+5vw5VWHpvcza
i8jOBE7gKu/9RRFhzVMKs7+O9GNpjA9a9z0Zyi6t253ufnp9esPeuNLTh0jtmcu0IbzznYoOOSrA
Ju2SYjcTRhO96dOhsh7Ruc9EMXEC75eVbuFBtFRkqE70jySzUMfaG++eNQWF9+6OzbGxgXYa5mzk
XfmOcFlQyl1WLHhCjZ8q/jKRj4MBpdIjlAebqZOuhVOdUQwM1Cjw6Nwcj1gFb1mnpgTjWdvS6vJL
FbX5O7Stvc5n/YE3rA8zJiXhkmxcNAlPeeemzUvlMAfqhvd8qVZUn6+NwrhSmdkAwKX/ok5wO9NP
3kiwA8VJYZ/HW8ouCBAgACR2FYqOM55noaFPI4gGygx06Sg0ApuAGk2rfGGQOlcLk1xFNc+Yo9yD
m/bj07iYn7jZgPU9edPQh6TX/g69oFUY7G7O457BF5q/h0C5anumIlJePS9TP3tLoV94Gdy93XKp
XADzrc+ZUbuPb0UiFiGyxKNd7hxvPnWDIUjHBe2oIlIDNTcRV8WKbgtJfrvBSp6JcDboDEfnSKKG
Opyyi2l/14zrPZvYMxIO2JeJuAHGdtOEX8P49DA+IaTGM5dOaV4EqxJw2jzhATUZpMcqCCNXQ49H
yFsOGQb6jTt5yr4Ug2aF9hyT0IX4HhDisW0c+RpLvg0xmZLWn9dpcrFtWJ+49oieAIbHCk1r7sIl
TF93xI3k+nKxR7FjRryOye5tu2TX6ASjeOrZSUa/yBT7nt4k96CLfjN4yVHmrUqOkqJuPJ6kB6iq
g1bHo+tjNo13WD+Ltdo4c+OPGeCxPjQmMSToJJuuM3X6b3Wy07goGdB/QDVPKXWEuu90CfJlnvBz
g2zONpNdhF1j9HvFsOyQOY5xGEx+J1rhZlRasjijVeSm1jqKqB/FVHGzDL261RojUm+OnEsT62JD
dlhPLXGqPztdc8qn0gi5bNarxZkoW2643YyNKsnpQ6xYErV/FOguIZq+9jAVhN+t5Gz3W2MpmFYP
slygJvR0vopRMCWnhlBbNzq3Y9VEdSgN7TGPmu/BJQLvXEX04qwKWlTeJ5z1v+Nd5o11bSLcDq2p
yEX7C+SU+9SlDv94B8FNI2O44Ml3aJhv0VfKjHFwo4hTyb+DZZhHLlaLwn+CeYw5+owoJIlKCBYN
JpUiKfSH1nZeRg+RzGwiQkWjfE38hfHO0J3RdN0Ml0FflJCiCVYPMHLcbaRwWQvoYJxjW/aLfvpw
Xf1fAqvfbyt7so6im4xPygTrAz71/B/n2KmEeuVwrxKXkUzK1ot64oe9RaC12VgzTV79Lbka1dFW
kJ3qaMt3AUbKjWNP6s+/ftSai+Ul3B0ZSLLrSiLz2KBQe5TR5HQ3qbtE4XSm4nY/a8VsvY0VgWIr
reu8X1LZaT02VWXckMCwRviYrDDNqCVMuNPghVZQfqNEdI4fM9HiJlzMxb/WdPLHoY+a21jJjhEK
VgmKUD76iHBqtVyKf15G1EkA9bwwjB0b8iTKtMqu3QDkqywc4DRGSHzJpHwZo5tzPKBV3hOT/q5V
g34RaqS/91xtdk1ulSeiO8VGby39XHKF4JzTcK6q2WD0ACpNW/X4TH0k8IgJKJG5Nu+1Vh/B8xAI
p8TdNEKmoUk6Mt9by0gFt4C9qdRT7s4Ks0RpEhBhjWXITFulhAO+hZrqyvsqCIPbZIvihGPTWif8
QOqaKABlj0bNUYr99IL9W7465ACv9Fa3HzpoybVdjASu2I1lH9rW8M5uTpQ2zCssjMHFwoDGLnwp
SCtg/R+/6Hy32k1KqfAqiwp11ULK0QzUkaY567F203osFhzRnDqEc8VzThswSeZKjTaXE9MWG313
AgoxW2ThOX4YkIBDrprjQ25Lfr/eVZhLa8609oY+OVka8+DYALHnVeY2l+v9hiI1i6zcRn11o2hp
gVdTuTUptf4Y8z4eV2peLoLeqVS56TngDxETPyrBcAgNc/RTtkT/lliMA4yxWpiCU5EXM0be2YvR
TVq6voMenp6vhYg/rbMeZCRKdk0CIyiKy2PEDZtYl6Z2tFeziIwHJB4PJ4fdFNrZzu8muCyK8Jmg
969yMJJQUdxM453V6yPqBgp4Zo2BY1qBq9dkp86Ze3XIN90QUpod1DYbw3oCGroHim/duu1vEXTz
teGWgausPGccJ8E+iKEg+3Ge/EjE7qmp0wf6oOdNklcrrWrV9eAYjHKjBZ240fVVOjbx25Q75j6b
rNeprsSF+BD5QPjPwnKtk59qa4RvG1G0RUbqDyKPtLf7Uri2PG5SelPNz5M68iXwTNziXCd4B3+B
P0oMFfgH1J1p1vOTPVDinlOmxKkQjCZFobiqrT5c0aoaheH7nE7k4BCsQhRF1pLohOmuoae4fE6Y
JUQuoZ1lUU6HKJ/7vTt1hByIWAlwWbn/QOaZ01huv64b5r68Q4xVBHceX+Ow/5PBkp6Q5L7qgZl5
5zYbbyE6i/gNBJlCLtXZqT0uUVnHIZ9gBnOXtLm6tQmhwR8B++nBznSeuyP2A83fdWicV8VecNu+
NpU5nBhbmmuCOAmHnruZ+LGCdyxrq4CKIPsmo8o+6QQHXebRktuyFvmLW2doTo2nmwOgghzOBnMS
vJ0p9glisPIH2ct0ndz12F5PbnPZGpeZ73bwOZwYIQMlZ1sk8oUE2eJq2X8uHyciWmhW0dzyNw2p
gdTCTgsWKestGZVrbzSntTa2DRm7/fLsWcMb5RBu2Ex3ebSei+HFnYzE8WsiHaUv7B5BaXH6ZtsK
CZAvc/2UZSaz/5jYS44/TJKKmZmLyahyYUR6cSwNMIvMkfss+SDzyThj1CGMMF/uLUhINPUkv6LI
UFdmIaEvJhvc19a1UDbtMvo9s/Ti/jbqYSNJBBWKGjEvLmvAjMpJQ2cqqoADQ8+mwUGkyrtmPQ/j
rkTPK/BJcYlZog89zjWTBdsGG/IaSV597eWfWsVXFxFOtsfKZ5Eomd4JDGIwGkAvqJNelNG/Ktbc
44zwJ6BrgsVQYHmyIlC9mkJ7dVL3PKD5lowW56vMiWJRGUtewDiItGhaDFRLQpbqpOnKWdUTfu86
30b90KLDxNLeqVDGBOMZGAWXuY8uPG3cztNOFNBOUXrrQRs5YrpjHWaNnm57zh8+P5ZsyaLttgK2
bibxduRriV3NGYOu0xNsdE4pL3o+9AhHcGxnRy20h3aq5I46hgzkcxiIBHK67BVDaAH1JVIdd2ws
f6dSpBezWGxSQUfU6ZzsSLQLT+7hX5npEIeOaZeQvlE7um4jHnDRRl+ddPjoanvgelQo4mfu6+U3
L4p67y3qTItmrDArMMb7DFbGHzAY1kVhJV/ryFB7TLlpDR5jJVdlrqpwibGOYT7QA6K4tC2xpN17
Hy9xEHsWp2mjaG7EhaQnlKwaJxLe4iSR7/iXca52tYJm2IN5PA2RXH6LPCtPXhSN67oghMfXdSXl
wueoq0GF/Vtq2YbzjHABUA4dWyTzErSLgGMlI7G9kDG2lVlO9B5b0s52K22vE/QKjCSrk+iaKkiz
eb7IGqCnTZ0bZguDMGIje09czPEwr0t/GJQBS7G0w5aw/g8Ryeapw4CzE1nN0NWR/YuKHw1Ldaq2
yHS9cyCRAURxuhp2jGjYgSOoc3smmMvY9JU+XKQaMaFOc8d7bu0BR7pdTJux1ERIrGt3pe6BjUGO
BbuQgytn7BfioFq3AmAiafS8VGBXvDPKMSEP4auN+TATQ4/ZP2PBoL1CzHMZDvlRvEzXJcs6vjub
YJa4sUlYkrj0Q8K5tFcWk6+BueKOwTCB4AgMIej9TPS5zE7RnPGORHHGu0BN3vRpY1a/uvEJC2Y4
JAfPesAQXe4J0e5+hDTZnaKjyJcNirbv2D1HAAK0sVHfd/NFOYgYtdIcKkYuB2uEO8R1RMUMUG15
+B/Uncdy3FqarV/lRo8vTsCbiK4epE+QSS9R1ARBURS829gb7un7A6v6lpR1TFfObkTV4AQpMBPA
dv+/1rfsKpUb2GcOx8loHhn0vhULOkFUG9igOG90JewXVo5oj1oRY+RQe84bjNjoM4l+yaGgnEH/
nCb9uILYpbGxz9yN14Ae2RREoa50G2uj6Sf70hCHOE8/6xQB1RovWHznW6HvaVcqqqjvCYDFRS3m
Y+EVVGpiajEpbU9zal6UE6+0fL4G5/pZq/mJlfDXTGr5zvT+78v/n+qS//3nYhl4g1wkUGzJj2T4
f/7XKX0TdVf/kH/6W/v3+ua1fO/Of+mXK3f/9fHj+L3evMrXX/4DrngKNV+9i+nhvaMP8z/59Mtv
/m9/+H/eP66C7/T9b//xVqtKLlcD0ln9rPUnWvbP3AGf5m/v+b/ybpZ/9HeHgGf9BmSD3RJIE30h
1Pw/i4Dj/EYAN8nVYCh0wkpdUB3/YxFwfsM8gA0LEQXnGcPjR13NnvNv/2F5vxn+koziku1h6RAm
/h2LwAKh+CciYom5w41JghFBU2Tp4pL51R8gu8T1gZclhzJKsS9rst2zER72scccW3Wm+YQMUN39
dIfu/n75n2k0C+Dl1z/q8qUB/WAJNgitOQvNoRMVeJntpQdXle68AY5nsMGXLqT22sgj3EyBUZxy
pg98h0XSuVT1itH4t/gcy1fHm2G5IEAMMGy0hH796tYwDm1d0K3B+EmJzGLd5sgRz+jI6QB+Lc35
KQjMtz//6ga4+3/59p6JuQMyDBE0uDLOqBwpSt9Jc7p6rzmSur3TXU/+ZE0PvWO3M8/BGu9dCdL4
imBv5zvKFUAMLc6stWeoCUsYsaxvNMsH+yu7LPMZ+20zHNiaWu6nMUH3vKXmopoNDpRKHBKHcu+j
Q/fCvMZaWuxlC4bNasrqBiShSvd4/XC6a8q9g71003acb5CA6yOBUyZl/SvwjnKtTcp6rmx9CbOc
0LsZBRgMnl2bHasyAA6ajYM/oIWe7WaDz20B7OsyNtZuYeafwN1X73mTl8yhGnKwzj3OhFcfKzXE
7zhn6GyVVnFAQOpQw40DZuv8rgnUXTAkz+zD7Y1XSO1+QmvY4BmXjwJt3XEyzOYWgBClEbfSfxCY
2sGbpSsjBveRqpJ2iBqSKZDvqE0f8UcyLzN38FVziGTTh3f91m3nwdkkmnoxWvENx/0XMK3OdihJ
nuAYqaM5Zso3p9xb4z77ARpAFuyKtI4GrFl6HLv8KnSswv1GTy+MyzTAOcpXdGejem9813mjLkqF
TI69DrbUfi6JBNkGmnVFrYykjQFNE7LCdqTGWGGZPagCI/NJqaq+tb0Ym03Zt3uD4Ij3uW1kdxwC
1x7REvdGDqWwiYs7NWpdzqlTmreZ6p0fNcRaQE5Fm2dX/DLtIEs6S2FiWqCqk2t/GZMJOhq6qswL
AxrA3m3ilALFaZ6jJ2/qSiNxaTRyzgTsBdsHM50H8ejwoEbko338TSHu7k9t63UT7bbADF12bOna
pqsst5KB5sNYnMpxPbPvVaieTOiaY53hUU7VqKjnBPIpCmqYrmyl8AIBo+vWWqRQUNaLWj0xdc60
5HrBcYbkbVbIh9PaWTVt5XGqTlw8NSTJVCAECRLZ5aI13oLRU5/ojE86DlQtoHVRCxizzdA7qBCI
ZsEFvNCpqxPCKPfWHgBq21QlU0zTfglBfgPpdeq/Kcw5lOcsVRZb1CSoJapWUe3DBCRWHF6HYjsl
dfOQS7tBPMrm5Sv+Lz1bj1lTaNtIazJjbwOMfEDcLbUjxgOjeeqlPiEIp6qHOqjIOXgy2Ve0W0jh
ISBFQCtC4KURtgY32612o8zqmO4nGonQ5Bs/UXitgpVUGvKgsmRm2RS2G5tHMCF0iWrYCO1jCkh5
2lmNQFyWudStElnY8CooTqhQxsB4jrq0SgJ3i1i79SidUvDuuxIBU2n5ETvCzEQKYi66POG79vSS
qcTtrilcBp9GN7eKx3EOAlIfMvbCbUX/Udau9chBZ8QQXqmxoGfe5tzoJHXYalcizV8Y1TKDB2Q6
8XNvtT0hp5NGNm4nEj84lLlVnTIYqeM6hmDLESwBFPsI5pLgAGm5/FO9nEYvZImEmc7JQ9EZ1u0O
cJLHBi/2CNDZqGkm/9MlAqB/ioQ5vQHVaRJKSjjwkSYWxLFARaNP0k5SDCsjCWbUzsNwZXVV8oAG
bXB2mus3i7siQAqELLV6m8FxoOXVI7oEiUzRd7J/UJ+mzBHw2jJTPQYS7ixLFpLOowjMHAXfXJLK
zci1ouuBKIN8C/NkfrBHORRYzh3c75Q9gvrGHEs8QS6HvLA1AOpz4JzEewAIh76vSIxbsA1Ov+do
5MybiVnoTe9tle/hrTdPk7CN8ntjOu6Nk/ct2SCFFNjfXGvwUGV5/Sv5RcIPgZlKhJp+zG4xpp62
GIgydNTAq5EzUQp2qTN75Ru1GqIyDA/csKtTHwWdis81cb3xlTNhI1fQ+pOtlqeyBXbrUTT3fO2J
6ph5p1WLFDixk+Qq98syQUq91OstZ4Lq2oLg3tTj0B2o3CCzsTNOkqFTTAvZmXhxdU/ZcKxPBkXK
mVZ9tKiNcRekh66lA7023S4lA2qoij15x/g9qgnSzrpzrSxfTRKS9k0uGiVheFfTHfX/5laTddnS
Am2s4ghlKWB10N0cpfDIi0PNp+NWa7Vp4X1KFSgi6VBdBPgzRbcJAq1rysYivpNTGs3bGlLdXvBB
vjJ5xsQeaeju03ZODk6JUQtFdfeFJJhjOy4CXpTlVrHKhay+ND7g4ZXD63Hl9oJcGYfT6FOGdGti
ychI81Cd+VJ5QfvagmUlJ6MwWvI7yDoS+1gZ/oNUDV6HkfkdIui1aRqCeq5o+ucgM0dEzqLRkp30
a/Upr2LtDi4OQgQRS/dODVFOuS9JfH0/AJiuNq3b6fZeG6ZFs6xNU4E1SyE9Tmk13bCosvvJEUQr
GueSz9a2E6igIdarYG/no+iox0YzzNup+O4ULBecXuYS+wAzDORlm1yoowD1KK50v8LMMjbOxA9R
Gw1+bm5yvdD8m9aYxgfYE6m4ojaeJ7uhlxbhNWQIAFq3ZU3mit1iuyqQap9q4hRmLJiEsV0FbAU7
JFLI9Dc88Pq7GvX+2s+QKB8Ux/UeyXvrnFi2h2Dbdsp7bbBrNgSjwEjlJTdm/aaXafSu/F4vr9AM
jkivW8OhbIgXs93lWYDWkJ348J5NfZxdo/Iq4kPfgx7eoJc18PokBiwyCoHFQh4rYsQgw3vVt0v6
g+rfpOfcJg3WkVr5Ymtajf816ND6TMaztK1t4GgypDElVqmpig3lWklLrCnWkBXAppYJroClq922
gIdcsCL6GrM666KuVQ6NMNoL1+hO/VeU0NFqwOj+w0yIRcvxfB6bgfQ9EBMUqyQMi7ql0gR72bix
qly+o1cXZNq00SeCOfKXGBwh6WLgT66aFub12qPQdG0nhfFdJmVLywsaYRO0LNepFe/MIEu/QrTR
P2VO8zAI34TglgMwg5sPJd3oH+agu2FXWu3aprgm++9rvZBcinIZcVojjpTEu41SgXnIprhG1IAK
kciQeA8TKESwpR8UKSubiUzSVdHL6UArLL3yJIoEzSWdwAu0bJv6QGsKv7xlL1RvEKGJna37D/gZ
2AZ0g7Gnsrb2zeDUggnA+pWHjlHt8ySmbDe11LmLCgw27VzbubIJQdmAPf7iW3Z0U6e4fmF9N7Cs
md5tvD1baxQBcTCTooiJX4bp4Qe4Y5xfnvjaxQHU5Cw66F7wGXpsgBci244gqWn6d+XWGJOQ34nC
CUH9W2zm2E2YnWF2mvt8Sq58B0pV0u26oLxnl0zcg6bfR6Jn66Q5B1q2SyiFzTKVGFkIKkyBsgPV
FzeUmJFgbyUfgkJb6oZRTWZgWmZ3jeGxR5J4uXiC0bp1DWxos5VXyAechA7IEJ00fY5gPA4C/V8H
JIoKxA4l+S5FYX7H7n2kutUPgI5NqdgAas6rNJLhymwr98kyB/eV9Q05Z95+pUbn3FlJIUE36BE6
e68INVu7MwmU23RO9GQ4GjNFTxGeI95an7wvHmgXIfzywFFIvlL9qI5O6e4T/Gar2qmd0NI8OFeD
P3/rKdS05BC0QfJiKtdAchdtEODtNalt6yJqvsiKTJM08IKTauZm34jcQl4nTxjcjwaRPtCmkgei
IzLaq+MxyvUFbhzkp0D/7kNO6gxkfqWWHBpDPTXCZaHjWnhltHzt2eRLuUhMO994ZucykeA48PZV
WF6+SOF9xgFEBRnzrtNEzd4lcWurqP2yDMXE//CaT/LKqsFGA6yhMFmU1oNdlvWV6dv30+w9QP1T
+3I23Rt3qPxvzgBJaXAnb4cb4op3VD25Ir+GCHDdVFF1naQa1NnsVJH7uMVPD9RML8kSy53p2Mnc
PTpJa22tPn4otH6nJIJOMQ87aAAl63He0mwu4iG0sazatv2gYQHJ6cUdOlvFV7oFSmSayuSLP/Tx
U2xhfrOaoPgyVZ55k3gjOtGBpuFNkiiS+BpBHbN0jXvM9flWIzVjrSLMEGmWCmaxrtprMxKPyErT
z2XKXgoLpH+tKphhWqDnu2gePhd9OW+boMHRNRdhrWe8oVak7huhPNzr85MeaP5Br1sPMz7sHVdQ
B2hQoGyr3kPbVE6h3eZYEwotDavFVk8iIhFQcBbX9RBRaETDXb7Ojf5IB8N+wjTH/YVIjzk1pduR
uE/CM+KHPhsiZjFkhrPpYf9EiLuurJSkxzz6nJniqtVTcvHKjGCFGg0KgjtwYaA6pPsSm250okUj
riy/5ATWVAim0yA9lUqkO/g/+4FHs9ZJaiN/y9JpaqlNbUztJqc7zKIMWm+2KuPWIOIdDoJEaF9r
0R7PPy5DZadAtQxLrYxprkID2wxgzUrrX70glvcYXa1bstSI9rJltLItLb6ywe7v5JhdcepMNw5R
EU/RnFU5x5fK+eZ5KE1SGbzS4poTTpjEU2c3Q4K1f52y8QW43qqj4ephzeBhQ17I4xjo+loXrfPs
8ZhPSGDwHnqyOiWwYMt1Re7i0lsodwYuwH3ruzmqlVg+VVlxPSD8X0MfJC7QyG1QiOwG5jnKUXm7
VQhsfOOSQvksGmoXq57ywa1FDfhAozpYTw5HAhje1RVpMc+yHeWPTrF9oOOgb5M5mlNmueHaqnGn
5G3ancrUfVMgUFZ9rR89aR8q3drPTbYj8yrATtGLgB7w3ISpU5thgfRu3Y01pXi9QitPRcFCYjX0
NFgeE6en8gqz3bfGOxsThNUdNeh7KHRHHULiAzqfOEjpM4CVo8fpMjt0GyMWrrbVRWfSc+5ML281
NodOR+8sAj8Vrwcosxj8ZzJRumI7wGpfcJ9T037zg0j1eFM06PTxZhxl4m5tLKuNv9NRnegs5vSw
EmuXyRjgzxsi+ji4Q+L7SQ5V16PqSx3AMdnMb/mnQdcVYGfd6YUC1mWwFy2KoANsE+hp3Xtf4jEz
S/Gaq6xyqsPYeJ0rj0GhhM8GKRUVAbiNCzd+3M+zY8BW7EnDQaLXKkhE8y6PYRtaR29Ed08WZzn3
+kyp3Jejpe2SD9ZdhoYcwy1RLF/jrgHwj4wQzCmwoJVfCH8H0opU9gGnZWfH5A1FYh+U5huLroRH
kolH0WYYLWvA3Fs7pdrv2Vimx4DEXCeof9RN3+zKgnvaee0nGEfb2YeehWzvVigtzFpd22baEkmB
emTbz5lNYihJLy1zwAqisfVC/5Zg2JFXs4URt9KdFjWvVRTomI3e6NfKIkzKDfQvpdNhR1c2zuQE
HGBqldppmIFRGgqWWz3oRKXGrk8TUcf3PjgIGHHYXInZToG+tjrjCYr1eixYSaQr71PVWXydbmye
/TmrCaJCOA5Gf7RdOiktZ6fR0LLboJryF0MjKkZGqEpb26vbrWg1F9LfCMEQ8ZLB+xp3BDZvNMqW
dL5jm4rERIZEuZnhFY20xj32EniboVEmQbJ3UjMGtDF51nOSwk3dAJFMQpNHuwHPFa9sPw04QA/F
Jx001SpNxLioblw0VtPN2Nn5ka7ie1uSWTKZ+ENEv7NL0KHAiLbJOLVHC4jJFmR1Ati0nu/teYgO
dSfiRbInP2mJviasjr0GHcubnOQfNhcDvmCgvLBQBrO7FkhyrvFfPaSpZe3JD3boNopiNxTJafBL
bScMayMMvQpRGRX7oGdrix618HDWkm1A4sXgPegOYcR6q1lI1rrpsbVG9xWIH0Ygt7COXY9T0h5i
Y1+5mgqXQK3GCpqjocB2UYv95JbzaXKAna4ANom9nrX31oDr0lGzda3P/Q8ITtVayrg+Yvlrt3nn
d4gNpgNJ0ON9PcT+OmWo3yZp6x7TPDDRqDeYV7W6dseDZ1nAHzoCijYDhYy7aPAkLGLeimdKNNEW
XEB70KCPrBNb9zYa2g/QYV5E/paZHYnK5KU3tfqu7c0H19Z79MJ5eV8HpseGJxrDItIMiMIEQm4c
t2zwgKJmTq0U+5YGiwybFjxPTesJ9km0xDvh+1rQPP0chWZj+3t8WwMxGoHr7Wn7p9dkL+NBiTPn
sTGLWa31LuP79QKHWlUPcpOI/oVc+ubznPNPnCyoF2IC9butM+Snmjiiu1KxHxZB3z5CqxGrYUJF
GaRJvqOsYQh6YbjASoB7ezuhe5UNBlm7ZrttXESAgZTflG4TQ03F9pCpmsOBVs44LqJhbXBE/J5x
xLjKcF5slO4ke6lzBEEQp68QWRU7LZiZ/PNJPXNid0CmJn8HqKKuhaZqVFWnH2BOQlnFCoR0n4ry
NvKa7gbrP+RrPv8TtY1x63DC/ypdKpNrJx4/kysREL+kJGektohJURxZC5OE5qhMxoNBObofiASM
4E0SJQqV9fOkVzN3FyVSR/uaeJnZ3ndj24ZGVAKMIVngk+w4/KIuMr6bs/gRd2ySKRlXDvGCZf8I
hfNh0mMgF3M+babJU6eoZh4eoAqsMpetRDVElPWmeJdi8NgimvhC16Fe5SRwrsTEJt+gLMA+jhXY
TyNv34IJuS47OR+i0fc3ZoX/Vc5VfRSFPu5KEM40pzFOWn5h7CnUITBe2LeecN4V6pI7K7WLPTod
tiHstd+aXhJWaWnipi/G8SMlcOtVsDocqZNlTUPofojkFypRCOY0CMbs6kiRDm34uSsdKOCGrvCR
dwsJZVcQdvmB5cV4y9ZQDLAhOPYgJMYr5qwqX7YPUht1cn7Qvo9pmxw6DHJ8WflSmmI8BlgTr6mR
+puiSawjUL/mTle4fecWaQHSfS/faYvwYfKGHG04u0D0SECbfCWsbzC6tH0pjBiDf23V+YochO47
paj5Lc8dN4Scy+JdsiwYE+IA4CBqG7mudktuQn/UCi2/wSCA8N8fZPJEGaDambQb1nPSOEch1HVp
lOUVdUashIuJRFb+TZoMJ+EaAQSD5IDVeTrKthvvsihNDtUUxc/+BxFZ1H6RwIgwmh4Vi+vdQ3TF
fzoRgc6Wt0/3QCiOJfNoO5qPw+DBDsnEJxW33i4hCvZlMMebSWHKzVW7F1VFI8J27gEp80Ynzgwy
ihJUd0qMqPnWmqQhIHYzQGNCb+7ynesFGeoXXf9KBQGo8/QBeGYTgpvb00Ft6RFJMbgFm/XEbt24
gkJthW6dVfHR+UBF58GwmaFvUv5s4u9sLKZX5SCMA11LqynAILqNpLstFMisjHg1OV5TBMEZZpou
cjcMBrXlFFvyCEFTdg4b4cmqKUl+4KqTmm3wzsN01DqGxxHHbKEWaKTIzab+zYwxFUYwS94nq+xY
i+txQ1Gzumn12HyKYGqHnkLHoTIrzcDCas591BH/lVfYKMhMw/TU96BPiMFCd1nCR8h9BqZD4ixU
82x6rBqz4bWZjfvaQZbeeRoLMF4/aw9Ks+BD2jJ7sLURXkScDpxaZSYPeT9jigwG+lqjQZW00O36
btSK+tlgfVvhu9JxyrSCTbpKFuBIv9i1SSKBSpzgCNDUrmAPtx40K7pKJ45gCxPqOdKZ3ukqBeFU
mOYDiUrOw1Ixuqe+44Rm1rXh9AEbL7AsHLDfBsRNBPY94hD7qeZ7IzwVGVKidGqQ8XsQvoZsfMCj
8rWDHvKCgASJ/vBBMzdQD7FdFxMuPndBnSdpxbLCJ+KwIp3pq+zF/Ez8GeFWfWN0bBpF+Tahhwak
6yN4rzme+iDtqb511oEzNqq0uE7tUFmxdm00RRtmBm6AHGrEczQWRJFZBHPBgccT6mZ5/ySVV++D
DEsirFDGDyWZdVwOoOVyLQceN2FtAOVeurAtX0FinuraX2vaBKK1ShfkO3xTakyrhOWJr15bdiOp
d9ZqRl+6IOP1D3x8STUQ5BVH5R8KsVxeQKnKqL2RYCivRiBC/a60yIVetbOp4TrCOwDKoYW7HHzA
6WmquRV8/bSstsoQDc5GwBDIPGFYEwOwi4XlZTuXQsrNRJLoV5z1iMxYf5mZRqtF35sDuh8EOiwX
n8QuGAXaK1Ox/Qe3SYn9g5bfLuD8QRM0Bui9ABnTMkNsCt3rw5g9jYzIO93KZpTvfrVQ9wFpU9YF
k/ckclwdqFCprZu4+wYbcX3dPqJflasCrkU3JTcZ0PuGkOBG0bsEOw1bo3pKhfc1EK9zYDUnObQH
n1gFcE684Rs52lfMjRD4ijzEXwOqraelMFMBptmLaUOTVPaykLQ6osuK6HrKaEG7scOZV6H8ZO8F
XHbjAh4TZos9TJ/qHW45SXZ7t/bdpZtTo7rLqjtHA1SAdZEyTHITNwR1jyj8RjVah16ZD+NI/6sV
bsLpel4nHU4cTJQvZRBUmxx8BaBXnPyIfA1qFQefmj+Kryutb9QOMjY/5/9BQ5mbfvLRRHRko3JO
EzJyBq1dUi+iAc184j16nAK3WTLe6lqMPQCwS8AY2fSEmtlDc5Pq6qaPQAkxIH8EcChmThJrk938
PeTUtejV0XSyU9E7/mZKIRUCCGubMSf7W/fu4sG/MgrVbyKzeTH04pvl+7fOZFKhdG+ioiQeMPZ+
WBnqBWX79kMONf6+nPRTgz26iAXSf2ZSiiT4kGD9lY2at60P1dsnGyAsWJqIDg/yFUl+6JvIi7xK
Hey3nNwX+FjibegLJ6c4SFr0mhYtjGoAvBC1xa6k7IeN4JpqdYpqIrbeZtS0Uw7nDwk7OEg2IoId
bERTGisbIV9xrBMKXSNWLMvumftzmPrkyhDWsxUkDVwpu/WuBFPIokeOWFPoPmXjmJ78QQzPDIRg
FRgVuSNdzxs62yP9DenCNQtax16PwOwYioUfM5Qn65bzqyEoO090fSjTkobRmEsyhpfDULHZ2FDz
JTW8KesMSUW1hMSr6FVrSnO71CdW9Lm/KltZP5b5a5H3EQ1LB0aEeaMR5BDP7MPukiwR8hTRGBsp
LA7ucBT2wMFuaE3XvvWKCYsAUqrkkXiVADl6pFyMdh4eoC7sqjqNr+kRpeWaWDv9h2I+Xf1fWepj
6isoggnZIcWLaVb9LnLARn35czmK+Wv8DiIYP0CZCPQN9S6jLzgLqSFuJxA1hpODJYPknpxI+TAY
LYcnnePEuBl9AGCIx3vueKoUNegWGQB4LxlEL5WqYcZbla2tgS9ALRltxxkeKjrjBFgM1DFWcOF0
6B1WP2ZbMkY94naDCrNgBBjw2nIrLjJBDeD83SMRiSNhbBue/j9Chha1GOqwfyiOkIv9rEs7+8//
+t8J026b9+pRivd3eXpt/n9QpzmEpP0xu/Zz+i6r1/IXPdvyL/4Br9WD32wXvgQJQTS4dIO3Y3jv
5JIfZv5GG8C1eS0oGXvLe/EPaZpp/UZSkw4E1DBtpNY/SdP83wCLkTtjmwhWmSJ089+Rpi1o2n+q
xLRFNGcDtLWQvv2MrEX1NtVzUY8hgnZa36/aZB1+uge/oz/7oytzI36+8pi6sBCaYggpJb5Zef6m
tfHXyy59JibDAUTkt1aNIe6NmTqg8ZBbZb++6OLmWWAaAxfGd5ENoeck5eKqvC0IY9lddnHkiT/f
FIxeoC3NZAgB6l/TbOXEVBCVctnFz6YXHz4SoaR8cr92I/LCtWoLGa/6CyXfHzzPj8ntJ7jxyIZY
b82uD+upwMrhAy3UJ5qUl332M51enIKB8XmIIdNhv3WByYPhnYYLP/vynX767FM0pUDSXDgIfhP6
frHF+fwXT3R5cr8zgMwzTedAnwda29SHCIF189AT19jtZ5O5/lX28zyuFd4HwgajXkPlbJsXPmzj
7O+aaGtMKSIZjvjPEMhZNK/VdNn9Ms5nhSLCkBfZMkRRnd6VZdmehGP/RWTaH7xIxtnE0OTKp1ha
qRC/0CkSOviwPB5vLnqPPqIZf3rSvlPoChsDjtJyDB6yIlFPmlZeNqWZZ7dlpKiM1m5UYZUO78Sd
bAzqFhd9bvPspoBbaIqutNQSuhJE985cFcfUBO98e9H1Fwj7zyPAV4S4lkGiQosonX0ga5SOKvmr
sMk/eKTm2YQc8CJ6mWy4MVI7dQYpJ2P/dNkHP5uODYXiAVmIClvPm2goU8G6s2fZX3hfzibkTnN0
eG2tClXcZA8U2+3DZNCNvOzDn83IMdlfiY6lI2xb9tIdCVKbIprvL7v4stv86VVvmjkGKshHF4EV
tMSlG803ejr5659ffrnM70xs53mGiYf8tdGZYMxY0yyk4RRAlVUCGyKjGNC7k+rHP/9Lf/D2LPD+
n7/IqM+W1zkds02Gec9gF7wrJ0Rnl1397AmnvpzdGF1uWJHjke7bLE1voVwjzL7s+mfPGOpORAfj
o40o8LdmHqa3Vr1ddvGzZ0xIoEdPtpRhAx/pRdMM4F6zYf7F2vVHN/5s0ZVBn6V04rl6osgwCzi8
plV79+cfffn+v/P+6Msf/en1NIt2aobY68JMOMOPtnDMq6qZvTttas1sXapoggFUWc5Fd8oMzv6c
npjUjYQUYasFJ4s4wZUSxac//yq/f5/Mc9+GHUO4m71JhAUKADcaSfUbN5dd+mxJkVln2rk2inCu
umcLfLEmu/CyS58tKcgy6wH4tqAqZJxKiQdf2BcthMQw/fpsnYQiXITEKKSC9n3Ip2tTGy761BaZ
HL+8NoPbtDjMWUr0Pj4mY/IDMmpw4VRwdrMFLdpKDmxrCh81cuA/2WbzeMnNtvSzmz0oDM5N48sw
6JPrTO+PUxnvL7v02c0m9YRSUROzeXVps5cKBMviBb/k4mZwNvcmXlD3jc7sKJWenwAak/6II/P5
squfzb3KwM6OZKsj9mRPkwUBTr6+7Mpnsy792jHXJcUhbNpA8mlvpd6FQ/Jszq0MzzKB64qwKrxb
ar+fat+46FGawdmEO1Ic0AAn8amlVq9K3X2iNHPZiYB8yV9HDrbuXMMaKUIjdxb8OzX+C2/J4qr7
eS5PA4KSDJQ4YezVr4EhH1qKuZe9gf7Zk2wEQqo6bkQ4JtCEhzpv9wre9/ai98Q/e5jgEFwqqdwU
y2nXtoF7ITMvmwT9s4fZ+ybgkSoXodNUHq0u7XvgzT8u+9hnq5lDUw4/Bq+3gc43mep7mgYXLfqm
fzbBUpmu3dyPRci9wSD8Hnj6hU/ybHptLJ+IoOVeJzB+a+uNYsGFT/FsdvU7j8y7hsUduNn3RCXO
CtXIt8tu9dn0ClhWZAoScAj+COJACafHsC+bpbyzIUnGhAehj9KzN5l76RlbpJCXTSUYU38Zkm6H
ute1CxHS3Lijpv0lAoT8Fx97GRz/unWjvvjrtRtfMxCusbyTUYM3BZdWHiMdK9t3IqmdcmOTD3XR
ed20z150Py+Vl8GZwRwXyxy1UxDs6GKN7l98leU6v/dVzsb/VNmweg2u30/jyenMr57pPFz04nhn
4z+I86kZu6Wv0ICip3OFOxwowmWDyTu7MXGHp3OUyFw0rHcuwTlT311UPqUH8+vjHebAzgLgtqje
acb6Jdos8uGbC+/42SxQY8Eq4UPTACcVkzQC0ouLy6YB72waAPJhxHPKMtQAxECxCFkIe9Hnyx7n
2TzARkh1rmJe9H0f9eojm6zNRVd2z2aBjvTNPBBcWTSgUIHe1t7psiufTQKx3mtgHiLutQt2Rbre
E2LF+C/ewOU9/p2h457NAnpv6UBjhi6MjDaXK6+x2uChciun/kz32ft00Vewz1/GWgzEL6OX8EmG
osnL/O5ilbzo4u7Z6A9EKz03484Ty3rIXfwwfnThQz0b/WZSsMPHVBZmPQQquIY9m9DLPvXZ0M87
Jl1p+jB4u++djhE2u+wVd8/utT5jTqtnPrPdleRT54d00Sde9qHPhr2tst6pao9bXcEbGjCBY56/
cP/png38yiYjvcMZEXrojQ8tudWbqc7My5ZS92zkqyANIjvgfvvEOyyQ4XzOL3uUztnQJ5pjHJKa
Oz762U612iYdo+NFN9w5G/vcXKl7HmNfAkmXhXVtcM667NJnIz/HETeMSERDf3Q3WfcI0eLC+3E2
II0hhsfecqtRJG8a399VmXbZuuOcD0ikBhYUzRYY1LSuxwDJzl/th5aB9zszoXM2IHXEksx+Thuq
It+MUA7R2l34qc+GZGtXpKlMvCBkJ6yVWYCqSi58Qc5GZJohccrQtIekZZkPtkWqqECjf+HVz4ak
QXPOw23FXGJl2coQ3lMX/FUNaHnPfu9+nw1Ib+ySOVZUPb2+QKhsKxpF02hYmJpHL/jeIzYjBl7H
QnjZ5GWfDVMxR0muKkyZqJCRZXXfIgP2xEWDyT4fp1E7tfU0IGMht3E7o1dazQJswWVXPxuqrSJa
RvhpGw7jFJZ+eyzEhYunfTZWp+wjY5pL12q8J8DrMUjd68s+9dlYLUUaGCo3uN9zG7oFFDfsB5dd
+vytF7buaAAaQgNnClL4vNt4peVcNn/ZZ2+9QEJK6EXT4quLPEBaDuLq7LJCn2mfvfa2guvnLdbg
uvND6EFg7EZMORfdF+vsFeewn5s9oPsQLxJS9FkXwtgHRY177rI/cPaeA7Iz7axkI8fRBeOPBdzE
uvDSZy+5FnWeO2e8iV6fr+lY3P03Z2eyIzmObNEvEqBZ4tbn8BgzIiOnDZGjqHmgRA1f/473qktV
rwvQrlFAMxV0Gmk0Xrunb822bcxbLXI5NNh4iAyv+QLixNQdeBA8bpuQ1SLXtivGrGclass+0KZw
Sqryw7ahVwfSZDmdi7avu46I+WlZLhpcSgu3+rlt+NWhlCHGCGQxI5UoU+d1UsGEdXYc/N42+ipC
Y1eKUmU0Z9Ap9zvr1BcrBv+6bexVfM5LH7qDg6AZoND3kG4JnQ5bx16FZ6oKOqACVmHRid9O3u4b
XK+3ffdadGSbIaz9kB8U7TBWmeLm73rA3CE221aMu4rOto/HyhVsXHmKMNMx5dnobNtycVfhmVpe
MTvY/VxDPT4tpbzzsTre9HuuRUe1RwOQchKyDAuAZBBfB/Nvqflt4/uHJOPGhf/vmrbykKTLpuNW
DoYqABXat9kp9izWSzk4QEVafIo+ZSj2M/ohGhoIlKe12fiHrSIYtYEH765ur+nY/snxowYX2W4T
U7lrTZKVZfT66dvjSC/w9m+AZi3+xrvYWgQTC2sUbkdzVtnOnyov/kR69mXbr72K3szDqMfghX4V
9WL/MSn2J0tXW/9W0LjN7T/94qsANjCQPN0OpPHRDUlK9lj2OPZu+nZndb5KOnHbvGJaZq1ejGy+
Khs61raxV8FrI2NSVcNiiePwgk3l+9K72ypIzip2Q2R9SLoVm7FHp5dK7vtYv2776tXR2lsLfuhL
xXR7APFkAkTHDBtrJGt1SoVGmma4W/aIyxNcS7qVuo2zvQpNjdFblkfc9lI7+OKa6JQXw7aoX4v2
xEB3Ltb+ZOsJRjIBNiBzpfqN3+3+dUMrqHQjwopIH93kpSvlo87jbVX6tWSv8CE/AUxsr0sJBU0O
9Dymjv1j2zpZhSV5jI8dvyDqRf2tEG05wIqy6nm/afi1usif5iDCA4S7xiQ/pLRlyNHZljzaq7hM
QbbB8yEj8B0PhyqNJVXkbxMruPYqMn1Hhr7xOLE1/my7IAx+Y9+5saJhr2KztZJ+8Dq7xQ05f8UE
87Fq8m1rZe24OSy9UyURQ09dem0kybpOXrf9lKvILOLOhFRwm6vo5Sdc115d420cepXyYtjljT1N
H1ecGh/koD9V8bixAoBQ/y+ZxqQxcvQGoj4w3S/2gAcAUdty6bXsRLv0V4uOmMda/hxiUlLGzbaL
tL0KyzrFFH+CZ3oNFwzAi/JpGOu3Lb+jsxadTIvuswzW09XO+l9TFz1hZbrtrHTEKiZ7rMlTsfDZ
vjDXJYF/vPEYhpn119/R6rE6u3mmX2lg+xA16lUI67JtRlbxGDez5y4eG6w32O+YEzxgvr8pHnF1
+OtX18LY3mLK5hq19jvmHT2AGvodt333KiL7yR2z/Hag0b0CvpjB+xHvp22Dr2IyCOoWOk7HnaWO
reOwOOKLFY36y7bRV1HpyICWmI5zIfDleRrFM65Bm+rnjljlsaXXIlBO2uYKt+arie23yio26ZXp
C/rrr2no7vTEwpHjBhpnggonksRgorlpTtYSIr+ZsBJULvkJDej7oYLj2Ohw2xpfi4jIHwAo0mt7
DYfqLe7FR9wcvm777lVkKrYmlWqu/aMJAZgDz52xtNq2DNcSomhwszgZWYbNgm0OvZswdMr+uO3L
V9EZWYWpq1v91prUUePBVMbOxh9zFZsZfUyz1VGQCzRkSd7n6NbGi2dTWuWsZUSYTYw99mjtVeaF
pulYvLR4DG6c8lVsVhqjbpmwHQ6DR+cJSPE0tbeJcrB3/2sI0RffLPbA7znp6ZT42XuX6G0HW7yO
zjyvjEjJIminxrUpCt+cxGxSbdAl+NfPThw3DLHJ4cF5FPgMjzi8+TYesZvW4VpOlBaWkqbWOHgR
N6Otfgajs/FIXsuJRlvCJVTowjjhHKw9cYsssXaEsHTY9vGr01NMri9V4zdXKdtzNJuPmZNteqmg
8+Ovsz6WCnv6W1Xbwrh+16shgQSCjce2D1+FKF4R0SI5Lq6qheNt4/sVbh16dXiifPBoE6bdbapx
aGwb9Ss1pdqya4UoBP86K3YTqk5X8XCBIhTStO/eDM1xgN0wK3iyr1Y65JUwGSYxXLSDnTzOZp99
TG+2TDmDr/LDCGpNhLsqg3vzGY/w81hv2hIZenUK0bzrThFCHIwVRbursx7jkaTeNuVrKYtOI2wX
saO9dDAy9wPcsw+TGPXL/57y//SB/a02xrev1rnol7jF5gjz6Knt7Ys9q856UnAB5D5wTCHfCmIq
vjR5N6pzEobwNadgNFhLC8zmzwW4aJ9+UDHlT2qZWnBw3lhAJvjfn3eLh3/4umA1s0HR58aMhabl
X7L3Oc4f9DE/to292jxMDtmzRA13WZryqx8keNMALNs29mpWDUYnKnJzfYl1ekmLGHhZK39vG3u1
dyxL2eaxr/RlMo2LnzGsc7KreFuYBKvto8ZUdFog9zDjsAmiyMNpCi/RjaOvzvcBb2Hdt8z5QCzu
Ekdi0hUHf7ZNzOp8HzJpqJjw6TJQX+x+vPM667xt6NW+Z6AzKChzfLebHHx8T0RUbKklhWItQejL
vhxDzVJxndrf88iMJwiqu03fHa7WijRBaCqQmBen8O4xyT8EVbtxX1otFHy+4y4TmqHF6N48Gu/y
Kuy2xU+4WidYq2DmbmFpn+OtNmX8A1QONkmD2fJW6yQEtYOLMxS2pKrKQ2Dw26AFzttyUWP01VKR
MrLLCb/LywIYFh/FEltEPPp7uSUxCcVaWZaBqcdXpeLr+WXv0qxVD6Ifw2zbilmrywYxJoi/CaLW
vFsTVN0h21IDZ6GvDmB7bIogZYmA0au/1lPywm/w438v89u2+g/HxA0L9d9PemYMXWiwxXDJhF/d
T3VbXTHCm+195ehoSxrO56+OC6dvcTG2A7Z07Hl3OMT+lAbC4f/+A27x+E9/wOq88FIEyEXjst6D
7Ozqr1MVb4uktc6e092qFuwbLrjiJPsMXKPNU9u27Xyt4U36xsFxisFV1EJ8wX8tabe8TzHdqx0g
nPK6DoJZX0IfpChe989WIjdpeBl8tQOU2L939ujpSwEa95j6w7cyzTdmsWs1T++NCzgLX1/mLH30
cTTq+mJbCK21PJCEU3xmHdYglpEXnDnlvhnaTWI4iFqrAFWdVy+1w6zEDXRo5UF36LaUgBh6FaBh
bWUlbmn6ItLiLMNqH5fhlpobQ6/i0q4xnJn7RaNUsbAnNbjkbXo3ZuhVVAaTjvHtYmiwaHiEP8Th
903h7q2OZTfs2ryzGNggRXi0sL3e6SwctyUr3upkzgTYAM8d9CWS5ZgceoBOya5RDU2k2z5/FZtu
7ERxo/vbr9nsm2B497xNvTVM+SoyRdC0WLORsBRTiS85tq8jUPpt29WaiNd2OJGGPSlLWfjnsRc7
JextC3yt47Gcoo/Ah+iLV0Q4AQ8H1WzSTMIqWoWlrHBLNJ5hgVtCPeYSE9CmSKONH76KzEzmeSyx
0b34XuLQwDeoUxn38bbgXMt4lhIygtO2jJ6q1N7Vha6x7S6Tttq2FNdingDubAaRqLpAeodpwX2i
mZNtJ767itKSLuNW5q2GgAM4YAHslKr3TRG0FupA3xLQccr2ghoTF0QcYveWTQV72+ir+JyNBUat
ENMlFeaSBfVLmPXbjuW1XQ0Y5aDLm2W6mAkWAo603XGqYdRv+/BV7pyGGaRM+oIvdRF/Slxd76pg
2nZ2/k2nk1NgdzC6vKAs06cqN+5ZC8gmm77cWQVp5/rdXHkSIng09+VO2pNX7kU7j7+3jb8KU4WD
IaUwflKLT8Zz4Bi2/9Y/cRviH3LPmz3dfyfPde4M6WT4Se0gM3/gwDf+ManG7mfdgow+TEg2s0/W
EpX6uO1vWR2ry2Tjli/gHIb9q6Wtfay2/gqriAWPnPi4GEyXgLeafqCrN9hUJ8fNb3WoAg20lyBm
lqCbPWeRc3a2PdQy9Cpco3mxyj51pgtXDAWDeMEFsttYFFkreBJf1q6ru+ki/TR/p3ZkDbu5c71/
qzA49n/e8f5pAa2iNsNFWcLWbC5Vc3M5RiuvriY0VvCg+jhxXhevBc6ogS8jDp8X2ty+T+HozWqf
ygZiDYw0O6laegDhvF15PsX4ecINuntzyjBo8S0thvTaGbCCTxqzdHHMbRnIu97GE/RQ4WI73AGO
AdLhI5txjpUEnXIwAYwo7FYDkXzxrQAAJEA1TPEL2dYdGKUQvacncDe69CnFqBffHazglPe2n5zD
KZXyZWxif7/Ae5mOnTNfTen6n0iihh++XfePwafmQ3VUr5SblE7ik/ba+See28m8D3i9Ci/IjSpx
5+Fh/MfqhhvGDCvIZA/xOkpOuC/69ZuTuebPAqmwggNYtjSg2bxnAOX2gvKXUy0VaCyrKOuLAqu6
fMoaAL0A6cIbuyMOpu7OrSj131saDsBjUAaV960Ym3m4QHDJwHUBdnzXyRzgDRuMNg+7Tt0Ud2Uy
JpDulF/PH0MksOkhr21n2OeJwOc3Mn0gT72zSH29tccoWC757D8bE6TjTkjXEj9mJr27C1w9oNEs
hJd9TjP8ge+sMYijwxSqvjzFYenSPO7xPnDEDtx6HgPALkdYXXOMAe0gw+cZ5sbr6GZZfesXrvwP
tZf2fA0escU+GuoY5mKii3iHl0iVn+y8k95zjuFPsW/BVQINXUzV7FRV6vAU5aPT70bAS9ZeVJBL
DwvQ1gROUO84u6SVYXTnO35dn2OxlNau9cXyaQSByGu6FzfWfrTzxN8t84CH/Y1wKjAFH5JsH0/d
8BmUn0Obt7LH4Qw8xop+L8HSeRfQBk5y9mAdxLsBI4TqYFkQf/eyxRgnsmU07kJQfwkG+Y37nX8G
jGwaFebKRb/BtztoG/1lyGIN+qnNI3FJA22bXS1dKumTTxSBsvTC4QUb9VkqEDiJWXZZWXvzAVyD
VZ2GPAYLqxPkL7zGQgLa17Rjkt96UISOsIvxgfYLW6Y3Cjpew4XU/nRwsib/PmbJZHaWXWMzTsvY
IA+xnQvzsR386DOFA2AOYAGgS5S4BI9nzX8uLkPs9XhvFq0fP/N0EOpdVbRjfZYlPpRop+mNwQg6
BJYJpxFu13TohkHNX5wZ5uW86yOQbL+jFOPug52Wg/dQCLv47S7pZJ+t2Jp+drzpfQNe4n7EESwP
qVmkVvcqk3yx96kfjss9XAFT3EB3XeMce4kB8AtskMA+DUkJ4mAepFuf1QgsaKeDwTy3gGmrE7Hl
Dfs66JpfY+pT+ZMpvngXHrSt7GwBJfwswnA6NpAx2ntjdWX0Pga1dc0N/2WXmkxHn/smLqF2Zf1U
1PkRm3a/+IDDZFH9AS+K/Z3MgQQNu7iRXnidelD2AKFMEqhqn/Ms1NxAmVgz7flj5+6pgchnzgAv
3fihGZvbGgCFzLaUNMD2XO6F8i1SJnXe8sFKoSFjNO+0N0QiVbQwK5v3CiZH+ituvTL5pQWFnoPd
AUjYp2kRlvdpp/zprgqdpXim9Sz8VEw5AJfcNtDDuloN+ond1Jr2Pqb94akAcOPuOiPy8n2cZ0+8
J7Ujr3GTKXPXllIn1yacwj/F4JbDBepGNT5WVUW64JZGfw4DMSADUkP2pwcz+FKrSYIybIgoa68X
Ny/fsmGx5MFZyDGAOuJSdUjJl9qz3bAmbCtU8dMkZGKfMbRpsfomVbNo3Y4S7xhNECQPOk7xz1G4
xt1YRNb4Paziqr2r8+XgLewdOxhOwW16cdQ3nDUxCaSS/k7Jebd43fOS6GOT6g+51YkFtkQU8YVJ
Ltmdq1j69qkvpO3cWX4MZeHgRb7+1M4B9TIn1OI7nJzoPvbq8THsrKzGuiItvXNQ0AF18gmC/pED
8FrOzb4dxR0OQo9iDFN9pzJ/ecRRvX2grMXp7lUZwME5qmR2qvNoVCAMqBhDe1LiW2HE/CSUX0R7
MY5f3awVvwLRJj/cxm6qD02ULqyE1FFwv+00Pkytk3MgqgpuRTDLXUw9bhfkRfrDN/HJ+DnmjJXd
Himgq8NkHLxhe2Bo03Tx7aw+BIqnIx155w5IDq7f87Mspw7vhqXE7RsvcuUFFesy+0AaMeBWL4Y9
NOxxt4zja47xzUHCX9vJOqofMtd9BGl9CKLuixwB5rl2lh4GXugPtM08LBG8v0OZA8TqkRkd4K+I
vQLtIXZOPKjzlESlYncuokcRFx+HuYN/6U8/Iin7E6ht/xCafPwYmaQ+tJnUw6EM4DcIxGgDyzZO
2H6Cabq2E+8FqAI+5j43CIsdnqOtep8hih+7pBU7eDHO3spLZ+c78yMIuLOTTY/CdLDkEj0h6AWx
20d5up+1/VSEw1emMTy2yeJcKGT9UD4e9p43HlxTyQOWhX/EaKdHC9OUfYzyhgRgKk54mJ3nUrb7
RNj93m4GjpXBebHL+HmYI/p+LYfMJxv2QRRXdBbDLfRb8dD4xWOipvEQhvOHouqa/JRO1ldQXeku
T/J7zGUfnUTW8OP1ez3m8RU+endMxvAPlrRPMue5eI+D1WNQ1D2RUE/71o4fuHIutxMg5v5tarag
Cn5punNlR7blBZ4+KS+E0zIps3cLZe39pn1NIhld3F52NybEB9+LvWMDnMFTbgOnB4OCBuzvLqoK
AHEBVDFIa/kdxYoQi3e4A6Qzgt7jqgheaKCKOGmSA3+QrA4LIlMFeHDRL650wj9jmPTJQZjU/ZjW
NCwfWlPw6Ohgp5s9OPiqUzswgzM/LYGIYDxVUp0lxJZ8z9/nuPvAKhPnRF+yM13t2nMeQ9vC5NQH
oSp3E3CXn/WMbWuTeVZ8FxdJ+Lkpy2DaeXM/fUG4GNonPCOSz2NRjJqcr1AYurl+PLEyO9PtZJMu
7wLj9eUYJ266L+fK/ayrFJRyB57xcwTp9U8nefm5L8uB2RlyYopwaiM6INJs4QChUPYUWlMxv3aV
kNU1knbsnjpX2uPOLq3ePzZOV/o3kqo0F68akycdJHo4F56ffysXcJQXXyu/OsSuYlm5jcYNri4h
mB5kD9sb1BivCB88kTo/dYTa6R0UYgHetKHYSo10bL/YePkMJFVxWlzSpKk+1f3sN1/rPhr/9HSi
pbsOlAeQYzJi3q5gDfqHOeBMezGqrOsjaF0R8NA3F/klKtv6zXb8JAdRqliQ7RBPCX9tj6ZXDVH3
3I8juDidAJHdYTU+VC9N20BfK4cK6KKCpQAVviiBBAtdLc6uy+UMxKmTznPbu0v+hqWj0M8dLpvt
qbEHrU6Zk5AbUmAGKzpOrovZWVNV/ck0HnRvcHEXkmYXAABXwQdLSL13Mse5+kGro/tEDC75WLAs
3REqS/HZdr1l+hXMiW2xvlqrP3eNXWQHVahMfsiRy3p3rYebE1NBR/3OGJDPe9jc0D8t/CABVADI
uQRVCg8LbknU7AOZZc0HPMqr7NnBOg1gJCmvA8puiecX7i20rfh68eMjufWLR3drv+eKwFG6mBlw
IjYJIf2ofqCusSN79DVhNIA7xRwx2Zlsad8mwEff/TbOWBmW4IAMM/p49n6uxj+1FQMmwaKkf4fi
PXKqtWEhL055y0rCSRTewfTk7tjnxN19D1cJZyo/+g59IfioWyu/giLiQpHhsc5W6KinwOt9s8tz
M/lXoSSme0Ka+873l+VPbgL9iVtdHO2KBuDevnPti5vIG8V8LPsDJjWtDxvWmqZ9bXxAbjCH+3nv
1QXEjlbEX5YhT6wdgAqoVbJpqi+WfQODlQW5wEPLzrs856SruwEV4CkJq9r+YfcayiSXnaw699ac
18dFOPIVJAfwyAUIm3MFWe+Le9kM80ekkOoPOg8j97qtK2xgSbcy3pPG1jksfvHQA0yAr5DfEiPQ
nc14KU1Q/xJu5ocvkfTBqc6Vjva8/l0mOQAN0ohA611i+Y9Bh6PSfoky6o+OncyaQpvv+Ych9KW9
V2mek49FXvABzrr1mndGcRL1AA/jMVLD8xLopnsZnbn8UY3VBMVb1MqCg+1yPGntdd4BpKj7FAAR
fUl13tCQNKZfVDZP7Rco07XZe8kCIFDElnUgAPIIBgiAM3jz2A6z28d9t5/AeaTnMV/cq4l7CEx+
C9BjrzE3ZFcfrOILSV0R7rAoz+ju4UPeFqgZvwOlxg+Uy733NArGGjxor+40imySpD6cCwIytOxr
ivLnkIH9OCYw9y6Kl7qdmvBBP9nVMCX3udGTfEo7W763JnimecPf1a59CF3Vq2NEU5S3H1ORUNHy
pjS/1403Qo39DzjUl7NSAByFOkK7kdkTCKnFOoPThtYeQyrB3td6rKwIXKIX0lS5K2OPyjgYkcE7
Oq3ndY+JdtWPCW+afGeTyY7HLnCG+D50YFXPIi9QU7kGnBXZu2qOTdAClcsdf0cRIdpX2Iqf8T6G
ANQaUGzgTAbYur0Vh/CrkiKyDnhUe/Isk1aDQ5aL+CDGYvkOc1lenVGap1xxE9yJqXSyx5gzfP6B
HHo2x2XmDDz3FYivyVmSb001zPWxhSzGaaOmxpyqxLGbZ2pyXMqNS3qIHFb+4g5dvOW6N5cyXcJL
Gxvz1rFZ3rkzIJh7sCFp/kIZv/wt41LQq6zm/uC2U4kRYkJ+k3fdE1iRooREYLGNNcL3vrTotvyd
iy4bZs201E99k/XymARj9Owg8+0viey5loK7CX4S2bdijR3N1msH7XPgQiuah6qYmkvgDv4XnWRh
SX4lzHgsnbpjVXEoZrh1puIurKsAnnMWwfuZBMDFe5kHUhwAzt2OhCJ9c9L6KTe+d8jz5Zotc7tD
O26/+lm7PDT2ZIZH14unjwtnRXss5Ageukss5s6po/CuGabJvVZyiD4qPVs1k67KHFqg73xj1nzv
msLtXuyjFcBh0+w6egavM7bmJfSxqNmnjqU/KBUnSOBVKe7rYvxtL0u4fNdlkPyuXCOag+/b+S5X
87wHKaYKqI7zDB7JdnsWRH9vL8AN/cJJj2WppsfEzS5TUr7MpfZHihNgJTn8kZztltSugr0F5+bX
LGPnYuZFv6WOO+QQsLqu2DmFo9s7H4OP7BBrf3m1lmpwdkPhu9+hUuVfjTt4/sUuOZP2xgOkfgIC
Ty0HguVOzu74qHGAJ/3Ka+s8BNQ79iB+FnW1oyAY7mfNo+ze71y3ebByO2byR2V/zDEY00/AR6Al
gCKJ27dsTKBCQWwvh499Wqd/eGTo6wNHsKEMg40noyzhbOByD0H2YE3Mvwsj9CWoy7o41e1ys+Ec
ujm4BChIMaAUmSS9Tx3/OYvdOtgbNvZHu5bjd5UWZXSO8gYBGrtQpg9x3ijnkCVp3ZxgZ+uvPmjE
ZGfXObtND5Yi39e+w8nXUfB1eBNXbnhposrkd7hGFO3dYEzzFuVAWu6bLi1Y1H6dHkzlVwDWONDU
jlS+AermDS5sx1TR4A8JfFCfIW6Z+sCZ0STQ4UVWn/y89PWh60pRnCLgrOlTndSSW49rwuY49Mr8
6GXKAeAYl3dGo+Ih3jttGr8VY5BBj7fCIH2wPSoaH7kEiPnOAwHsfHQThPS/IgUH/mmM837ACmRM
3HNrkqJ7icuy8X4vSZWrcyhG+cf0aKrvwS1BtXb7vAuenZQCAezQNLVeEnexIZM6iocIIl3HHYeo
o6rhAF6I6/SkYlV9wh8oMkevd4Mnj+qmW+4sdh3/xQ0q+2pXGTy0MWoBooMmLIf7LM1b75y5os1P
MGrr9NNY5to9Tsk0+wcTZRXn29iX1Zehn9ndeOJqp2eHeuB3XkLaeSfj3E72UL97eUid3ryVXhq4
wJpwl7sOI9fpHYeI+hwOme5Og7SoHAz90JDshtppnvJKJO4BumuUvk2VbTX7fo5tyFvdMvUv0ZC1
x7IauDZyBSkhosepI/5QRQrGYxUVQcurFYn2TlOPal5Rt5pmF0f8H+6K2A5deJT1oEBARdQxv7Rg
KjF1pHwRih1B5lnPbW2x0ZZaxf1dCAUznWn7hBz4kJNkwfYOjevK74knhNoJ28/hfEnRfFc5/5sM
KQtGeFwgJp8SVXTfKXqH9E7xFtrvk6zjByqraOkuI/9Acagn20QUmvwy/G7XRleXogl08CrGcpTH
MGGN79w5ql/swu7zn3FndVx6iyzJDtlsqwhFgZv6AiigX03+Nx0slvjpmbqh8GDaITui/LW4PpV5
7++jWttiN5GKz9tUcOvmWxiKeZbKurnosC4vlejiZ2pl/sbXmHUDbuc0To0NSnOJe3s6FFVe75YK
d9gND1QwJlYPMnLyddhHE51zXXHUlnmZE3HaNvRK31Bxivm9j5Ol6VywiHbR76052PI4y3evHmIW
SvdWXCP95w7zEC/dE9eYLSrVyPmbND8D21m14uZEkM1c5vQ9z0rbbCuctTQ/CecBD3Vaioj1DGh8
+8I1f5Paky9fvZx2PNsVs53h4R95V66sr65tbZHxMPTq5RTUtuW1Id1Kvo8RQWSlpO2Yo215Umb0
1TNpQTnX5OrWIeb5py7v300UvG9ahWtZMI3lAMFCq7m2qXgzDYDZsf20bejVOymZhFth1gylmStd
5dT73MRb3o2ZkFVYZsiOuLrgq0TBdQJVaDunalTb3B+ctSpYWA1FPF7ProNrnbGY/91b0edtc7KK
y6kr2QQR015vnSFUjfZWNm2bk7UauOhbgEF9gvsIDyuQGUHqJn27bZmstcAO+dXUu6xvYxdfvXJ4
8BN/i7YmctaNHRA3UR1ZOJsIr6SPqHy9sdI3zXawikq3zVoXT1ba/CIFxVOVwdGt03zj6MFf1RKO
1KMAYkXDdryAVI/ap5mkc9vpsPabBLTm+qWhnTVxPwhXnX1dbBx5FZaRPwgnM+zfeUuJA/EedbCa
1GvblK8iUyTOnHcoUa8iHM6VWe4npz1vG3p1YMpibLMuYqEsQXYKXPuDyMWXbUOvwpI33hAjb8wI
yer/TFN+Irt83TT0uqmjrIM48AwbLLWh5oQ6dTnnXWm2aPYiZ62kTwK3qUWl2ms3BWCcrWtTJB+3
ffjqtORFFB/cFivCIHR3oZ+e53AbOwaT+r9GjrRNRkmRyOFVEtEA3hJqU1sRE7IKSs7gyl2Q/V9p
UKMSZ91Le9sWuJbP43qfVI3FDzmnPURjp4Fm7CfbTvi1fB54cd03vJ5fF2Xva6948O1/Mwm+/V5/
0+QwI6uIRAxQQDLpaL1tKX18K/FP/sZVi1sV1bNguYhY2y+z7Xvdv/wtN6HbP/yDa0WjHpcqohE/
v9b8ESh70iR5mHj+vl9Gt0XzwIP9KyQBmaJ0qYttm/HaksxtS9cBzU4eU/fZFz9c5mq35G22Mc7W
e483yVim/PgQ3F/axH2snXrbl6+bBJQI8dDlcnitauq13MO/FUGjt23Hf2sTgC/sLg52OVEoj0VV
PHnRvM1UZN0jwPE3yFrz3VrzKKijdic8JDibNp91l0DUp0MRdMx3P6R/KuO9922q/mXs21bwD+tz
3SaQKMVrOpKna2OjsaMN6dV4WfhZzptU9xR9V3sQyIbSFVPUkK5XIMz7+ntmsn/zRfh/wvnvDQM0
fswO5jbU+VjiXtH/btLarfaJjHu1T/LWepF1vXHXW3cQpLLrstrgA+pl+rMzu4/R0G8pDDBNq42p
H6qGZzjMQBZBRc0qqXFWqXH+5Ve+CT3/6VdeRWyddqnUrMprNYbeH2XbA6ad47DRmGbdQOB4HaZF
ONNceROd3205ZV+9rlTbwnbdQ+AVbdhFTsXUjGF95zpWxutuNr5sCq51G8FkNVOxGOy5AopJWEYJ
6sWuHrfVB9ZWoEsOb6X3uT0pM10tEbxYntm25ax7CFCHZWOIUO6KoDLjmdVveZAP1fIvJ7z7/+wM
//nv/8UrrAIvoXAp6us49BTNQ5XPTz2ugkifJ2M0FcKh/oiLSvvaKcd+rxB/WaRGZfQr9sv8XvVe
lKEn7wWvoon1HnseqpmAvOFD2uf11zwuuo4GUHv61VuB1Zw46LV8cEjHUZm1jGUaI28m6tM2A29n
3bhQtbrx6Vuq8N1o77u2ecxqsa3EtNb/p9No/BGJ0h154W8lmn1dWz+3LdBVOl6ggu1EztC++4gb
e7dsO2rXwn/AzL1JUbXdJVOB1pwVVKT/kvT8P9vNWvVvpJOGmgvhHUrk+MPttHrjelV+2zQha4tO
+n5mkYSM3vH4M83JoUl/bRt5lYo7Sd4VJmmYarvcTfI+LjeWTtf2nDIbGxHKWtxV+mihOI6GbZAx
Zw0ydlVou5Nm5MBrjrOOH0Y8V7dNh8dp8l87wOhVQTvUDO2I7OTp5YB9yrbjbq3tVw3NpUPA4vs/
6s60N24ky9p/pVDf6Y4gGYyIwVQDL8nMJJVKWZttlb8Qki2TwSW4r7/+PWl7piyWPZomMMAM0Ci0
LYvJJGO5ce+5z9Gsj70Y2iEI9Ipxt+3GV9sd2mNVbJq1DDNI03wy6OtBi03NFJyuHbVRnlu0w3Fx
22hczvYONC6bbntdHED1w2onuKOEXEPiIGp3TO+3Xfl8OvnhTUKSbbL8LLunWYrmb+7K8c9tV14d
jNN0GgUkq07IbZZ7S9emHtXoL9h29dWEtLvIyDnqYiBoE5Q7e2jylmTahJjgdE3mBAk9iqFKd8KU
MXVE4TfZQSqsXtlAf7EIrv1+J+gInJxXTig7KzuZZR7dQze6cYivbWFlbZh2C2VrKKBmGhjd16m5
bfas8Zxpk4/TgraGkJLBN8uPqlm2HRzXdE4lhRhb2jlh11TQ8n+ul40R6BrOaUOBZMFcFVfuIEOI
bXqb0kpsShKSNZ4TXtY5WixsFqbj8DZaplM7tndbBjhZ0zlnCN1QUGUsJHUSwyc7KtyxdLaF/WQN
6Iy1o2y2jCwsmHWHnoPrBpXSbTe+mplUwP+AZLg0YpOwofFFY2+Ka8mazzkOaSXAAIScMp5VQNu+
DyJoSTatKGRti92YPKXAOLIQ60qy5wbp/K4ski3NlJysjbHbObXaAUK5cJDwAOLsgnXZxsdivlzC
xxFEXqZ7Flaj9CNDoudj00JF1nTO2K5TuqiZhTMVxQ76SbKT1H6tEe7nyyBZAzorDrVp1uPqYmTV
Li+V5RFEWdte5xrQaSB52pojhiFMOS7LPv1QLvamo9u3tr4f9szOTgCTKjDr216kjzhe8dEb29Ro
t60qa5LenFRQxkzLFMqSBElreh3EZ5sm59orc4mMzEbv4RQ6NeAG4yzvYZyzaQ2HTPPlONRLQ9G8
2E/hxKoEsve43ncRLw+b7nxtfpxBjN2iGQPvs6qSA9resqDp6LaBvgaXLolwFEkMFkJjc5tG0JfY
2tm4sKzdj0U+gDBo4uKQNdsuhWbQG+3B2TjOz7Prh8EowaKDXluwcIxTdAjYdWSAvqjidBPTg5M1
vhRWSxx1wcYOi6Xyh6XxTDAMt73T1cqVl1TUpMxJ2EaRR2kUWqO5baCv0aUzJ/UIVwUSqgEeS1MK
mZ3cFAWRNboUmLcp121Mwtqo7yozv68LYwuqipM1ubTQSQ7h3gBtamG+h7cljNWzcdtAWXNLHWtA
rxUk9SGZTeiFlfww8ulm04tcc0uzohmWukiWEF3GuYkEkBru26zY5qBH+Cqk0Fk6mVbKsWr1zsnR
xa6VZNMpBY0IL6cPzH4kPLjTKewJBwwn3+kk2riMr86a0BzSFhvnGOoKSTFUHjO3me2HbU98lfsp
HZSLiJJjiH4IqIDYCcL0bfe9Vi5FZtUlS2v0IZLaPm+TMENz7Ka7XuuW+irvWzWgOVK1s2vbpmuw
TclashYtlXBUnziN+jBFR2oqov2wiR7JyVqzlNpzlZS93WOEoIHPYZwB92TJbbPyb5ql0iomcFv7
cEDnk5/Aim9njdts8shatQT7OstU6dCH0NGi9Y+e4nGboQdZG+SibWNSooyHsLL6q7YvfSjRti2C
a9XSYNUxuo/Kcwdti9bPLAuNXHzZNgBXc7Iepzqfe6cPE8bDsTH8uHG2rYFrjKGQA5qYFUbgZMPO
L9ez3iekM7bFnGvZEgMgsWsI7SE8s4YduryYG8uO+psey1q3VNTpaCHf3odKG7dLOu5V5jxtu/Qq
DcRh6TcxkvYhNbIwMvWNWPL32y7tvFy7ZxumHop1fQgf5evIlO9NvQ02T9YWuazSQ48jRB+ie/OQ
j3PANzp6krVkqU2TeRoN3HVuktiFOP+ItphP257IKgSn+ZlORas+NJ2HmIw7qtW2oIet9knd5R0T
aGUOTfi9LUV/qNlrHrbn1/X3EiRhqzkJIgcaIfqxD3lZzXLHi4ar3RA15p8xisKOy1s73ZZnImy1
bU7dSICc7rGYW+po5s1FVxnbVvK1gintbZnA0q8LZVZ5EYD5BPryTa91LV+KFquazdLuwjkdo3ct
qdRlVPBtdqRkzQJ1nJpjEzK60CoS4hp9zo/WVM7btvy1iAk0hrRPmcKKq8/ugNLPYrVtxV2LmCxi
i9Ea8VjGzjlYsr3sQTXZ9sRXp6oSdUpjaow2XFrpor8WOG++7dCz1jAtGYpg1pigIeKjQCtJufGy
qwmK9t5UgnLXhXQw0CCfhmjk3nY6XsM/JU+x+iG9EfYGhxVpGgDf8JrK5BdJoLWsx7KngaB5uAsV
WlyOI2ZRYABqtm3XXOt6ismpRjQ7tWGTsnfWLNDeK8Fk2DRG1sqevMprdAzNXYheuvyib9S7Kmm6
befXtbIHOgNLwle6DYUs9innQTqxbanItbAnSXiqhrjowoXmd6nZ+CxHF/q2Z8JebsnGZMU4MaRd
WAzmFzSSfyx7MIa2XXs1J51ONCLNuzY0y2eGHtpMqm3hz1q9w/K+NqMODzsqFw9yhj2MO7ftm2v1
DqgwZtWcB3RctGPg9FmzY6JrX1lcz0HUT7bOv8E/DU17IFdabJ2pdTFCsfxYV2i6hKZP1fauA86J
usBsoeNz0ztYixbHdhrBQZJNWBhG4zdlg75kAIE3XXwtFiJzOUKHXgH/EpPFrURfe3lEN+kw4Cj9
cmQWXW0bYsjbUANMua+ctPK5BqJ2062vtUKZ0U2F02Bs0j4hlzkF1wCn53nb+FxrhRJYqSVQojah
pNrxk6J4YF2+zXybrNVCTJutmMy6CUvJr3R6o2LnbttDWS0GMfwxbDT7NKGVDbCKsD5nSbkt/bEW
7HSJmhqd4tJNif4nrMSuM/bbXHjIWiQ75rRUS2U3IaXxEQ/6smvLbRvSWg0EHowYh75sQjELkA4i
VxfbKuLEXIW2oyQwBLaLJlRltF+qZ5NE2+blWg9EJlBSGiLqkJqWD1s8T3Qbz1lrPZCzKDMxYDQc
Npl2ezkBBKa3BURrMdBclBnak0B7KMo4fhDjpK4XEptPm8b2mgEK7oSIpFPVYQynUQacTzFtDInW
iiDRzeg6znDpUSSdn8196vGqmraNwLUqqOxLY6w1rl7T9JCVwJKxalsBaE38TJsEvjtxXmCvQ1t/
HMc6SHpIbrc9cfPlAl6d+82sRcchhRoIodyNqDYW9NbITzUWDO3nUwqpCoWyNtL5+L5owTzceOur
qYnlJIraBNcfupH69ZJ9BEVkYwZxrQ2yExA8dGOwYGjlRQcUEY+26T3Iumk4UcXSDDb4ICX43KDE
zi54OBvLYmvX3nkZit6o7DOiyXIXKI8cum1uri17SafsGgyzIajVYO9FEi8HdL0P2zbjtTYI4siG
xywegsxwLg3gVuRQbUtir4VBpWgp65DEDpS5AHHVyJMZqY2FwrUuKB/HFsgGPBXVzPdNnacuUAob
4/61MkgaBbIS7fmh9GBpjFyENVCX24LOtTjISpvKHs8uZxKID7C8RsfD/W9LIqz1QUWUDEY+cVw8
iu5g0PohGrfEhI5ci4OaotItENdDYOTAIYIlyMEn2LAW4tLi5VpIExBSk9GEfcuU+IMpoA963Hbl
Vbq2b2gx2MCSnNnWf+ZGsR+zZuPzWKVrsUnOTVKOIPTW07Ea1F4umzzu8TxWkWaFMp6ZJPUQDGkR
7YH4omAHl+aWAzOuvjp4ShvW5ShxDEEzcb8m6bto2dQwjEtbL1/kUGTIq9T9EHQdPZlxnHuxSTeV
13Hx1Y6J8HjINUAuAcg9V1JywOF5s2WpwrVXSVuuiSrrJBuCEZREfNDB4sPGcbLaLduGZAzclLMf
FChz3CxBHlo2pVId+TdZ0JBGVU3yIShblDnmbHF2E7U+b5o8a99ew4Q2skc/clBO9WEpHBcPacuu
g/tezUsiuhJ5clyas8zLW+VV8UZvn7X4JQKqG2AkXHqalr0EPzkhcturXEtfmr4mC2kwc1LkhNxS
p+8EaTYab4nVtKzRFsWaCcRvwGE9ZvU7De7Mthe5mpYpSDMD+HRDcOYGoXgFmqDzvO3Sq0kJwgxw
RTBpDKzF3pcA1bgC2faN972albqAAVEK+HBQlOmdmT2VBt8iy8f4W03KWpcS7hJ42BaZsCewQ1x3
W6JjWKSuMjOkt9IStCwEJi1sXfPkgL6eLYcdXHq1TwLP2eYUpeQAzm+uU1meA77Gpve4lrw0FDMl
K9IhiNXiZzzsqo3+pWu1S24OpTnAESeYEu0jn+TqapMkBc9jtU+SuplrorH6xXM9+Uqg23mJ6cYn
spqPIBI6GY1x31I2T0Bj3w35nG68tvVyn+Q5MaCTx7UT67KnwgNfbuOVV/MxB4bcITgoBH01u3P0
XIkP2wbIai52ceKwbsIAgZ7Gh5LbHfP622bwj0/Tv8XP5fW3DG/7z3/Hnz+h9tmoOOlWf/znfVng
f/9+/p3//Dcvf+Ofh+fy6rF4btf/6MXv4LrfP9d/7B5f/GGnO9XNN/1zM98+t33efb0+7vD8L/+7
P/zt+etV7ufq+Y/fP5W97s5XA4BO//79R+HnP36n5zTNP368/vcfnr/AH7+HbfP4nP/tF54f2+6P
3y32xhG2ifjMEfgPPdepxuevP7HfmA4Hdo9Qx2LcPmf0dNl0CX7JemOCLGYSZgG04wDS8PtvbQnm
3B+/m/KNLS1bCAt35XBApX//jxt78Wr+elW/6b64LpXuWnyTr0HoX0l6bsKoBOaTzvlSuBW2FojY
SdEqzgEYLScU0XxQlpaHJiqaG6Rfl4eo7CNrb0VD+wzHuuq9Ng0gQ+PRHPkNTxJguy3I/5PdnEEw
5CO4UPs6OZsjOFHBrmiHYgisCIr7IVWkcmPgy6rdlKf6PUwgDhy4aO13wB0KnwG1moP31oFDF5VG
Xe4LUGcdML7nfvQ7Cxy1yziFJ58fw9YAfXSZMuhewS3yaNOyhTw+NU+LbnodsIKkhj/aRZp4A+iS
0a4BoeYZB/q2c1kxVfrY2baRuIXZ2PJgdF1p+nBxgpGHaUVmHI5lUuXoTZPdifQgIocRmPw0oGbX
N3vLAhTPA2+/X9xYU9F5neawz3AAH45ckAwpbDuMss9Q6kyF8IsxrZ8mp88nV02g2LuszOmEQElo
AnOT3LnInKFToZzbDNRKUBcI0o2qLT04MfTFjhYss1wLBis3NXys0CQ+qfGQApM6+4uOgHGfesjX
vDQlORycR01PddTq922leXGAdGH+SLSGFry1pt4b1IIiholGwUurm0a9l/BPLE9wVHhME96NAbze
E6C2CwYjjDM+P/GdVKE/tCVapl7aWBn8lTn4njedNvPP0uDLbWHlSwowdhoFMI40GYw4lLgsKTB2
Oxh1RANI89iIXAtszOPQdNpxuwIwTRfKJNn49Zlp7hrKmU0XZpHASU7ZUCy+OWLceSbgbdAnkwaQ
zhQWFK0LxCqgozBnlM9LKcrKmxtgEoEjjMvPwwBky66bM+Mjh0tU6uccmgGOSZe6ORfZqZDWkHiW
psYn2SVts0vanjTYHArbPrQLEw/VACP68WvTfzKPseXCs0XrazCF06s2JSNGZg8bWM8CXbl2SUSN
L/Nsl5d9N9H5YNcQ0sCzqGsGgEQtwOgDm8fY22rNiVW6k6bdJ7qUcjyCwiqdEYRaWE49ZATYbV9A
ZhZd1GBBtuBba0kO1cIj56CzsZ988KHjzDXpUvVeES/TxcAUSW9TRGrAsspZG5g0XTJf9NhNk8A0
Sz63AGuDjhlA52SlXjOKeMLc4ZJ5kD/IW5jV6CIYtTkvpdcvZqUvrQwE/s8tWZSPtZMFCnzVRzbW
ZewTJKxMH/llCmxuSuv7EoPgSqtJXdZYrBM4OozNIesruV9qy/TkIItXIr1zLPByuTKZ7VCJdZNQ
k6wr80UJr0FjsACihmfxbhoTABLlvLiYfPTbwfpf2sdO6lNTtuWXbr1LvdjY3lbP+q5rnp+702O1
/pf/G/czbp+lkb/e0d62Hc4/vx17/dgmqvntH//5f9VvYZs/6s8vdrtvl/u23wEI9IZJImCyAmmn
zc7V32/7HXg+b8DMJJbJpAnH8TOE5/t+Z9tvGOWWxTl+zrHjIQvzfb+zrTcOLkIFhfskeN/YJf+F
/c76KmT5YQBJU1owc8YOSgTnJl2n7epSOKZB0+YdG9LbrAP+u6aOsXNY+lQCUbpLYHHoF31dPXVp
J/cZLIj8PrOh8Dar6jEj7bzrar1g68nZFRyBFjgwYB3QgOSebBt5aKde3tvWZO5QPOr3fdP1gZE0
2AiKeD4Mk6WCBRDSHSORfZzlWF7SeVIHsC/lYYGcyo9b+2ZuF2c/0uzR4noGqVThUwAM3hdoNvMK
p0r8Eg0+PjfSHE51BI4UaPHzx6YC4n1AXs+ooPaqqmj2ljI5ll0pfCrhrTTDtUTG+mPd4oQnF6Wu
RMaakIv8ic7WjdDFpWrSz8WinhRvLPf8FzIi721ksVyjhRtUufzZ5qx1sVnd9TK/NIhoXStdFMy2
FuIORvkxEXO8G8oOcn4GatYoubFbbCdDRbQzPbBjv5giugDONLrgnbHAKil7SuZeem1S3sV8OE1V
W7tcdTXcelB805ihXt+mT9xuYAuLLruDSHD/VUPS+7qieagKlbwV3dIBClAu8zFi3XxAutD0iF1e
awtZTmw3tp9NXBywA+QuzIno5VQ5V31Wz4BjTbA0+Eg6fFqba3i36MqzRyGwn+IpnP+qdPKP49zc
6Tk+RktX7UyNf8yYRgNknTIPlLBPVNHSF+hCRctyd0rmbPRBFeE7uNnlrkic+16rz4aDOKdt8o/o
ra32PJ+nizYH2X0xJ8LcGegKv8R2uRsaY/baqK7dSZHmRPB6TBk3DxNJHHx1WK40WfolsmFsNJ/v
sc8/SgmXL0DcclC9y+t6wftQadLv0RdSfaxSyQKAjxK3Xix6iWW/DEbB7Kv5PHQmqz0hgWm4Ev4c
lwDk95fcQacd/DI1DLNaXpi3Oaytn9BfXt+opX+Ao9TBVNizFmkFZa2eKgBB4VxV3iVON11Vk/7Y
Rs1dZKeFZ6X6rsXdpnX7oElxTdsOYpBxSvZtY2S71CyeeJ99nlMotm07T3xlW8ixobscXKXc3tsa
jksyiQuvSIyLpKnu5IyhYJ5dzTqdfQZ3+p5yesOiWR8YSqx7OJ8DVJ5JPMI5A9mZFK1foqfcA0+Y
ve9Vqi/TiPeTG2UGHKjm/NpsWAAiSOxbsb5rZswzGF19YTO9Gc6eHGOfY9gp/YVVjuHCWCX3wFnG
IHSIPijDnvdRYcC/K4UESBbjKVXJx8WpiG/EugzyFI92qvigPcCIrQBO7yWaIuf40lkYXC8i5uy6
eDmNDGNmYnifRHFrn/MoxrPo6GU1qemtMkF8Wdq29WUW5XDsbeNdKRvTS2OLeSParTyS4QLMqkcf
xhLLfllmcHmS+gGmFpXXzw7gEyRqD9jMk89dCZIwilIXkaG+RMI+oEGuRBco/Hhs1HfioWbXHMui
ZRIrRH+L7eftog9gWcCgWeStD7N25tVS2yi/L+/xJJ0ddu1TnhI7KIGI9gd7nt2Emdie2+TzoMYT
OMVfxJQP7/O0Sl1QEsEbryPhKoVba2VSeGPa6UMfmxOSLiksbczmAQHJEywpHgUZch+oVnUAZxr+
QBGseCgmt2tnLRY+pNY9MUv45bEBKy38Q3alEoabipL41QzyTI+kWZABdPUWx6slEFNUP/Rlku8g
ZdGXxaCbp6qEC9Kg4OEXgVD/ddywLqnOkw0pD4EpJZvFBBW/mQNCMcimc9evIYCNt5WSB2b336RB
/wNhyC+Dlf+FIQgOtL8OP/4fAsu4f/wNccZv7mPz1H9+/DHewO9+izUMh75xuMUt9Ld8OyYjXPwW
bJx/JHF8ZvghugOl+CHaoPwNLITQvA8nAPscCyAB9z3aoM4b1K0sUwJLCwsinLz/lWjDPOcf/wo2
GLTnjg0PG8emAm1zYq1P7xFPw6wCiivYY/I7NfUtauFiLkHqXsiTVUk4XrEhi/aA4PYnvYgCznrj
jIbMbEh4aMJZ4Qb+kFE4q8X+gEHbSg9WR9jnVEeWp8yMYMO+GD18pyYtXunc/iq5fHH3AvGRFKaA
hwGeyFqAYJAlgvqNjX7Ss/lxnCzzLnMYRvokF7i3IaH2ng6g9QMVoTJ3htG3o/r9TEYc7RAi2mEz
FbBEN7hAfnNEaoS5PY4h7+KE7jIYT1xxKuZrtAONDxbS/ey8MxnXw6SWPS9hzeXwHAx4OM7rhwWO
U+RtDB+txCVazDcOEsqXaNzIcHBuAAIaC7T+wEMgqw+tIsNrhZmXxw68SDwK6uDEgbdo2jiBvMz0
0d4eitwpJ9+mLPLQioa2vInAoRLuKa+k/M41k/VTNzFuqbQBq/9be7sqC5t2RTb5Dp/hb6QrctEa
keHBCU+g6yDih7jXN1+n1//AGvN2eEbE2jz/hpNO+9u+158f4ROh/w8cemDeeR7Bv1517qrmscvn
7wec9scV5/vvfj/hYJGwOQxficMk5fLcivj9hEOx6FBmwvyR2t9zfd9POPiJjbeJXyIUqbuvvTvf
1xznjWUi/SYdnEmkDdMT619Zc77yfP4aP4ZJz4uag2PUyyHaJGjBmu2eh1Zz0TL9CX6afmFG8Jak
B6MpYQQHp8PxbR/Lb/neF+neH3OI57H/sw9czYkCdZfcbLFRL8Ty60EezJ7UwCKp92qunn54E9ff
rvbjZ3xVaf3sQ9a1gZiOSQ5PpjDrb8fF9m3d+SNzzjqu3TA9RWguh9vcsbEWNA83Xoel0Y6cV77h
V7zTzz4dJ9Yf29hzpwCX1M4MgMHGQ1lkcB02vLJZXNoWOM5cExsoMkBhuizxjKm4RC7lle+NEfrT
h4vj+o+fDEdjeJHV6G4wEJiJ8tA1KmRQgcXxfOzJcD3W/Mgzx2+M2gO/0H3lY19uXH8NImy1P35s
ZtdxDZJTGc7TTr7tr/K33QdYpcFgDj6gr3zIucz1s4d6/so/sAEMGLx07VJGIdCgfmVLHE3Hw9y8
jeXk96X0EzhEvvJ1zk/rZx+1qg+qeSQS3ZVTODrisMzSVQK2rJHpslhd5wwH3Gg5IPBDIuQe3ok4
oze7Vz765y8Qqf+X39JZjAlWsmMXwj/oMJDrbuQH1sQoJxI4QMHjo8UTtY+1gHTaeQ2gc774378v
QpyXHyrkZJSEL12YmcQ9g1dQFz0Yg32QmDL2BIMrSBbU+Frj9NdI4Geft1pzBkZmUXdChNVDdaee
kQYfJw8mZNGH5gQ0ELLCG5/maq3JoiYVVmbVIRLObmndF1QjnSy/Dp8FKxpM6+CIvqep9Y68usDR
VST0H9NBrBU8bMQZbYyaMuz2DvfUe/qgT2VySu5ULfbJtQ5N0Ca5my3e4A+fIucicfMrfRraYDqq
yP0UpUcURyJYtl1mV6z32vfpNTMeh0vDhXO1K2LrVD+WV+Vt3u9glLWrD4ydjB1SIfD1vSpv0jTs
TqKiH/I696YPxm5wPwm3NuHUBhupoLMuWtuTQMmqP7vb4bYVJ7qjXnmJqgQ/tGG6mwMWAqM9h9Me
sYtnRfv50FyUu47s4QgZ6qDR+6j9lJyaqzZQxUUXNFfy1sEV8wpOtPfFrbHv39bXNQfe9caOntIP
1mV8ELA7DuJjGUDjQHcLHH4/w0AZoVnjD0+2jQXjyrgYQd48NAd94OmxD9ptKyOQzS/HOB0LqHmN
2Qxx1oTNkESlRwVo04LYfkiv+TnVFVk+On1ceKj4isyvjcGXseBfg2G1JBvWWNfZRMywP09fYroI
4fyGwQPL/JgAiF2ezQmbj4pCq4tlZeiq60KZhzlibvfqDOe/WlfWK7QzYfE0hygU9vFcUCCFxMFe
+KNML9olWuDEiTpb/iEfyTFCen9XshhgcriTIW+AKlvqthUlu7N31zSM8CaHzySO8oogrJ9HmIvF
oBzWqr6F5W8Ty8zFWXy4GAVVe6QFdrVqfOyJvV+b+VvDgH3aaAA+aSJHUYwozjDg3Vg7pG4jvDSP
P/BZYbDN79KYhujNT/bI9Vre0M9/Kp28BT7QS7sc5vOxfT1Rdpo189FOVe+tgruiXnyQwNFnVlwl
AyzZ08JHpu+uTNogpi1OE7QICOzB93Nq90iZsCtdmm+lHr2ueorFR/oa7fgXYYhYC8tS25JwPaqi
MFJBWj9IGT8Jg/iT6q95hSe47Dqnup3FSSxwysUbxzr8yib2qzV9tYf1aDsaWKajkEb1U2JRH2hI
X1kIASLuq5gfSwzFrrEOryy1P98zxVqLZjdigo9uEYW1PuCrsQjpRgzy866J8txtMsxuq26h9cTy
Hgec81e+5y8CWLHWqS3ImRdTbEShc07aZj0UJsLNYXWaVMKXaXW0l+PAbnR5u/GbrnYv24LducWa
9EKHlZQXedu8Q/ksOL/UtIx3mXEamvyaUezUjnlc4gsZ/tef/PMICHmIl0vYbKCTokWzF5w85bG2
TZ+o4dhKA5HAfKzw53MY9F9/1C+f6iqALsmYC5ByzbCcyXUSkQvB7m04hPZx+w5e5oiMlFt1qAkj
DfbKR56Xop9EBWsJ3LS0jbYsScMh6o6GWtxovBXw8i2SbNdRelRYDaOZv/2ac8StZDN/bZE2xa8+
fLVK2+3soDqNkG8ajtkoweKr9gKbQ1p2hUthS+9aJQoaOZaoLOsuYSh6LHL5tmhcWjdXepmOSz6G
eR39WVnlJYqYbZKhjVu5NeqnRheYzl60+8y6qNt9WR7nBUsRTEH2sG5N6N5AYTjpYVlvBmAluiYi
AwHf0Al+s1i0ErxZMKVqFOK1k5w3bi9ZgE29tZbjWD3Z+XWFIDE5DMOhAWpWBDHMas8+qAFH4/60
K1HsQaH84CCgg35hjo5z9mCZV2NxjOwHZt/25r2cPlT2l85+X+g7Ohwy6zDwL0MXoN14aEPC9oQe
igxOkwc6nW8aZszNdKCQ4w5BEocxC1kSAG+NpDxSLyjRo5xgVOblIGYcRIZ08rg2gtSy3mZNf49G
3UsLzW59tFwBR3yUaOHpURBw5nqHHK5nqWGf9TIcYj8Z6qtphq94at2hKfHQg/lElitbfLCcdwAo
HoDGD/IYeyime1fZxzRn+0SqQyKmzzROXS7mO5kntdta4gt6TG9BD35nd1ewJg2t3LmHg8FJW8Wn
TiZHrqZbaqNbAaCguXV2MOrz48J2E1iNU2ns6Nx+Gg2xl4hywAj3q1Q/LkTCx1olN0qgJLTMWHPs
d0WeHpZaeyrFwzBanSOdTC5Jkt2nNQf5wGX5M8y94AVdum2NkscXFQcNai4SOb+5cBtrPCW92KWs
OZASvuO5htn36AR1jEPdJOHrq32WiYvRMtGyXe0Kc7mGHM4TSGkP1di7qBoyBw5f+VFU4oYmTaC7
aVf3li9rtasSb4GKy0hMdNqUd/mk36bD4KfURnhCwkiWo8sP0VSfH81bnCnvu+yDlc2ov1CcCTgK
OCgq3mbF+KnSpRdrOKgvFVqOQAKp2pODhs45TRV0ONPVrMSzbU53fXWqYYB6du6D4KUZPV44p2EO
TKIuxti+zSb7hFrD3RjzJ7FMaPtFwxgxgyTP9zNjl52bOfN1nRmIG9nNQEa4AGeuXpxwJP2BIV9h
FTQwILxhNgqGXAROcg21xI4xdhRdfUz7bJeYfxpVhPk73SQxnL0RbkfpkKMWoB7hl7iPE2QE0FVv
kQesrG7GYQOsrqmjXtsnf7XQnP/+h2MsnWWDigOgHfUMHsMUiHrwc6PZqQRqpvNx80sBl1AQgQ+9
s1zEr52ev5I7fra6ro7PPMoXm7fWEAqr8KI4OsUdJngx7MuUXFk9w3hGbQpSp76C8XwJ74G7aIz8
GAEfce7qGUOLC4/HtV/ljkcq4pGuR9cxSo5F7ZVRkPaIIClsLK0zQTv1Mp65tr5v9Z+EINr5rEZz
JyOG+rSNPTLDvDQOUQkbAoRoyHDvenNGX+1NPFxX+jbjvQvjWY/fF+Nr4sivTcA/ewSrkGgBiy4b
hjgLLWDgTX2M8ovcvNfkT+wwLsOpU0w9qB5A8scTTLSvW8hdJGJWgsoVgaRwCon20DPuaqfC5qd8
aVowWpyvitrZ3SRZ/MrmK3+eIhNrETFS3sliswyN6bMVJtiEudH5JB4Punno7Fsir5ol87iqvMy8
aUx6iYJ7mOnuEo3/+2LkXqPQgFpdK/M0JMcRg8w85vB+qCs85qTx8szre/gm5w9Wh+H2BNmCV+fR
oQXD5/+Tdx7ZcWPdlh4RcsFdmC5MGAaDNmg7WKIMvPdovWnU9Gok9UHpxPhT4spXnXqrWqmUyAAC
5t5z9tkmxblrSgy3JT06TAvPCLB+4hVvhwiWn+yUdQh1wW9FDNUocdYVoy5PeejHNmQqrXVk7XOW
f1tbAFiDLvQev51S4rJNh5gw8htyx2pkPGUYgnafpPFVCTEcVS8rIVxYgredNntqKjtqc5t2+yza
q8m1rsKPWFLgM55CacJ6O74sn6aq25SqtbFspp1J7dYjU46k3RR8PEbgONtnfpgbrt29FJ3s5OZJ
Z/fWpzeTRbfH+/HXdcv30Lp/eKzOedkSeYda2mK4QOpmomxL4qW3mWrczF25DdOV87AX3X2fPIZj
6dTTSx3dinxww5FW2uj9hXxgjCBOeh9uoCUmDDTT2G2S703WxWjO90iMvKmGwtc0Ry1I/T5dp9w9
k+ZgSxzJtZ0ylkacwdLn5IaKDXIAV2/wYFR4pFS6LWjn2KVukYZ+PSw7nUSmxBDErOcXqW3uUrX2
kpx9VRT+Upd+EoeYLYUeczBHpRz59XX6bp36T9fpvG4OyG21GO7vRfYSYASb1saRzfsgD4ujh92O
efkViZS3hIh/qaT41MvbyJSPKjeOsPUrran3g1HfKs1e5zFPZul6IUvKadKHNtKf1LzdG2FHArNK
XnPpGnbqimJtooeQnuTFaJvLMZwOllTuNBXKY/aptwvXZi9dwpSABWlrJbIf8TTCiLuWsvq6Go19
WDHHqhu3xp9ZmV/1ErRvaZxhKn34CsfK7BmyVTuYfds8l3yZ/9ayAQ3D2MpR7yWP9Ui2/doxl/dB
UjlDQ9Y16Xu4Qi1yuk2F5U1wJgMm9r++zN9F2/90mc+6hDKEPWwz3r6Ia8Oz7IY6vb3tATCtYDjM
3fUk8deZta1C4dWt/ZAHmkPN5WRKd1PP9vZjWPF7+NE/ncpZE7HMQwAdRpH2VmK3LF7aQZ6v27lU
gDNhGKRL/6Zl2WVmjifK77223OM/k1oHUSqsv7BK6u6W8AFZdRdVl915fpqzh6VLCBEDVhjzt7xf
9sD6F6rtuEFGDWp1d0tZJhdaDU3A3o1i/6Ez9c+a+XO7YbPSBVRXzNdrKFjBHD1rIFqV4XWKq5N/
nRiHogsfYT0cyulgaJK3dH39wcvz04Of9SfpUisoHAbGNADCswLzuLAOZWV/yvX+ENWqU8zDQYNB
td5GO8kODbdVYnT6wVP1zwi/dW4tmhWw3dQmNPdJbl43VXDQauHBpLgJEjD+ErRyxa5GcbOUyeOv
j/kTBOM7lPVDpdSkElzOCUtthba2YFhkWTdrX78iJxmlCVH1DmS6Xx/spxf4rDiQY7mz1qE/npv1
g8HajPnrphJf1Mg+COuUx5VXCtPTo+ZGEvPBjJaDoA/69dF/0tmfu5QOdaFAL1PF3hiB5HJju/RX
syE8HNLYDYKtWn+Ivev/3GWfu5aqwzJHS0efWM/Xyqh5iZU/yHzH9coSuL5tvrW15U5KwlbZal4R
G+wDlKaJ9tGj9BMo8tzdtEBM0WnaYu3hAm/JnSexXHOVFKyc61lzjbtO2aqZ5Y6UHimn9etr/LOp
w7n3aZYNSjPqs7UnwI7C/nl9d+vgsVVNCpzloHDpjULypiq9qcsPr/fPbu3ZGmjHCmxXJrjw+nvI
+fEOkv1KN3IS8DdJrE4B8LwoOW0v6cOLwtJvp/B5DLpXpGQ3IXi01sDuDD4abv3krfoPG9Vai3vR
01tXmfopGEK/1cUhlsU2DWaKfvkAgfCgBOKjfucnC8e5t2qt5UyRB8KGoHe8WYwesRa6qOGvs15Z
WuSrsfDK8immGf5v3mf1fYfVijAUksUTLnhzUEZ4qqg8yCJBaHk4D92MM2Bx9VybW1kK/3trlXHW
XeVQXfDBtCUq9uEQLuKQMC3reYPXZdEqzIPMsFJh1/3gO/7sqp6tVr1Qs6xJdWkfAv2tC0bJezot
Grv3fFAb2Ql0UghbxRMi+P2Y/4r0cfpYp/U/iVWG5BtiOW/Iz1kef1Db76M4LbtPBdT2v/74n8z2
vz7vb267rULggAek07ytHh5/ctthvVuC998kpdXSV0rZn9x27TdAdOjmEKi+09T4pb+57dQ8UKws
HZ4Yv23+G+bHOeZJMQhBHtGYDUNJoyc7t+czoIOVYREvD1KtPOmzSkRvcZs0Cn1clnuJ0A5kIWz4
nIOaBqbfZuVXGJr3gVU+9po4KiuDNWnB+qRjvER3wTJswq5yx2Lciix+TMvFcOtqSjZGkOzgz0/Q
vFfedhkC+s33c5Pe2mPxyEx7b9bzq1WKQ2EFpxm6Lf2MhFHLonm6DX3cLsuvQxoy3EmqzBGdfdIS
5T6Xaj82pN0QQiov60aBzm18Yz2/hiR2Oanmnuz4U2lKJ/QH10HOiMCKd3Wf7XpLwgchf8lpghEF
091rZeBEGJW4eVp+bVSpdCoclmHXMSnSC+TeIib1VGY2Ow5Z5w7l/FoWgEjRlL5IFLNOk+Qk88zx
G1jIvW7yw40iBlewl44D/WeolY+E10d8rnW97rCtUCInVbs7qQUgVdrNmJuPrTKFbmRjewdEt9H1
YGdXfFTbYC8z6uN9mIKPS4t6Yc/BN3VkEqxwVaQB7ybb5tpOgIhggpjOwWKlQxacc0PhnKYtjXIn
DVvMJW5Vs4M9V+cU2/UjvwvSbZm72TD52BIesQVRVXT8taWbV3Dncz+I6ZespK7d3Kq/JghOHVti
yDxEeeaYeqRAbMVOM2u4E0tbPybh8oQey59l6RpQ8ICnL8YNS30njfJnUULmtSa9dhRVEU7RNndK
b5xku7+SmDaM81cw3Zs4jF8KJVXcti2+hnWNFMHawEqfncDKvy55g8DI0su1peqY+yRov3CzdKs2
sXdTMj/ZiXY5J9Or6EPkjuZVRlSLIzTpWx+126xc7jHoBoSdW8KdWyn2xWzvdKkInKrOqHsCNBdJ
fVcr0k4Z5Cfi2R9TgjuEWT5mcncbLP1xVos7pbRgE5b5Y7DM96qdhZ4kLfcx5D8nLJE4xl3moiAO
SG9tbGwZAVsHVTwPFgmoahDsZGBNEemXtgoAiRCv8gg+/5oq3OFGPUhRejvYgQ+Y7ppatIOPcYEX
3dfBSneppZBmkx+VeL0FgXU76UPhWEPjw/rzsQlEWAduPpj11qiVy6gbEdb1wbVGT+byjr1ISbfl
9JxJzN9Upd0OqrSTUYjIlerCh38JKvl1ROKCLcllP2a3CE8ydxwz+ovePtWj/tmuFOBzMnu6/Pup
jRTMhSx9SyP9wszMfSVxcfRRucRV+G2WxUnRlMM85KG3jPpFJqc7W6vu2nS6l2tpJ5J8N1s8FZIe
vUVSdUfy32s5Wt8G+vKx1i4wuTsk8/KakMeWivl1LPKvU6UeRkHX98Mif/N7j/qOQLYWC3+3rn+s
jUIQx6yyQ5jKGWgB9y4WIUFhD8XKTA/q6jlRUMpYReLlVfh5nIBeTGOzBMVl2LXPST54wPSbD87i
/VD197MQCCls5E4A2efdVw4bqa6bhvhRK698LQwkp0rFrh4kxiXZpZ2V90mVv+ZY/FVzcFE2qD7C
+FtHusT3M/lXm/9Pd/Z34raf/tR6rL/E3f9vCLVN2YJFyQb78/3/+Cn7NH9Cz9bE2f/+r//Vpuv/
bZv505dP1AK7T29l/ulPkVv7Iwf0r8/+uxZgUxdQdbmbaDepFP+sBcRvUMsRVDH8RoC2+hn8XQsY
QhawiIWO9EwYPKV/1wIw1flE01JtAXVL/ze1wPumwETlZlCGUA0ZCLxhcZ+VlbNNMqhayM2DEcAp
quVDrhte1RpeKfcev7xJ82qblPMH6kzlrOv+/cD47hi8Z8jU4Y6/r9lRm6t112ndQxXNfmNG4MT6
Q2ynvpSxB8lK7ksj6i581o5QDQcUXqixynZsGDcIl9pgOxap1+rthT4ZGzXKX5Nl9iOQuUId7pJG
9rOk90K52o91dTOWb+ijt3NeuEYobvMsPZXVW8SA1qjzS71c/DY3Tsk8HG2DJcVm/pZOJWIWwJ5l
2pIc/mJ2OZps3T7JHVkrWi03jKuTt0ivtnKbXdkLc1Y9/qSFgjSMxjqFOWB0U70ADz3oOjBO3XlZ
HH+J2GjSKLw1muluwFHXKeiVUCxbV2NmnnA3u1s/Et3lfkAw5rTSuE8b63q0B+w21SDa6PB1JbrD
qeNipe1mbTqmXrpIaKw71dB9gPPLQg4+z9XQ7Iux2BVS8iWK+mSD6EdHTV894xbmV9ryOs3UA20k
RUyNpY26DL5qwIyDVzHpiBVNrZFcXFCv+hoIs2hSKFPI8xjZOyvWaGbtRUVPTRb0pWKhjWS4o8ez
nxn9By38ufvA+pyqsgmRWlB5GGgz3z8udVvn/aRIzQMyQo9IhkMk2o1dz/CMxO0cIGvWjPFaTeLT
YISHyM58vSncNDOvYjZehDn3xAdt6nliP47b5zCbHrOO61VWW4KzdoxRvGQJ/EgZPBHrO2Rst4j3
tnFA8jEdrZOX8PWM+qYMJrwVqf4ibntiXEILecbyjm4zgCkxHeqicKURCdB6dxaeYrBJDxEerDyl
v5PF+oBbmh+HVow4bHCzjD48gnMZZa8mqH2aicu6ZcMepPx1HBCy9YIiDa1VP1cvmcDyZEivTFXs
ei28tY38JlfNyySbrkNtuq7q+t7GWSnLpEOd6g9RDPRtqw9DE24U6pE5yG9MXpMp0q9StdmY+nQc
ws8QxT0jz29Qrnt0Am5mp/gc8IQo3UbDENMq+gse0MtoCT7wB1e++/b9uN2uN1bRbBY/MHj0OWc3
dkibJie8vX1oZPtUGfYJewIftHoz981zI6OvHBUUbZPwqy45diNzuKa8C4ZtqRduIKbrZK63BCZf
xpbty2W4qZLSUSv1WInMGYvqxgikkz73XpyZlxV+qr1meBirpo6kTIemrvdiElsdNWk+FfuZwr0z
R7+tuqeAlbANcjfS9G3B+5aY8yFOB7cyym1A9gJsak9rkrcgyi7HwWDAECWAtOMjPt9e1WucEUyM
OPeNtvfSrttQYm+1kMWKSn+W1c3QD1Tm+UoI59JXN8xFd7Poj5U9uFNl8A6nvskqhHgenlp7DLXh
OtcYMTBJIz+Brn+hWWg3iTJiV6Buiypa3E7J3ZroBl4JUBb7KqofdYN0z7HalekXnLkQ29I3TKYj
W58bla+gogxtmou+rXaMgW+SVTJLO0U0Dit/IN38sIn+Q311RpH9vvBT2yPUZruhvDqPX6d2yg0R
V+0D1/rYdywpIXZMs3BbvdjVYJT2SERREN4iaoTmYvtSUm07HDylicvIwwH94AWxqG/rceVEWbmr
0EBTZG8aXd8Fhu62Y3pl5b2H28FTa8G91bSHOog/r2+JyntL07hpjMENZntvlNZVY39kvEUh8a6G
XB9qjQ4f7Qc6DWxd3q9WeqbWppEu3UOUmDifcEzcDr25GVNmlMkHa6OyAornr5CmC4EsXjCROPd/
H6RGk6qRrVQvuwtUrRvTMT2NftzE/7kWD4E5UnuLywZxx1SEjtyjR1WGIKJ5KH4vF3+u8fiHwnX9
wpaCvkUG3lgLjh8wfE0w99XGYXwYaYQIgd1LNuD9uqnWhQE5yEBuTpWR6dvG1HdDVe3GTiBRFZuc
90lOe88ojauk0666jB0V7XfUm5cl0tQJc42kCA81KypWoBh+90fMpm6QpN3EonnSl/CAFBX2hvqQ
S8Od0fE1i7l/yvvkSpOmxybTLpva2BAu+CXP6+3APMya+6OcCU9L468tu7ZqTNdtwkEogXKruEcz
PTh1ODfObNatawXzo8LPOHVQvYS5dqvzA46Usc6r0qmVjUvisA5Vlv87a8i1HzBU3dLwRJBXdOjc
sLlSAuwGIi6rIWk7QO2tlv3hj/3/e6WPoxKX7YdFarV9emfLdIrzspEu8Vr6+q6O//M3/6jjVfM3
TQebMy1UfpaxtmR/1PGq/puMns/4LuVCi/d3HS9ZaLZY5myhqqYsZHNNcvyjkJcwaOJnNRkZgfK7
9PTfVPIowd6tA8Z3vaHGJ7KfapzkOSStqzovtlZVhx4w6MkqdMzXYgTQ37KsJw50tUfwZFkvcCVS
Z3sz44ruTRLOC0kFgBRXBpY5iZX6Af4J+6VsoieZ7B42jL61N0Vpyc/TGERfiKxpTzaS0m+DNKfQ
x4wo8ZWqyAqnirKBLSiPopsuaYKL2KCLBYdSV3v+YjliyMM55XYb3ZSmCS+hMI3PRhLkV73Uq26u
66lPW55t1L5xxy7qnUzXm1uhZZMrT1iwjD1SfNFH0qmwtRK3Gc4iwIWJn8Zhm6hMrcwRrhghf8Ms
Omh8CDXL9TgvxpeYnv/r93NBG5kGMO5EZPnQXis3i+Tldhb8aZqG+LY0a+lEXqtM3HGW8qlWr+l+
EPZQHZs8LOHhxcvR7MzycjHNaeAbDtEXuV/d7krs79wcLv2zVmFlIbPBMNCT5NKRKGKXFQo74hnU
Sq6epPMmmWpXWkw1dAq4t3dL2hiXYdvlpy5Xq5dYlMGLMilT6Vq9NE/uYiyFuFGDajla+hhc2InC
qFwP9cTJCVH2UbshYQ+5idYc23gGltNFEvfw77AQrJ8UtQzg96vBqZvMHIEcQ9AdrkgAjcpAfxDI
dXonhhEjKTwL9MdgyKObMVUzJDqN1lcAflP7VOWWeE0q2dy1FXc6mob2RPyp9DQEKUTvpbX36RAW
foCAei/bOfYd7aS6Kkhf1RnLq2DY+iWeE6GCRmntNWnvG1nV7RcZFdIVVj0LxZ8+XpsFxhqiXyQ4
tVZ+o8tl9MVK1/EwyuEXXVbSm4mYoJexT7XeMWZMQ0JaEqS38nwIg+8MwWGDpCG6muLEwvVrKJ+n
sJOf6yiaH2KoQjfyEEVIEPgRPdXTx2EBoOwDWfItc0XNgFD9clQk6qxchQVlWVs9m5t9nSyDO0tG
6ttTMzywNV3HSdV6MzWcH5eT9ikaLLQxUYDZEeTxZde2vA+FbeCcUKdy5ypBXr0YNviyjEjlKCol
vMmxn35d4AFvx2YG1ex4N6HjQIZemvRIwZ8eNSxAbjOFQnyOyelTli7e6hF8qE5oFO1GLw5hjDFC
m6PxyQgHdeQE/7Ax4/OG0SzujaCsNrPaw/HusdONVCH5eZzJNHHNs726IsSLPR81dc6/ZXYxXRkY
+h8Dip0vgRHjlpJOg9tiIraL0zg9ZnNKRTFr+mM2x2bsLJKRbcasCxM3zJqBAi3ERtXLsVGFNdzC
91F4TZVgQNCBV5XuqGY4WQgFOvMG1I1YE2SU+he7VnmE1YpHB3qLV0yKDFey7N06n4/G0sl+MI4h
rilYpBSQhu/wHvSTttjkJsgqZhEJsoMQ048s39oT1Lgs84aKj3XM4mAZX0zlOg23IurceMCv3IBb
Hh+S5ZMEOq7QStZOvfplIeU8tfB5y+BBxK6hUVantGe7gvIZKxvXDujTbormUzE91FrhTznpPtfJ
9DZjq5WM8KoOQ7WQDKF4w3g7qAc7vuqoAVmWKoRTl0US+9DbPoFgNGHK2KPZQCrcdfF1X0ER34Tz
gFVuP1yVVYnc0Y+D1Y1rn+abKPMK9WCa7V34Vpk7vOS68k4bvaIc3ZSeldmFfJMWwqnQfuSbwP5s
qbuExbnPLAdCoI5EJeabhb1TKp+COt405sz8wdwAPlvRU9BA1HlVtGkbYKlSDftQoXMOUOAYpeIR
fL7t9f7LlLSnDtoJ2x+WQ5OTjOJiqLVDmhmfjEKB1n4Xi28TBrExBbyqxK1b31nphR6V/Wtj2joS
DqlT4eKqkteNo7yrCI2A5x1UPl6fbiYGr7K1C81SLqUhj121bNxCxwlVS6VTJMN8DjUdFzrAc7tw
CgShNjgEmAcpCM1Ji4Xf1satUGvJVbr2s2pKIEr6FanwT2PXHbPGeMyxNeCnp2dbDJd9tngtW56a
jLVnxfrRzKrJMTSKvFjVvi3j+CwX6mdtTbYQd4VhvaTCLl1JO1WwGHGze6zjTzI/3dZHVhCXtrD2
ir6/ngOM2orjehXNEXdBfBTRm+7UsT7UC9YIXUtTlndOhweKUgwXaXY9SAk2NiksrnzXLopbg0AL
iTWYXSsaTcYwewUS97TL6q9VI2Fk8oY932bCYzSUxEU1Ijm2FyebFHb0C6EQ7rNb+i2WeVex8lbF
sZd1wWci1S+rAs5YV36JxOzPmeEv41vMOGeKj6Za7Kb8fgk3S3HQ9belV3xD3OGsVM7YG1gvs4i3
ClrOHi0d6iYbUGxq5kuxjAW6PpVvZqq4Eyx5LHiLAD1EjUjBymOueaLhzqnXV7Wd3zZ9x3RnvuqY
QsVqckwW+001Clh4L7kc1yjXpN2oZL2LyEv1w8K8z3okE+gM84u+uElLL24Ld7beNPOEuFAFtbS0
y3LcDMnnpqku4/x60E5FcrQiPy+e8/YoB6E/kzXV5uF13V9YwSVP4c429/lbgkC8saB6bbviW2Qq
TilVXjNeGM1dvzJp7U2mJXu6IIZ71hfRiQ06Hcck2yN5zMVzKDvQ0AoLbqadH8zgPtYuOzzdK22j
mN7qxaM2jOpdSZTyq53I80tuBNc9Gj1RXFYBM63OF8tT3Dhq6XVK7UbzTYPpl+WbBiLoKdyS4ODr
QD4ym9VKsaXXTWOnUJ6lwJ++SsG3vtwvwbe6ezKqvSq/1f2hr0+x/oiDE3TQaGjcKILhC96E3VHH
6OZZe5iVGwx0nL4l8ChmxTxZlTflF3K7Y1SHqiqX7+bs1Mnjayp5FbdN3+tsbka3HZevdnqQdC8v
vaX1M/E1SC5w2ERGo+zU5G7ij+xP8McPqlRfJhoSTAhscfSipgTBMtvIOe/EH4TH7qZDCxdy72rA
MAjWVftFG5GP+RSbe6O96rAzZKlawE+WCwNJ4ohxmQj8Th2dKrsq8+PCkgtaJfffxv5x4A2S2m1e
XjTDS17vlGxHlATlTMjYBhkyqgSMFlwpw+Un94pm9Ukzt5J0lTaowJMeceGFbHyNpsKTIZBYnGyJ
WWIUnkRzk4aWi66Zwffs6lro5ElxlY6dnzWX8TjhWArsVKOLqUbfHE5LWThy5StZdLsw2zJRqvR+
3O/yqmavOqxOZcm+V5JNscI2Gx6zAjVAm15n1GMjguxxLJ5kED7m2V3MCJayMArdUsBLJ1S36N2K
CzPzhKYLiPB1RjhTIN0a6Wux3NKu+228wVXK0cdvWfVQ6zt1MRBU7mTjqEaf6uSV2DW/Nz5ABBRt
RTv+xie+9yX0YLYiG5aJdew54sO0uwo1pcwOUxnwxCbNmHn41qqZF9s1zxa2IXMFtt0V140+5wjS
TXl4RUBqu0KejEujoGQZsMbdlYUyPFeqbW3NueufRRKPeGp1A5tUpj5hSnBVjTIeTJKh3vPJYcxq
L1nMoZXyuuvjZtcVrX4RjfLoaT3XH7txZM5Dwj21s+FQYdbkwQh8tbr7plQvqpx3cFmLtQh+9tht
OtvAiyb/ErfTvRUHrMUs2XNRe1GyzSa/0dqHkmtfmoXp9aQeXUAJWJVjshsOwS6gMHGmFhPyfMZP
NXSluoY3/s1sl26bG0WIU1m/jFdRJZUbedmbNjXM+pYfpbw/GvCP59dZflCrL2qqTUzuj11+F875
YW701slU7mQK+Cmq3mc9FDbvTnTKAmr/6jrLiiNsTl8rBla8bdiObt8BathFsrfZQwybycJQPHTc
CROHMb+bWRLBwNsvS3yl6dLNrH/KCbrkVbvNYmraXV/spWh+UsZx0+bpdn2Y+sHYDmmxq2QepLo7
LJZ5r0BgyBbNGSJ2wORU1qkzLMFrVFYHDe1V/c1YHhWkMGb5EFgb2aQAxQn53011ifaF8EH7rWHD
Ah3nP+ZciyyarBH1cEjM8ckeFiz3qwxErH+l3lyOqYIf0FJMsT+2YUXtBCJOrSFvwkpPf8fr/hXO
8n9Dp/pxmvo/yRx7pV/+fNzqf+4/fSmbHwGY9Rd+x14kU/yGzRGzSqGDbAC1/AW+AB/+JmN+BLry
twX2n146OGozW/jupo2lpg1g8if2In4DdmFaB0DLqiT+DfDyPeXt7/VNwJAxAXaErWurWZh5nrYt
gTNHqbpgXpmWm95MT1o3uk3+rRD6LpvsPZLFHqvU4pEJhGUOvmI0TgeujxHFdqrVbaQ2vjzN+x8u
3z8A7e8x6PWscFDVNIUBMfMb9XzAmpVTYNW2ZPu9bFXsFWnhjm1n+21E1kRsIHX79fG+y67fXQY8
izR8WdcrYajqeThgsOjJwPTb8OMFWo1TG4XIr+j3jYB3P6WLoFRvGmYyktm6htwzJENuJN23SrLI
DBZbSCxTWGdX/TKz7uZhgM+l3AvGwaPcSrdKTWuAsQKgTpGCU9GmyUqFvkZXn6sJjTlOhNHyRFSH
eJV6kzIpsOe58gbLGpP7orUXBYKUQMuRlHFNzs7qcg63rW9xy4E4H22NUYacU6GgsNATrHcTB/J0
QCkGWStocY50yzlbNtWkDGIbL1a4lQxwDOR8Pe6TmYqHZpSHsuGUlYYUs0TDuY1rUSNN6ovkKRS5
BrICaYqZaVIkFOfD2L/UuoEhStLW0aZCmhjSkanAGFFlGpS1qd6Q+ysmlnMW6a5zbbyzOydSchax
BD1st9Ej3WAmHszLZxTMEwytoK3tizSsROXG1DO2k2htmXpFOCLH0Cy4PYYKLcfRtaSKaNqz0nAG
i92MkTWhIVhBSiJye0kSpMCAjz/0C+EL7oQp7uMk1YXujtmodOiOMbtWSI75SDP0npfA02vBzMMA
y2K7lY3vYOuPYwSpT+JsArvzdRCiPVao9pVBYHFFKa7oEtKPqdp3UmLnEMBwz3PlgQyAj57od3XL
eg4KDE7cQdYVAr7FGTeiVcPKyjAL88sGlqJLOjWCyWWw1ORiMYuUJ0Uieo+GR64nZzItxKS/fqXO
SBICFqjOJIX7I0h8BWE+O4OlnaWmX1LZH+NRO2FB2zKea0dvBtG77Ad2YHhnGLMoMZqmAC91aZyQ
8QbQHJYsWqXU3b/L/eaUICQBwcJMUgHDVbEuOz/Md0zJqOJZThQvUoLsaOtNf41nUPPw62/+vmT8
4yhr4gAcVYYd+vrvPxwlhFOYJH2seKo2FYc5LjI/A4v+qDRdr98PSxZfBuidx4zkT0PDCe1s+Fwn
qLfKgC9Tlal1g2+euMOHWf+q6KHXL5Z+BSD2zNKse5Uetm5Xp9EHq/R7kcD6Rd+fwdkXxfBQXrCC
VbxxUr6Z+Nd6ZdsNbgLZszRq0x1DSPqAWcUHBJyz9+s/jsvI4scLHMwJ6TJxDi4V9ePFglftRVLr
r3VU96HTVTUZw0k4f5kLI45cXILnD8bAZ7vT9+OrvOSQn/Bx4UV/f3wJSkoV6jij8FCHm0DPsUOI
BCYpU5tdmLNmvP36gTrTgPx+obU1XoPxCI/UeQJVXEp5QImKNsBuVg5GRCcO3/EhytCsqibpliJL
7duhkoYrFO/T19nAiVNk4fTvAsC/n8nKDYejAQmbr3/2BpX46tazLkDRkjlweMfUO72e09tff+H3
w6A/jsL3ZVbIrB1g4P0FHq1S0cpqULxEx/26w/p+X2BrfRKANA6CPJTwYZQF/yqeej2qTkGlmqoJ
tV2m9Hp/1F6y5zSreJxFRXeBpzQkmCEe3F9/t/XhfP/a6jKTbt5cmATUhWfcsbIMxcztlD2dtPbN
lBNXBlW5ucyVJHv59aH+8zmFvA/7aN2IZJUd/v0XWqyIGsuyZQ8t+XgssGF/lKaid1LCiv2yCpMP
osb+6auZxBWozBhlSz3P+ZamSRTFYMleSUDdVhDuSFU54psx5dEHh1LOvhvLMoveGh9DfASF9XlE
QmQaTSWnIY7SdTssfkg6Ny6zlSjfCOCoBxczmxS3E/wKBm9M9BHfBjK0vDmsq/kyNyu5w4u6nm7G
sAtoOatO1o9TbJLOEY4Se/Kv78TZleFsqayB2JmCm6ptanQAP65YfdjpJnHZqh9nwQS9YS4h1STY
nWgMIH59qHM73t+PZZna6sG5xu6cPWDK0i99kc4qaEgPFXphLuGMgWgfmqK3G6zCC0vFrSLKtC0O
MlqI2N3SLxQzGef/w9x5LceNZOv6VeYFMAfeROzYF7BlyKKXu0FQhvDe4+nPB3XP3mKJwwrNuTnd
0WpKpCqRicyVmWv9hpyrCjSw67NNmZVaynORsrn4ahYitob5jfrYdbmIn1fVAdhbDS0kWS0tubR/
vxNvjBfHJmSLDQAQ213g9XihaT5LWpkoSJgo5pWcK+ZhlVt4jGM23L/f1Fms2YaLaMbZfpM0NcHp
vW6qbOKOuiXbs9rHUrBK6nqnrVgGg/9oO4jlYvgIUHu4EOHk7Y3/EgZ+NquAemHjBkTLQex1s9Vg
ikzFQiGhm3T3UBRCEH9tK/hSG4Lo7FtEhx2DkiWU4FlC66uQSaamYdzPdqZ0pb7r1xbnXiVcdUrV
6VoFw5AkgdYWBQ44nZWUB2mSc+04R7lRBuACMIox+xHltExKzT/DeAAOZhj1TSdWJH6iBn02w0uz
n7pJ5JZCoqa/tobaco15jf9KP/xbhM4Wgs9HDdQtLwq8AgHt7EwZ1tCo6xkKQd6X+ZU+Dvr3Sk91
5Bx6Mz4oSMH5mTatV+UA1nVgY7qwRbzRPs5tGqAHVVMACm3z9pejXcGm21WpRvSMShIwyrGWSckZ
5JP15EdBVQmujvFBVepv70/S36Mdd1MEDBSw2AZEq7P10JSCnJSTqFF6U0YvW1tEjup8cvQRdZxe
uChP9ns/TYIVeFtcOkFDnSvBFWqjW5FQyQCJh/bKqpT8QS3icp9xjS7QgI8VzxJkIVCtBWGcRNUv
Cb+cH3mYT1z9WRsqtwcTAvdZj8MkURPZaOhxPIUPiOOZgCKmpUenzeoXdAglYyQLoUsTyOpMR7ZK
rJIB1IBCIrBJdG1y3n8FZ6f67YG4PTDlyAIwOBv/7tdX38acwgGrgVA2wXCbTfkCKTi/0MjPbv3v
BAfWj7UEmRgSfZKI0M85otTQBIpptSV6ZEOROZQjXftWd7GEEmZYGiquTOtwm5QSuNq8B2QPPEM1
5WASy/hFn+v8M3KNqExg+rDW1OTwRLPRSu0AFYMc9pU0KWVSOBU4S0Rb8o9dlq3FDhEDxI/aFFob
zgv98uP9kfvpa3/WKZ1MlWmQ5ibWbeZwvw4doN6qLhNV9sa88LtI5hyb6pMtDYX+bZ3XWUSmKRe+
JMtsgEcbmyHoq3S2AAgks9etEHvUpNTuVFPInt5/tNf7DMO9aeZb5Fq2h0NQ+iyeWALveslawzWN
pHHHHj9QWyaDc2dGkvbhD9va9PEhLCCuTs5NPU8xDcPUdAj8G67Bxuy2ZlS4Q782zmygm/anTXFX
0EWZOzgwTj70bMBjtUfaC9Ur0knKVTZPhkfiZgw06E0X7kJn13yGcLuXkMDUebXaZgPwuq1ciUxx
hR3oAnc+rTwV8Qhs8FBIxjdLId9lKqSQqnEdfHGw5EOspxlSGZloK0Na+00WqReuh7+91O30zp7O
xrpdms4lFuUeYT6pM+j95ljSSbAEGh1xFBNcyh8P9OumzoKCobaiXGK55iZx1XoLSQ3HwEhnn/Vr
dCE0vD6nbONMfhIEn8hN31TFjXv76yKSIc1Z4YCQ8lqijD2K7fKhMiLhfp0X827sIsnN8lK5sN/9
vnS3VtlwmbkitYfzDQ/TtiW2xtTg4DwZDxmeg7Y1q5Rd1k7eRXloUrar8EaKFyo8SRdfEdKrWwRP
2u/oFyBrNIJMuF/zRv7zl8ytBtOJLUu80YxeDwdwqDQrs95wJ3O2/LrpqRq2w+S3SSh6f7qagGig
Zg+CS4PsdH7dn6qoUqdCN5DSqcSdEnWUHC05O4mVkV+IR683mZ8vmaa2dP+2zZA7OuuVVDcVK5um
OqSYtRziLbLwl8LD67zN362QO9rOuzLtnLWiC1pbqwrCqvGM/Ywvp5L2Wemi8jgXqbbao2wNNzrC
UEdzDLsL0/hsY/+r8Y2rpeC3oYswYl53sYuyVY2jwXBXXRkOJNIHP8oa9UYvQiitRWwBcde0D2Q1
cgBRTb7n4J88R8YGxnz/vb4+5Pz9JDCYKJEbpLLOSx9iGYU1+CowRtmSXyMrnH3r9GY+FbPZ7ZRS
XDDokOsnYxKHx7obyguW9m8saFPeHNqI+T93/NcDAQpTTHvshFwcqeZjIYjKh1kdQj8d+kcO/oOv
ZUP86T/osgbIGwMFvD7Od2IoYYsAVADNtCrH3dCSSdlx993XsSmg9Zstx1WVig9Tt8xBWujz4/vN
vxGZqaCrW0FTIgd7ruYyUKlMrRnJttCUGj82leEWr6Twupfl4fv7TUnbHvfq0AF+/9e2zkKzWFdT
a+argf0oCFJu4NqhSjslwCW5OS46CpNGZigk49fxTjOm8CRGkOJLpdKvh2yJ/4MYQlqEtU1pAET8
2UFjUZdoSCbmmrhgW9U3xFExql44DM3/jy2dB0asuMpMoKUyxxgsJBPulXi2Ua0R//ZA/re3sbfX
8i+9Ojtn5CJYyDzvDFeqIbCtOrp6Mw45N9gL4hnWpJ7ZVpaTN8g5Oh1qztct9fY81y9dC9+cV9uF
YSMYgCHfvv/LtWwgTwkgmT4r49Ki+xeujjz1ij+jQuW+P6/eagqEOsEZlAeJ0LNpFYfdIuUd4UuJ
ZzXIW/BTcoMrcE52Z/d+U68vfX/FJ+YLDk14gZqULV73ysprU9BnDqdTSXVRjfXyiyW2wxEkf+Gv
idFf4LNtkfd8xbD3EBCR6dCN8y01WpDwSYaKt9lIhjNQlHIqGXnb93v1VtRVKOrqpJIoDZ0nPoxC
LeRGopV1lTqkdVbhpMSk6gQRQ7gW0T8UEBPlulCV8qRsaKf3m38r6v7a/NmUnZXOMNpxC/oaafu8
i00/z/QiiCdNxO4VOg95ojR4v9E3R1YjCUvSgJTreT5bGyOxQqJve5O4Oudqme+BHmcXWnlzamoq
d0iMlWQSvq/ni5DkRa1u6J00FwEAllADRSCyhoGs4Pv9eTO4sqbID5AsJ7d51lTWcj7JuOe4mZUz
Q4SGNIie9MA54UCVITTaGXaTv6q7HqPcT41mrM/U0sXFq0nnXphRb64TwFlbp+n1+eqv1dbo247R
TUfumJhZNtdqoVjXHVg9d5j6Yf9+7998m7+0d3bjEeOlnKn10/kYz+imjwCC096FMX6rlY1eT85Y
58x/rt8XFriMKiKxtcuF4l5qUdoU0JD7D/ryaytnkbMvp0JKVnDWkr7G2CJUht/Va+K9P2JvrXkO
6nDrSJ5xDd76+kt87maSl6XAmk/ypj0sRpSgVdyk0+dxoXpmV0rSkLzjzmwbbYMyci6Pw4VHeGNx
UGtBwUbnzRG6z65POboqEEJK9CunCEBpPKx+2KCTXVJE//B+b98IMShfYNW3KaVRrDvb63UxbCGk
Q52Z5aj8POYt4tCkjLquqr+0bGF+DpTQf7/NN2YLbaLQIGpc07jzn4/wIgj5QptRgp9EnKbSAYWG
S7WrN1vB+AuFGo7Lv+1IxqivK0Z0pjt0ZemacvWiNCgbvN+VN4cPxAD/gJ9gj33dlbxTkNWWeFMJ
9hgh+wKEIFyTjc+rMcg3pJezuymVLun7vdk1Mm8mgwdP8adc7i9TlJO4gswNrTbkJq5Jt6pHqO1f
3+/aW3HT0jQ81cjNyNysz0JHJ6/wmQSJ0DHNyKlCYvnYz0nlm3GxXtVC3z+mq7IGDaIWjgBRKMhq
edl3cg7UGMDlpZTUm0Ot6RbgM3GLMWdDPUo5au1QwTAtKMFrTkk5+8okA+ysl57QjcXrgkntpRLV
G+GAUfjfZuXXbzhOYkPg0GS42jJ1nlyP4Y9VqA0v6y3YNlGTLpt4g2VPprY4/Qzw/sJr2Pp1dtJh
t9ggIFt9lJX6+gFAwEY9ImLoJSkTR9UKr8nYmRTK6chA6ZibwLOSHiu5VJ+FnOKp3RdrUXn1qkUi
mS2DGsyFJ3pzSEhokNmROBmd72G93sfKLHHx59gKXGTQ8ZyR+1w4cUk2T0kuSJ/mQQ3SDiGEVMY2
stEGPFgGfXlElEiF/ht+NowcglyaqPvGilJfTMz0JtGTKbFjxHQvZIbeWi8U5qhGELE2YMLrIYRv
KJiFqpkuGBcFXRIj3oth+Gc2kT+PwCDZSDCCBeCece4h0sRlQ50zNd02H2HyJJMw25YRTjjiRnNg
lYscOVElrNqFI8Xvu4XKgtjywmRrObJtvf8lGpRllKaGxeXBlGqUzYD0eMi85H7a15eUj39PxtAU
DHgM43UuFudvfkprdKmAubkiwlC33TRIGVSkcZ4BKSF+72WKmF4NyLYUX4xsnC/hxDYFn7O1wJTD
j1GnrqSALtlm5i9dnephKQoT3Y1sCAfVyZIm+5EJA0cn3ox6SnMMue1kgB2upeWMX2k/PWCGRIG0
U7oaz4QyXnXPgpdvumq7ppMtCwg82J1eLy0iF30aBWIzqs/JOtdoQ6whcthsjPIJB/UMmLeRtJMX
GWJ7z4lcvtvykc9dNAqrI615VfkFSmsqWp/NfFP2aVddOBj8PpFVEREFqlwkpEzy06/7b1FblsuU
W1amJZA2KiO9b0lu/nG6klY2NAZrhb3q/PhRDxrCXFZGyq0dqOWUq+Vr6/gjwwzoAjLirfkk0xui
2laNPc/YmoALrW6gJZCqWFykivwkDqviK3VLbg8diuZFXnpvEjTlUingzaE0yaSZSKEAcTlbNXKf
qUWhkSzmLidVuOQh4M92mgSKuBifwilqAkOva3hHRuePCTtgS4X6SFCTPBTd7VTIwjutDqe7C9F1
C0av4/12q+VysOG1+OLs8Nd3GltbPpJ3Wjr8ELl4yg86INBHyj/qadbqCI5wJuXflkgRRrvtTSCT
q8kihFMtRMgH6sPyx+k/nknlyrLd7beK8ut5l4R6jOnqgkazZlanPO3R4BnG9bukVhX6+eua200R
XcLNvBXYdCCplDKpe3Heed1qK8csQnQ43GQtJqj0WulzffoO18m8EELPEDrEbigLhqwzFTgLgwU9
62AbSp1lkeB0G9HMDyYoZbtW5uiecDMgL7PRk4R4kr/kfVf4Q6oNeBGY2K8XsFfltai/mY0af69n
WbzVhbmp7LxTE/f9mfHbtrs9IxMDEBRrRTpPy4VRJMQ1sDm30fL5dtBa4VvYhuFzl8HThZ2bxGJQ
6/H8MvBonxZ57YL3H+C3JXP2AGcnsHYqzVhT0XEeBhQKo9h6WiF1Xwhxv4WErRHuXZynJdkEpfH6
pac9Bvc9+wzq2cIVFTwImkrpzAKKItp47FXtXuvaC+eD7e2+WnJbm2BfuWqRTuKr121OjVrHupAI
rqlzuLSnCPlEs9RbLrFNkJSR8On9gTyz/vp7upnmdrjm8qWaZ3Fcg2shGoIRuoY4YAQzoI+Sdtac
29jmtS8zti+bZqoGpA9llQX/kGu9uHRn/211bZ3mwLChNGSDCfW60zPzLI60SnATsLF2TMCj8Clq
p6Ee6of3+/vmxPmlqbPzF6XNCJgME6csZ/WQGvH9WkAPfL+Rt16iSWmX/37C+s4aWQx1xKsuFVxZ
Rg3AKyEnmnAKTTEIi078OINvf3m/xd9uJFxiGSWL4AFIEhLD6xEUugWycdygoB+G3VEy8+Xa6Iz8
Lp+jBIL+kOZ+uWrFhTBwqdWzUJWFfTSijGC5o2VVvgas6EVuosjHcGJ0DV2rr4SlCy9sl7+/QXYX
oIAbLUgDGnE2uE22rvqMeK+rpolxVEUUhiQpyvfvD+jva59WQKRwxLE4XBpnXZsIL+aKk6abWxIc
/XgEbR+rFGqTCc4b0NoiwiltWfDrSvPkwvz5HRygba3rAO5JmYscMV+/zkzgyJjDunMXS05PHRK9
hjOWffOoK92V3BSSU+ZNjXlZbDzUyDd/z4xVdnRK+IdWwuFM65pLF/23BoSjHtQqOAAbRPL1I9WJ
lrRl24Ru2lom+L4qw31O0T+ErYStnSpX2jViTxN0Wvmisy94CD79PCzCDdGIEgBYfwOCTlKxQMxA
xz5WevMYbVg2J5qrdfBSoxZFLv2cfiqj1m7wEp07u9X6GYJIMuUiC0/WN9K20LZ2pjW6FpRDnSjQ
Y8T8I7t9/JG6KyJ/ijXYNTUf1Yu7uNXsOFMQ9rPCqqGaXAl4lYZJpX6KkdWPAySkcb6yqq69bcQQ
PYJSkKY7VRvFm0Fp4VKnGKANTkbWorKtTsgR6ujMUYfcmYGSHhC0xD9P5O3bRTsq3+FYzC8lmPsr
a806y8uMNv0491rZ2iXFXdLr86o+KPVSfWhBvtCfGjVnLTPE63A0ULtoEO6w8CHU+LUMkfPA4MbI
c6cE5v5t7Wf0mjW9F3ob9o+eQG+p1PkA53ZEfyBsl9iRqqmeyYEn/c4qcjS1jBXKPiYs9RBdCZq8
AF4X2+arpZsRrkHNKiJvqQ0fZ6DRqdfXSqK4em1W8Z0wyR3K0WlmPmaoKGSjh7AtyoykkMwRkWzk
uMUmsoBelEMrrW6NvLMhP0mUiLgYGfSvQIgBlEAzOVpRh6i2KFQ2ElOsHqU4gsITDAYqH9QDpxah
aSXGNkkNiyn3pDiz4Jyj9aOjHTJIrR3lMQUSoRGN536Osy8t8gypk2L9nTtKrs7rpqaMNDSCMmg0
FAj8Ey+lJOscyUjmH6OmiHc1degf8ZQZvS3qhYjGsxBFnWvCW1g/dGYRTb5eNmG265B+GO0V+nBt
zzP1ILeWBB0e8WBybGuWbnyQOoREXFQNDIwFUQUnX5E1BnJpStuvngEzbT1wdjZ7ChAqami1uciy
a8VKJKAgKQEC6tdZeMEFMLVnTN9Jr6hRe0umBc+hLjPQnJg4Ogh+moc9U10Z9ZOpravq5CjbyE5c
oZHY1pRuqlzv4DPFwvKdKoCRuotiRPc4WZbwjOPQuB0BMXZoRMyQncNFAW4laEX2aSkjjgdji8cv
x0vzrl+aGqnypkb7ranwZxzkUrpdaqSt7U6e22mbldN41YRVp/uTgQajLYEhgJQsVh32cWGhx56l
zeJnmcX2RKZnnDxNJqODaZPe7pNWFEc71Sq1dTkfzV+pM4/PitXxQRQBYRYKRQbbGOrD+qCFkfhA
vVP+opEOjO10zKrFXoa1fSzzTsO5XjFHFSxwqOuuPCSYoQ31gpAr6ZLkR6+EyyEdyXDbXZ7Et6Eq
z/1BkQo8tIS6Q2OHXd+0Ky2eW1eMBaQpOZilVMcjoN8NxcHoyuzU+V5oBeMLsp3ardYZ+MbqaQxt
MQ8zzS1CU87smFvKtSqkWCDmpWF8mwYrUph/0yjuBbjsSIJYEp7GuIiMJipZsY5loRIjgT6ICuKS
S6moP5o+W/PbUVCixIniVJh2urhIGONyp1NsQ56rZB+3Wfm5kevysxRGyocO/jZygE07ol7RadYX
M90cyxb0pUhd1BGqW0UxheTuErzmHBKMEXtcr3Ema5U4mFJletRnVDM6LRYgb1pYh9XrYcjy5CvK
si0CEFmefoo1MVnsGHY9AVjT2q/FGNWPEQB5ycGCp/+ENCmeKLpmLMYWGAbdyYYsfhIjXX+S8XDs
fNVMZ9SVpqSYP5M1U2Z3nPHL85Yklu/mBDkhlDWFkKdOFHH4lrRNjgoXylYs4zTpjGMSLUK/D1VJ
R+W+JTNlS91Mjdvqwh690CU0BKcWwCV5S5RniQ8tqsoRrJjFg84pFTc6suYC6eZM/AIlfB12i1oV
kj3mAraApsQtx071UVxco1OXHPmFupJsPZHhTpSilum2iQDtl3Huog+qFoH3WrsYi9d6xF/XWWZR
6NwsRTB/X8VqFDk1+pLaLiuMCZMyPTURS0qzAfUKXfkgC+MQBnWlt8W+M0ZkuURQThY+fGLIr1MU
Gf4ghkVylPVZCOK4E1/QCoVGqM4ILF7lWoGMsplyonaGDhmxp6zHsfRWkSl/BH2+9iPzJdL5LszS
FPUf6nU4PGbTp8HQkLVC9CWzHElpOmlX1pDinhSor8X3Pkunya3NGTPCQu/qozRgghLpif4kNtb6
SeUEqnhEUHW1EyVMPupKC483nSBEnLIewpKXqWWJpKrArmNLMiRqgAgW9VBxyMnVKtIiYiK2ydUZ
Riw8j0JnFeRhSE24eZa2s7vKcfIFmN98Wot0yu6Z2hPSSVEt4bSQCN/QCB2GvTKEFTI9uoSYi9at
qJPoYUTssHqMJw7JkG92mKXQSwRea1L9CVyP5oG9BEQAwwBpX23Rl49J0UsfBCUMaydKMuKEwDnk
2Uys6EpNshaLrqxgaxfVXn2M0KH91HTqyJVdmbkPCN2oIDZLlrRH/TmLPyqlIaHmkXXlUwF6CMOv
apRehGbsf0zKunyGJT2x8Bo1RVOmNTgylIsxYpWh4oocC2J9RKNtLv0yrJYoyI0k32tapy826mTq
LYmU/ItsxPKp1Up5dpelqvon9GuT675EPdW1qrU5dfwU4sZWXeueKMfZ5iMex5jaloWGG9vIcU43
0/GHLE1s1pEY6lcIwdVfhqodBNyLMXXyRjSl0cuvEGnuS6vr90myNn2g1plgOlJeysBLBmDKjjrG
xE9rXbXWh26j3qlxOT+Epbm0gVEnZn0aV3XCo2kiDcoxbrAMqgrMaxviR9WwkwJmRypGK2N3gSgW
OrowLs9ZX5Y1R5tC6HCpEFDPMCqQ0EYFUxyCeV6hupvOh1BG+mVSih/KGM+obDWqcJ0rcZq5K9Ua
bdLhNCdMIXYbckhjEPdVdszNukGkwprSzxXrETuQQcgTZGNq1IgQlBY+mZ3EItT6uHtul2XG+48b
vObpQm0eykqpersVRDiVEqg5ZMPMQFTyHuY6z2sXhSwjtt6K3ddiNiLRw+BBxkfBLELqFrO18VC5
IGhO0XQhik2rsR6UdKpEtKuFCR+nIT4BGUMXXewN9T5PEI/StRVrRE2l10WWcjxWG5mtZJLrHB7g
WLF9V+FaoWeVCxMOG3NdNp5SIWVtYmCM3aQAXsAzpkhCdEbjxOpKmml4TVGhe6PjaPxdLebhxUQc
p7fLSC+uURIBLhy1I+B7DDB0ETKUKWD7mlit4rTy2oYciKBd44FIos6WGi0aHAiaWe1w8iWcWdTs
YbVrWtlhKszQbJcs+VLW+mdZ4PVFAvoLBRh+3ZKI56DUogXEmS+x4MJEiSEGcY+p7bBFmGQhi2SH
+qIcmMzrDr+TcWca/XSrrWbjznmCppNeCXuhQ8TSGiLjvlgtjcR0Eh7LdtRsbRwRjxvyPkhTrImn
Ukw4RAxg1tfJtNOsW7GZaZ7ev6e+kb+BVQqVGVaNiCTFuWlEs44rNmJi6G5w/UDSBxSaJJTD6lrV
rnVrSJ1cCtMTB+xYdWYIW6du0OMLEKjfEzhQ5rnQcz/bBvc8UWzM1tSOM7bWeLiijCSmwz2xhuN4
uTR/fjF/1dTZPVQQ+gYxYDIdXSnEuziTugchyiXSG0Ub5Av8iLVuHlWOxx/fH+k38g7QemBQaaZi
QSnarqi/FHz0Qm0nyt0W94pW9vIsazwBgQ3v/VbeHElQzNywAT0i/vu6lVUsMzNPUwtlvK74WKD5
2tkmvLWArNtFbs7bjXGdBp2Nzv55mdBiR1dbJJdIpcyV21YUSTl53lsL96b3u/X7/Z0JQjLjXy2d
DV5VtDGgc94aBbF5FxthtTOXeQVzaADYjWqUieIsfny/0d/TcCTFNtAAzFEW+09UwS9vTBtQrq3z
wXKXtZXcRTYyNxFRWrqSQnSw329rm3ZncYVNh2IrafvNquCsg20ZVX1nFBbmMbL6Y7I6bXIVrVcf
KJKLuL0n5WNcKvknxJ6kYK40+cP77b8xO0mdalvBQFIpiJ7Nm0kPOXbL5I0VeTI+NDlkRkNJxr/K
cX8kY/RvLV9eaRTdjD/afmh//OP6ue7+wVb+/blH0+u/tqa+VezdiHP2//36t/9/2MRAVNzoP78M
/2/i0Q8/yuw5G/7xlydc93/c5Llahh5rmLuto9Wvgkb/83H/UpRW/4mS0cZWYwcCD0Se7V+K0so/
fyq568AY0Izetq6/NY1k7Z8bZ3vDDfAdnVrc/4ga8S2oafCVYdYRnDZSwn//1yskMqP66ve/GiGh
RfBqHgvg2w2iDkXX13FHAw1hJGOqXKf75NgcuhPmyDugA26Nede1fNh+q57Mk+4Z2Bv7nYOD2EF6
ILUi3YR3yWn0yXNfY927Q9XPL7z0BhWcg+y0bndIr7LnfF9WNmA/dP7qPaaJx9SL3NnXHckPncyV
Xd3TD+M+88ad6gx8PbtyULvZfXiQvSaYj7GzOM2uOXae6ggeLrhuvBd2lBtdfIZ37X7xel8M1EMT
ZAGpDE/wq51+IDFxUFw4PqcO1rY9XJOR2aNz4SM9f4pOIycRX3H7neoK15tvN8fMq+za2DUn+WDc
6EFzWq5jV99D2j7kp2Q/7mofZc4g9/Fs26EgeajuwlvhlD9kB+tUXRe75tDvWi9xkH7cY+btCdda
YDjh3kSjxbCL6/gGMdYQb2hs2p7C20HFNPprcej3qpd5KR+r+J39Y+91bug/JjZXrkB3E0/2whfd
YVz9eqf/fAzVk3Z8gtsEGI/tqPTvO98Tb8Or+YBSZ4DehdPRsyEo3dif/Ga/ekrQHgdXCtqd/rk9
4nHtA0FxlUN2ZXiTbwTZXgqm23I38rem++Iu9tfAuhs4xuxNP76bXMPJArQ3SZ8E5PGcMljc0Umc
0E4P8SE9mL7yIh2y2+y7/M360u8qnqNzyXY+OpEDfN8mi+1ph+6KfNlNtVd9VKK8LKh3ol+48W64
Mu7Cm+VqcRtX9EVXcUhruvpNei9eFd/XD41MWYhjsyPLNlIF7Ul0W087KScwq/vsoX4qvWY/v4h+
72h7wFl8SHIbH8cAFdxA25Ok9CQv89Nr9Rr5piBU9nh316qdPBi3xh6RWUaboruT+Wt2Wx4Sl1JY
kLjiR3VXHzAe+4jxp4tvPQ9rev23hK+RDtyp98VR2Q87xJoWyTFP6r10y0wMQi/xc69hnYj82ffh
mD9Jt8lX1g8/md4Z+yVIkMc7qIHgJzfZAwKoV/IBevZ1dTTv02uDFdBepfv4UB7UY3ehjs7O+2+W
+lm1baoGudKrRrpenMkbY1Zh79Zu6KDuZxt2zTO07ssLbnG+warM9/V+dVVP9MCUucIjBt525xXP
aIQ7JEtsNHz9yZMdUOD2h8RN/MGeHIS/Pcu0k53ktntWmJ/tpB13hfRb4hkes8iJ3caRXMU3fDSf
ed8Ks7w/qtGhCDIH+IDT24ljukUw76o77SjtcBpyoyAKkgDGeGPnqNt2Tvdj/Vo8jbv+CCrwySQj
ukuC5abe4SDiIOI+Hu8Fx3CED6rb8mf9Lvwc+/o+P6r7zAnd6sn8HF3Le+kUJVcmc+lav2FC7qO9
/Ljea/eGB97iYFwXxi7aj4foKj+up9AnNXWjBUp1a/LToR05qS1dzwE5eqb3vK0Hf3RMW+LPX1Cz
d54/5/a3kqgwsRbQOXU7Tzz0rmJ/f0n5+5PLmuRnQ8d0UmexC5dP8rq9dpiu0t0YpARW89Tsen92
NX/c57WNdJCHLK6T+KVqLzuL+Sgco4/MOLd2npHv2ifO6uj29nDfieFXasBLuRaO5dXqj+7gTU7l
DUfrNnc0fpedVr/3Tc+8Vw07DyymgxzIgeaCd3AzF2CdVzpYN+6Fm+WwtZtfL1+jGx05mdKOaDL1
Kj/2WAL7Zld5aoAqpTe7mV07stueENx2c0f3WndyVEc6Zp7oKHbiZ/5kT3brL8HAVtN5SMLag/2C
NJAzukR9e3bLveZaLoqo1j7lp5qdeN/sUsd4ND6jBM70Sz61fDpeHnuBHUhgGqd0zXTArNwb+8FG
ei0QdjUfEh/qJxSeLsE10Lr5N+vo/MhlJNkGkBKvG0+/XtnKENcNBLt3m12BsDPvhKSH37qmQw8Y
Sk5kVzFvAschBmfiTwX3IWMDGjyNLxNG40Nja/7iFfb30ikdZLrt2AmDkZE03DrID8sODDbLsPdH
f1uyXM/d2f1iBkhw+mzNtmCnfuR17Iqd1/o5qXemzbZJ8g0XEWKnY3Md+dt6IPnt3jyEBKrWNwnl
oZezhMUvwyHfbx/Y7XTmmOgUp9lv+ComaDZex7+D15IpCAZPsU1n+yNm0PM2n7sdLs/8XnTafXaP
5+O+8aqdxZSQaSbdT85MZ7cPbzxpnzJZevevjqQcFHDhIhjErunm7sqsTPf8rWsMwh3Dbj4M9A5C
u6PTGabWiUFjE4erxMxFzYb/V8/pI5/PuMo2CDqPbFbQ+/gKeJJbeAn/6g6nigOfx3Azp4Tb/Am3
Ta/hkZYXXotTuyzAr6JoRw9hZMdP3bFh7qjB6uqMXO4Kjr4veM/A94ids1/yOi2mqeXHrFlXJfCZ
ARYLnFWY6K7oje7CwlkcgTezfW8bs8FmgQWRj6PpDrs4NkaNiTzZGYFTYyobeyRN/G0qV57F35Pc
ikZK+lAUtnYFJc0NXZTc6c52VOr94bjsiAS8PYhrAQPETwj2NvWq3TZ45X79ZF5Ph4Xh6Hhqk3fP
eSIgn3wV7yETbRPV1QPhZnvTcJZ3JTEAcr8X+dypvdZ5KHh6ZNSZcKXzQs7TtnjcmKiQsWa3sUAt
mofGMfTnIPc8fMZ/qGyxcSh+jXIOE5bH2cnHPtB3+q5nV07c0LN2wpEYdBRup123W5jHW1sqp7xt
jURu6sU/J6bEVjHxoKlTB63uCHuUzmlN9gxW3jYlyiti046CZxASXUSmWEzw+L/snVdz3ca257/K
1H0eqJDD40XYwA7MpETpBUVTJHLO+PTzA2VbJI8lXc28nJo65XJZpvYmgEb36tVr/UPotT4VCZe8
w8Hzw+m89X69j/ebsK4b+4SroIuIQbBgfIP5rfo9Jm3MPJFdmWbnXtu3O2y2+AnNjwDA0ctMTc5N
Xz6MO4yFd0HoTEdr3wWxvy2Hno+UTmwrRODRW0hDYlJdQrQjBPG+f1QJw9Zpi1W5PzCk9O1fHnWw
qSkyosg+cwmDWSUzlovHiPosqSvzjv7yOTGNd1240lnhbuON1CXTLgtIf11+m525E29EYTMhR9oh
+W2XPo1OW3QSPrPw/BURwfQn3st0jhQcscRkUlJZ3g+shJBYpHBXIxsF64I0WvTNM+1RZ/mKV4tv
ssWgKOLWD4JfEdYqvjN41UdmAFm/zJN0bC4p70ZkEW5Xpgq7oxpGIkH+6pC2BaFbuvUOnLoTcW1p
b3qWW7kkc07OIINyPYyueFBeYhu48ZfFLRGxtp1nW62LI21hSORVs1IdyKh2zaPj03LqNCaJQNTE
i9oZ7dDFj8CTdn3MMJLubLsetzKeYnKL0aYPaWfX8dfqfBvq5gAn0ckZBqInf197tOEJDeltSIpd
XxR+Q6ISu5AWSbrX46qflRfF1fI0B1ui0JPZJKQrbUDkYKmHvsTHrHPkKscjpxIvZx1nZ9EBz5x0
JwX87wHvikN2iA4VlasTFej4AjfBs+6se8LGwkYw2sekwiEJAiVwh8eGnwTcyw7pagfruR0TzI7d
yUcMw07OOBXZuY3/JVl3vUsCStl8imzETTlSJHbhtGRFW9pFJ5n/xts/O1raXwUn4sxgObW35S21
xwvaLWfD+XzSnXRnur23epbfk6jNmDXYHb9e9hROJeFeCR3rvA4UH2g9KXvmiPv6qJ0j/oSkIH8Q
b4y7Rr/DDkA/kYh5MZZfduEj/exovq44nALshGExXcvTb0eCyb4/hvvqjvFloqDIfDFwCimP8uUk
0E+zkzt1L5PBKV/Ur+atepn4DA+fTW8ibkf/nDxZ5+1Rv0Tv2oMJn9kUxCM8cpzoCkcXrw0Kny2S
NHPLQ6XV1jwEXT0qwbuCTBGZfZ6em3TocDuDG9qPfZCRSWk+P7Abp7MvyU0fyoeusvvFy07JKao4
1ww7xZ92tUeaF3T5g9oEIDeSvfVFA0jC1+7lG7TrkGPf8Yfqlg+T822vV9gOfaRhiK4xk+kzuNV+
O4dZL+/N4hdi9vegzkfhC+kpE1DoTmEA+MCOblGfl+mO71c/3lVO6aafJebD48xLDB8nd9rN3gN+
agQFWn+2yUrkHg3H8FRbt3VmV+fWzN2e/1vcLQ2lN2WrL1kjboVcAm/BgmYdZy6Ol6Jr+fIOmhk/
pbFq988YC6Aj5yygJxJuR34s9sm+9eLzVdvNz8uu9UIut2W3dC5mjl9oxTCwoY1aHPf4chf2JlwQ
CFfyTt81u+02AFkDQbSjr/l1fk5XS91VbG5bWkcSRFgLmdN1wEH0zPCY7YT1aJd6hYshINcSdxKf
qYkN7Dm8OOau89A7ChstN+9siwYkNf9uLyAlC92S7W1yr4fVuXumlc9FtuHajiBgWbkdmu1s0cCJ
PgnEKERzD7SGbVSN2fNeAopNv5RnAolNQCI75yAg8zOJfYffzL5oEP8XuyKT3rI64Zg6bGocRtHx
ld2UPZWmzfYcDDrHUL/0em52cFdupHZoGLtbOmiRRCfsh+auuUUHb2ftc3/2W24fS0h/+yTbrzNf
aDyAGlgH5tFts2e82JRA6H9cdxm5R+uY7L34LvhmUHPaYCP1t/pL78dbGPa2UeYIQFAmLTiNsHye
OzJGYVdzodSb2FtIXGy+wA2TSO0gsByS83S/5dimwYDKNicQ1Z15GJkcoX7iqM0Osx0XBbKKV4W3
y28V1jcVq3fST39VrP5FdhILnaRYqlo6I0kl0yxWp6SwxL7ufSVP8XQKRuwhkGw4APACYE2RT4zU
gqgcEdMyIqDq0A4jP9vSXDqbQX655VvzXtr2BT8mwFGfopZEZmqvF+FdeBaeIet10e7RZNpPvkSF
wyJj7RxqTCTV00GjZtR9zG8XD0effUi+h9gYERtn4q1QExSH7izfjcc2KPkXN91t0zjrj6jsEBGH
nXkzbsc27nD8NH+a7UuDTajwuztMxC66s/Sme9q2Ael2298Kijd0pQPJrtgCuivjONuPI4u7YD/Y
QhU9Sf4RtzjPbqcynWNXC8C6rPw19sqE4JwPp27sAFhiX2BfgTN0FIiGkmse9GeJxJf6kVuDqSBu
lgwehSWKdNuWAnLrNJGicn2Hyomz7HIukbrdlrTutk0JB7fd5BIm+MyWo4VX827LbjQKDWTNtvxx
dbfcYCvfyV696whk20Cwl/qCr++wFnl5nJjkU3YawhRvBLiPR1PUw+7kUCpXnc5ytytKWSMRvbcn
Mmki+Uxvz6f3RsTVb3h0wgBmRt74UbhaWWiKN3t0/Tnqa+zaY8DG7C/ES8VjcXDOSnYpuZLpz+Q/
7W7LI8HWkiFuOTanBZ4BhwNH6y+sy/pM/JReFXWQiKR66dnE8t6CiAw0wHEKkjAEuUuyO8Nt3W1O
Tvy55ah1xLFsd4eLsTPsWxtfFmJEfjXrTnxotwASbEdbDtes2Yn3SGJuswAvthRxIP/ZUjzFa0Sk
wO36kHsiN7QlhjMDB9zBoaPDlelIkNLVpGVUckjqauW0HUoM1mPKr+WX29MpfMzPo8vJnYlJW8mh
IMxgCUw++/PViufrPx6WqVW/rS8XWa1leWwaZ+GTdKEerMqmDLHle3fi9Xqjg4I7w7bN3RJZk9C4
pZb09C6Fi4kqc/9Z2yc32mV1pKp2tT7mJ37+jCXyTgnY4z3zYJKSxBch9eMtewgvo0N5g7fHUfKV
w/pcUd9E69BZPZkq57JL9jqJYX/iAE0aw9F4P5ISc4jbtcFykZNr6Jft0bhbD9T33G7Ppullh4op
kpyKU8cR8+wzmyO5pAuGhYC3eh42L3v5Uv7cH4oTuxAJrcxeFu4GipwNpQk96PYW+mju9DgudrNv
duqxOVoX+Z74ThSnfE7lTbmQz7ujsefo7W0H/NS3gpdX8FstnP8XJ4o3DZx/j44NcGQw0hZ1mR9b
TRwfsHpJstedme9f+9aaMcwPtEFRfX/poYmYav7VmuFvNtElFbk2E31BNDj+bs0o8gf0ViHXmfTe
cKuQaZz86TehSB9Qx7MQ9eWLG0fO/J3WzDdm0/cW47eNDtDGe+5RaGBfUnVL6Ef5dAbNlowdHJET
j/kf2Zj7kUzxBwmAZgRQkRj7RML6Ti8OVXbTAAy0I+lqAggHEFInHxPDh0iuKMbSLHRLM4NJqEnI
F+adLU+FfAR2TkAuSO+78j7TZRwTrvoRQHVsngyp9TNcMld1uJOQowLPeLn2DacoM0V0NbuYhHLB
pozTj7o4inkta/HXWUfrli4vP+vusrR8bAplHwFtdOc4rU4M67kudSesQ7GzNNvGTQtcHVq8kCLF
OKYDzNUVioqbRnrqiqAlJWsxnTjPPQs5ILuLuiehra+tfPLDniS3zhqnqpPjNPWfxohde9GDJv4K
K9URSpFyhGjcrKBU+vQ+jJ8HfHHW0ryfYk12jDn5lEgXoFVrTx3GBy3sSRirO8QHvmophmeaIl9J
4uotPa2Cqktvs8KUz1otEw+ztlxgrip4HWAjxyppK5hL/0VKgHMmfSV5izx9LGrtfMUp+QD7q743
gAo5SIeNfl+07ZcxTZxRnhcUjtuWvCCputrWNfzQwgjIsj2bspeGbewj76mSoaydeblOUnM+6A0f
lLrbIpu6g5qquwS89XFYq+ppCZP6roCWf6dXaxqgPH/Kp9xwq3EZvbENd78fXP5n/eF/DkH/vsEF
bMGPg8sldHZwhHHyIHTd8A8xhm//GWOsDzr6XSg/wjSFIWvSfPnW/jUs3GkQNdORKgRggijT9xij
fECoAQFM+BRQD186w3/FGPkDehJgblC3B9NEd/i3YswLvex9jDFRqHm3PVvyUqc1+vxBhUWAH+q4
0ZdCQh0T5NYXCyMre5YtGASYXwQIxkq+rKSxFy4JSYycy/WeptJqZ6aZPBhji++aOEcfAaBph2jN
7wF7foFA2+HUZVDtK4tbHbgQRIC2sGfSAluLobGCQK5hjwocNOI091HmP8RxblzHyixQA7XQ5ak6
80IIh+mUw5CE/ZCp921RqpU7Lslgj9w8JJT8C669pmOuSmd3YR3uVBmbOui3N5L2gK1t64wSFOs4
6SijNqpTylPnSl2HT6AiVmdlGC9BVYezI2FHCYG65C4XPh1onTA9akkZ3sRpKwn2KEXRaVp0/Qv2
L/IBhT7DqxujcfF3IFXtluKEXEIZuQA/EtzGw+pJSdUqSHUlCirBaI/1UpaPqxyGu3bVo9sQUf+P
Ri/p9tQAHpOzrD0IiFsGJRjaq6bCGoVsd0UKLBsOsYRkkYRtQgR2jj9mYdTZaHVLjm6U1o3emutk
hz32wzIGaDaaRNH5FJVIt0jquA+RIHcVWOyPHTbpwNOYWzmCB2JjyyK2hw2DeagKUfc0C/U3VYVD
7vZznp6NdVmfYYOLAWPYlkGYaCCl86wXd7GORajSVuWZ2utyUKdieq6b7fhpSMbaqYTQuAYGb10s
cy6cAMyMd2DE8kNbaXQX4qZ1i6LIL1Z8Oc5Ru6Osp6vVSQ3lEl6JNOp20Yeh3Ue0+aYqjs/Qyk6c
HqgguGOhd0HlVDAi5NxWTfS0RbHBnSmLU9DDIuhKe9PlMmeFaIi4ameZy8cJlOEfUdzWZ1oyXplF
TQMKCzi8yBLzwmjBCHXQi9lWeF2KnJCPLd0TZHuaD6BWHXC10/9Fcvb/Z/wkoPw4fp4e6j5+yP8h
cPK1b4HTFD8g/SLrMOK+xbnXgdMCKbdhYF8s2qVXyZn4AYFiQC6bphAk9s09/a/AKX5AlBQxT21b
Ehuw/vcC59Y0fx84Sc7Ed01AqNpKNjaN4CMb2TgoO+D0i9ltmSX7suYoWs/x57IbfHWRPs+ySq2h
mE7NXO+1ke09zApsTpXqMwzGYwfPQa+ieyRhjSE7mPKXeOlomw1Xcms0RJviOSzWW0Fe7uN1uu2l
tHRGCwydiI+s2te6E3WY7XZKfF6F0X4WQPm2abwD4H4+YHEHVyZDoQYzwBgnI7deut0kLA9qnNpx
ichUhg35WsM3k+AIrPmzlYLorZJTOC6QzaWgRvoaatSt3OmWo0ghZVFTDPRe2xbhNRDY60hq7+NO
f5x79fMiJk8Q5dgehgYfXfkTRsTBgPv80Jt/5A1pnbKkIdhjwxcH4yI1c7cD1FHV8c3ccBedqdvd
2Ng4L01uxdZb5dJtFE3UY7T2qVOma+SgwDBUXhn3VBysKxkimmtCeXCqojqDNlPgNtoP9Kg57Mqx
vlua8VzEmNI2Cwq/SRJ9rdFlx/gP5SdV8puNFCgIbGPrSvetoeQASlvhd9itdK3NdYiy7PTifnpl
rhUdMP3cEjJpr2eKL4hGfJdZkEsS63MbapMXynTqjPa8TETTm2uAoytupt6yIBFU6dhoLRnpn4ho
6dpPO2iXIxW1qFL8xoAunwzJfIq1PgmaLvPFsaAIaQ3jxRq12tfZbPAOUx7juTGDLl4EL5oVIbDC
kKL8SKGtFi+troXdIvcJiucRRb+lKeFK5hxjQ7kJVFCmsd1n+nOcVd6YLtb5fzJBosePY5j9ELcP
SfkmhvGFb9FLIxBhjgfMFlKvjmPg39GLvwG7jbC5RqTQoRt/T/tknbSPEyleVUggYrHxBvVHqofa
MWY40L3R/vut6PUWBwwoF/lKCa7zpkiO/dlLVvgaKIumCVNjAWsVm8MuTYvnCgbVQ4rMz6mAv2jn
aW74yjiu2NSGxVcV2a1dliLkGSKQ/0WO22gnLnDGFHSh9q9G8Z8KvOTKryLrt5tDfUFFgoH/oFDw
tnKk1eUkUOul8VGvA0fcdLAOVjv0s5dXA3AwmGAPArRLdut+LJy1hkXEUqYDIIZAqrQh/qLhVX9p
NvUfemItbqhOyg2+eSv03HpSP8IthkAcqcJnpU06BP1bVECcNlPhDs9WbXyUI3VwIF0J/mL0iegs
idBaML90wSAdCS03QcnhZlk1sA9hOjloPCaq3aKnh3RHWp1hTgD2vjWM8QkuSa/akqhy2pX1aXmW
4FyCrMkwiUHze9G/LG1v2agap7+yQ32pE3zfor4NJKhTxCU0LoA64tuBNPs1T5HtaKEpDp7EEV+e
ZFhoVm5PnGd7ITwbi69SLfljPnL8/1IWWO7G182Y2aUY7SrjJqRPbuySGkJ8Ou+bfEB6Bbd5fpx0
nRNmCaS4zm5UM1Ar4RfCGKyDf5kGLAcUsxDH2M5Ob+9+bbK+itKOu8/GxI36DoBFlpT+z2fb9lve
jxF2Bki8gNtFcHGbjK9WgmSsSVzgGusaSwnCU+OVluHVUJxydKRWYwJa0STVL6qi8tvkgTfDVAAo
hCoYyq6bnNXbq0ZK20HK7qkpl00Bn7cQT1Ox9Gw1iTg/aHKqPLGE09S2pKi6QqRT17CdEOPHuiqK
k5Ys1SlH0h8wqYiTchHHwklM5fRT2kjZXbzkitu0U+bP+qLRbjIR3vz5qL04VL0ZNh6A2AZ11gRm
D0Hi7QMQVlYNVarWjfNxdltlAoGZYcSzrvQVMK2odu2gANMYQ9Aa0Pp2CXRiSPu14VSSOe+1Lgb7
IsS5N4NMtHu57oJVETK3mDSq7Xl70PTuqsh7CE2wP1wsPY0zqRKmiwnRaF+vxet+xS8vS6PSHTR2
7J8/IIH77bSAR4C+nL5ZCKCj9d7iDEsuyDUYUbhIpbaB3Lb7JjFHdIDUZ0TDaXutv/LC/JeoxxUR
WkDDDScGA2WUtyOaZ0KF7iZXrNv2dmkgii3DJLuZwKGs+6Un4r9MQK6GwSNiEyjBYJa3Lb5X077K
MrHtVIpvmqhDadP6HW7OhlOqEArSQqHjuBSwIy9J98xMdZP5+efj+xLE30wgTWQjk3hakWmEVObb
GxhCoV0GNWrcSLfgMVYF4LGhCPe5sYZO2KGEES8ySJOyNeyhaSyngohqo49bO93Qjk42j8ZeRIYE
H+5+Zyn9LdzrxVM5bjoCZ1MX9hPHyKwEl1Oga458EAjKUldcq2s6J8pF7baYr6AcQ3yeJOGyKLPG
jmE8edNoRdddKpi38IMB04R15hkpNYHVIoZqc7wUdt+b1Z2U5KIzEzviSaPJJaT6fub8/zGJm+Eg
QU63E4NXN2fr/A3L+1s1/f/ZsfGifipv+vbpqYeX8ZZ98W9JxtA4zP0453KWuh261ynX9vlvKZcC
z4LJjAW9jF8Y8jissG+Vtq1kj3wlZTYkZGTkKlhbfxItFO0DKpIEYfgZBgLiOl/668D4wtvggIc3
q4ksB+2Gd8SKnxEt3od8mYVEXwBiO3nNJgS5rcjXK85SRwk+J/iKcUWXJLemRkKCIKswITPz4QaF
qfFKyFrpZNVq+MfErhTblSq1f8wprGJUMjASQRS8vkuleWqcXjD7h0rT6/suNAq0JgbJAG+B8GLr
GGMSQxGWKdnvXg335bcF+rr7/m675CkMTGo3sVk6I6QW7+J+W9OZEFtBcjRpAV6UtOBZulRz0lWl
CmZEXlfQC02Hz79/WdTHCMebBCQ569vBs+Zao6RmSc4Sob6qhi6PRtmquMAV6VCP49nU6r8SQH+X
I7886utrviPIzPMkKHW/XVMEIBDWeABPYWo3jfzl5w+3dYxebzYvV2I0Vey7aTfRd3r7dGKbGIlQ
p9ShyNnZ8Cq5GDnWZXFjp+Uo3PaLpR6LeDFAlAxY7CH129vzOoCxmpNIPwpCpQUIfk2jPWayhqVA
rFAam5IBXFElSw+iVgi4Uyuk03aYW9VlrSCVa1Njy3L35w/zsszePw36CogDI+4lbcWWt08jDaUq
l1W6OmkqrrkT17CZnCkUBwirkjR7eHCXkh2WgzF7RkEG7gpFs95biGsn/jRpQO6nUToLw3LFpUbC
E5OcuxmfYnVhxWSLngL4M4TNBGVQq8GWchyabYy+eER5e1o1kzPMAOsQeRJI/jB86moGGriN0rSN
lxVN69YZA/pUKpSR85eh7bZRTrbxbrIF8Qv6YrwGZAfAiIpmCDBCNSPMmGolB1wRF+oT9rqc6FdC
R3VA0B7ydTUPM0o2A8pm0rrOz+qMmIYTcxGJNplKNrn2lvKc1ckq2CiK07/qZQEc4CiHauPUyojr
5axNanpCkQhVxbWY0eQounbOXaVJdcgEKg40jMi6EbYlNea9LkqPKqksRekNJYNDE6Wzl0qlPB6m
Mg0dFMtnzaMVJtd20RTzp1IzqsTJZLlg54yG6xz76esU+vAtDboY/pNkNN2lGFnUXvowL67Jw6p9
PNNCQoyzm9av0ZR3OBgKlfAY5VS6rmbqWhufXkjAkI7dcl2ZFc5OsY6elZN0fRj5ep4pmp2ryCA4
S68Whm32GoIcw4CFo2tGHUBMjdo+nvCI8diZSN27S+ZF3nVlz74bc3qyk26stk6joWUOypzTrRwu
7UEWk6Lw+RYTJA8hnyM2X1AM54TW3XBqi2anCyP5OQ7hLdtEYuWpSnAvdJtUVsg+s3F4oJ87fazR
RAJinfCe86gpQD6mFXX5mSQ+dQSkstx5HJv2WPDSZofEIl88KKdTSJtUBF1jtjrNyKFq7rstPI9J
MzcOROL6Tt/C9/QSycstqOMLSnw3t1AfbkG/28K/AYH05n8Xi8bZp2llZ7UEy6sjZBrmSMSaRLdi
IaZ8NQvoJXQi/RkFd4HbJC3ozf5qHb8PShhbQEo0IAlTK6Dh/XYZT7jlTbERcROycVEqxVczXUa3
MDmsVkNyQimIPUmWn+uBporVd+5KNVHVWmCM0XiNq1rQ5L/iSrO3vw0t3NNGfKRXhioY8oFv7+n7
wCD2whPLLw9vZtTttZcx0V7GJ++FWLKbbdiWbQBfBuY/qdd/bUoDP069/rt4apPHh/J/3TwU1cPr
FGz73rcUbHMB/CCptCw5y3COecm0vuVgaLVLHxAspDqP3i61LIld8M8kTJD4K46Tm7QorVAa8qQd
f2ZhgkQaxtumDQDs4qX09Ttp2Lb5fD920ABAY5O62rbJYg+HsvzbGUSpBYVlbTRu5FWS3Wih86ah
L+JhCSfuw7Tv9q/G6PJf86WXk/zrCzJPOdahKIipAz7g1ruESRYUq8EObbw1rEUJ2dX7nIKTFOPT
i/qwa06qfGK5U05rVCWoLDXyu0UYSxfvbhiWIWpt85BoYMYQsdojubY8lfXwuTC1CH4pzlXXLUpE
XyJByfwolGDtptStqOYUyR5VjfRhVjO02KWqBKuGJLWDRXR50Kp4J4UfjcGcDaShVqB4c1P8Iml7
m0Dxinl0jpkapQKk/Olavh1rSQ6LcCnG/jaTDdVJTDl2h0W5h5qv/SLpeHta366E/zlSopwoMXZQ
1Xdv1erFvFV6vbgtjaRHBD6S9kYTI1+HZH9qq1FdHYcpkn+RC2/z/M1k2i5Llx4TBPjT7DlbuHqV
0itxjFJaPBe3baNAsEkGgLS91bqqshCRNDlDc2SiadLHJ0T5Hhe9+5VP2LvU8duTk2xR3iNOK6y5
t7cgYnoHWKUobpUGofCoaSEkbCG61Ypz0nEZTE02ebVgRrtYXK/EuBv21sREFLMs87JOkz2Uhyc2
5zb7nKkVdEVo4fsR5bWDPD6rbVHvEFNoz/J2kYOfr43382OzxGFuYCSxOTuzKN/ee7QOCjl9Ityk
4iddRhRJOMiopf38Iu8X/HYR0lAugIMeVcR3U2OMukZIoky40ePCx3u4L8De9ZY/px9fLvSffeG/
tnn9431h95Bn+UP59S9thNc7w/bNP3cGzUC2YLNlZnnicKNt4L0/dwZd+oBax6b3jtqoxTmdb/21
M2jsDDQo0E0ghnL23CbJXzuDJn+wkMSjdrupJ2/Hp9/ZGaS3M+UvtJ1ibdP01SpuEQKj8JblQTZr
F3O8NnbdZ4mD/Clcw75VvohdJtwZSj7fJ1mdOVXCuaSoJaha4QzRL18sH2PXxBvFUPqYteMv3eO2
OPJ9D/l+ZwzZ6zuLhVQcO1PNAhSriqOsLjUWtS3MFbbZM7nMoNu1CDU3eALY0rjkN72y3o0kPzsZ
z3QEnUNOk+qaA98Xc3kXyvRUlKqTfKMyaabQm7p+9eb/Ybd7FxG/3+m7XU6sUBjqrSwLhlAyHaUd
KHAINYZFRhY/irkaH3V1pu24xlluayHy5H3TVb8Q9P/h1d8FQcXsQmtE9TAQG1nb6UY9uax5zTMb
MH5t3KPfUNWcRKcJZrQ0jUe9CRPn54/+tjDy/cnfBbGKA+RK3MmCFSuM0q71MbmKoqrbC1qnOdpk
ideJkiyW3RvGr+xh3gbQ79d8lwaPViXKgiSnQZ0NxW4qBryrzTI/wy3p68+fSvrBY70X/6VPIhTi
OmUBkKf4uNZNTBmzrG4LbFKCdA2BvavZ6FgRnTSjLsqgWEd4hdF6nuVwYDDqdC21nM+srPujbHQY
PYk8OJIghb946e/qan8PwnujCFycqrLTpzSQ6Us6ZZeknm5W3S6nixooyCodKCVAtbMsaF54CNzS
aUSCRGosrxpEiDcbegqPJtqc2RwfxEmSz+k3zkelqZe92Fk0Cxujsws0Lr+1yn8ouvKD92a+24uK
bkr63NTKYA1nSBiWhsrYDBq0rI2bn7+3F5P1fwgZ7wWe0FTiPI5YXICLZX6IDU63cYn8rpbX8xFp
d1y726TyUVSEaVEu7X5om+IwFtJoi/MgXZltAqC3jbWLKmsKfAfG7FNfRmoQ1fEQGOmCGB4WZU64
4lGh4G3jzXOFX3YsIXbXUeXIclRb0FD1ijCUd2O/lkd1HFDpqOfUrTUeue2kGd0HtbG7rKrdIWKb
0HGhk8Hw7aaoVX7LUeT7BHkX19NFW1Oc+aoAcWQQInUCnUJfW1usF+P3MsHv13gXoZvWAIS2zAy3
kXY7TNtEdyRWO305nOOV8WkK289qH5fupADoMQtl+cWL3k5N/7Q3vG/A1YAiMdUGW5gl+jADG05V
3ZmQivooomP4VIymUaL+mRtbs2rJKGpQh/M7i1Ka3egUNIK1lxBF/fm8++HtvAvByHPX1VppDHZd
KKdpBaeOCHZSBMuiGahsqofSjNBG0RT0GYaKCp6UZbhKNnMwqsWvuncvR4t/mv7vovFYAp0oRKkK
EJtOglIGWJ7hdOq0UXjXKBNgmbJovEXsYQxPjemtSJv7pgkw4Ofj8INc4n2BYmu6CWMq5IE5jZBN
Reo0UZU3xxJnDxcocOT9/Do/iCTvTx7hYrKyaBsEYzpDFgORymaPJ5goNbc/v8Lbo9XfM/u9IH2b
W9aK63MWZP2QukCbkMbJKKY0mjTskYyGNoRA+KefX+xHO7j2LjIOJd5IFIGjYC47ZbdkenaVZyCH
1y3qZJLeubKpIP+k1s/DgCi0PqflL1bSO7TE30+6tY1eZ1mGsZjL0vSCn9A0OXS1gJx4Za6fF6yw
z2pJKj1NqcF5CbHW+mEtRzPDjEOirQBe/APx4JYKIgMfga5NrPNy2UBZrbZA29emYieoJWDSIpFq
Z1at+o9MNIt7NYlr3xrEuHcEuSBVa8oGfelEXebIBqS7XDS9bvX+z4cXP5l/jhYvykCvctxiTocS
5FEZABJZvmKBUkY2CuDLAeFQwdp1GuNuZ52e02xt8/yYR6IJ+ncIZxTyVQuJR7PXZy/T61ZHDzM7
S3EFCgDYYmSWj2Z2RhcUSpcE9vYRHe/woSlCCVJUrKSfs6UbPsfiGGGe12MaMegiWGzkAbczMnsV
YBSjbOyljK3M18PEuBTNoYVoa4UALIF7jqK9zPJZN4zLuRLmMnR9NP72+dKZpHeJJKxeXoSGaSOl
iKC9Tgbs65gSSBgjYpwtyHUD5c0ojYtIM4GdK1OcHhNryCXkMYsSME4nC58Wtc2eLSRMoS1bRlWc
lmaOPmukbcdkSGfzfLRKydP0WVWcVCsiC5OeVrbsIaWq61ix0eheXJfRTpmrCK2LuNJvlSGtEp6s
Wp+FMBUepzSxPDkUTC1okPO+aswVLnltCeqpTXXrdunwrvQkFQ4HF11K7FnGQlZpRQztvWaFEOKt
mMezO4SWW68wlVY7LdTZFQBHdidXSGop+SEXV6Cg5ZxItE70xhgdSR5S0F3KfKskRXaRdWO9Bzff
+1okb8TuVuPN4xwH13/M6xhovq5OSdAtHXiAUrZa2tvJqPlrVkr3uojuqT3VmUkNXtKzCx0LOOGA
Hmz3VOla/oxVm3VsG6MekObsSo8crPIkEwCsIyRt3zhN2YcjlmdDkYG5n83bwlx5y1I25ddlUZao
nqAfXaGsXej3wppUmQ1aIdt05S3UWw2QsfdTAS6fCn+iSh6qw4gBx3IkFIE1x8p9uuhjoJhZe5eW
afogZbr+WKC93uFvXi3lXdOL+qOljStEYVWfe2Ae8hxd6Ql4HEeqhSrG4tgkn5czubrGrKv4CImq
jEDJypkYZM3Q1CBigcCHeVbiIzh28j4TsEzfJVO7otvS6ahjo8ZOYX+xFBu3rAx5gDrBYEQ3QeHb
cywOV2rPurfLQWwmx0ww2xpUQY7cpKekaEtLmbtTreluYVHQ1lvLOmptNbipsoaeJIVTb0OogLeb
cji1wyhdP1v0DhB6sFZYRHI49zcNnVPoWOoiYHQ41CijmGrsq/M0wIaOrf4qkpjXzhCaTPa8j57p
ztU0xrRp1hzcBzSvrTIAa8awNgHUhGI3d02N2B+khZs+nof7VhTq3hOgG0GyR2re1WaFZEgXlfSq
i+Mkt7tCt/6oWGuNbeQtqLKhLp8FBdywGf0f9s5kOW4k27a/UlbjhzL0zeBOog/2pEh1ExglSg7A
0Tkc/de/FcysKipKwbAsszd4ZneqTAkBwOHNOXuv3VstSo/e+6Emh9wES3X0PXrV9U+ZoW1A1LC5
v+FHa5Olp53yRyXc7AmnVE4ghjk5HSHRYIYXoFUnav40H58VWc43neXYn6ax6za20XS4T9L64A0R
zh7hRgzwwjNiIAWAskMN9WYku2pRd136cxR4wTLKq4sw8eoLkU8jwutCNIsxK9RzwHCCg1OQi7Gz
0Uxu5JA4OaHmofOl190IIUdUF0NhJntFygbo+8xS9S7EZUeO/ZSNu9bNA3sZd9b8TUZN3e4mnU34
VEVmXMV6HqC/zqJ4iFU+Mmu29RfU8VNxYdaxeZ12zrxXXdIGtCGD6qOrM158hz/uylIzVG7Z4DIN
DcDvnYjTG0vx+fIi1c5Tw4jJxKtSvKwSwLeF0GY1FWnORNFO6a6f3BaeyhhFPzxaXvG6yAfzeyFI
nVlwXvfkvozG7pviRFBuwprJc1FDMseR7hrAwaKqRSnnNz5e7BaCZFMGCYvlIdViMGr3ixm1xXOf
D8y2ubadYhEVKsXEJtE/rHTfx8CoCubMZaoi+mJmknhX0ejyHb6/BJ7YMPlHhwE1OJ3X1Q370xYV
PGICsc9BPy+qmVro+5c47Pl/s/c81tSOXaHprlZAKCVo86GdnJ3IpulM0fTgSf3tP+/8uk1JZ7uK
5sAud2PxylmWEAdRiiw6T8CekpX+kCNW38w2gRGUHaApxY5/0TVsDaMqTTbSQlMVep21wJEEooRV
cOPOWfqx7gNra9htAfJap7vMo2TOK2SVHeR8gbZT35hNdra/eNiK/+4xHZ0URiI74xRl6i7rhuzK
pEO78DIDzIXt9pt0niwMlZShxyzSe8U2FP2VGq+surfX77+nE1U1lNS/7vfYxhUyVOnOmzLzFn1f
fD0OdfbZUDgBpqHQK9JnxM7oymSbzWI6c1a0T+yoj1UeqDdy9GQuQJ8sUy+karTeJoUZYyXBUF91
ToHGE0Z6jPFDFcNT67n6ueW4Qj2ym3oTzaN0iJqJdADWZR6L9WgNabo0XZDrRNr06uOhtw7Vwfd6
eHM6F49GXgByMZO8isBj9P4Xox37y3yAks8h3YmZQFzcIf/Vcz0Is97uo0sX5TOTK4jubrTZ9SSH
QlGdQ1MZB41KQcUe51S7RoyKULt8Seitn8uIPfFxeIcy1pv97YwFrfUdzg9R6RdffDFCvjIawo0w
OZ6RJZ842h3ngzVjGjQq1Bk7N6BXmVFsi9JiI2ukL6MzBWce4okbCQ5//uZGBHJkYjRruUt7x70S
euxXDeqL5eCzyXz/PZ06JAdHRYuynH0jd8Z853gzAIQBqXqeOtS9p8oCm8Lysxy9bLorywjGTFdF
+yGcAd0IO/5x5iccJq3fTALB0WQW1EYb9VSo+MpQltTxNG3tqEzuLNmm90q07aKjoPtUWmVHacPx
rjNVePdIwmEPkXy3q1GlnDkcnfgsj3H6ZSNSBmYrdwbb5kWYm+C3TI8EnLwyllZRZWs6t39itf9q
BfBYx0Y1LJBZK6pdFzpwYnwRomutaNc2cfXw/rM9NYKOisPtZFXB2DiHImNmb5QAWB8jzSZI3Tpn
MDi10h196fUUobWlyE1VcYRIkupqpWVrnYkYOPGh+UffchgP1AICv9wp5SFljKLHqimiS50j/xkm
5FTvP6dTy8BhPLz50sp+CEvF6X5H0Ou8NltzuMmFcU3K2owFxqOYBhR/6SNJWvp9bJ/5vl/7jr8Z
+Qe96S+XHYvRSnRZ7YrYVB9lmHJDvpFxMjFyd/6cIjtPFpaZoUCaBpGSsZvHFclOkrivJRY1icO4
0UR4xKn8WYZV9bFyOQgvtN83BrEiPSrm8vVAbUzMxXOZM+M7nqq2U10Md3Ux9p/BHsSwJxskD7ZN
r4I+uZvECwdFXL01peZsFhgq4gRBSMu9JetaLAhDwPc3trq/T+NOfiyngq6TW6pqPvNCTnyI3tHU
F7UD3SzyfXZxRREkJwBoU+t2vnIIQ1xmqcw+qyQXZwbZif6GdzQH+tbg1FVYpztpzz8cp72fyTrm
+JLd5EZvbXU45F9dQeDf+4Pt1Jz7Ssl5M9pMP0MsGNKiKrvkygq77t7Ea80FwxgVVVpvOp1EmzyS
z/EcGJ8jCBOLjtX67v3rn5gUPPvXUSetOK/nMZM7V1PJykQFhIp+4sYu8vRMQ+bUJY62VQ0tl3Ds
y2RHK67bx6ltLtsirS5zv5hX79/FqRFyNLXNIa6pujMAbTkFULJBkTOoPHlVN1a9H8GhcAB0je/v
X+zE/bxy89+8sRIEPyf3UOw4OwKHHEx/H8EkWw6jGazfv8SJme7Y6IYpdyTalK5pQcHpzpqxo4el
Q94fIW+Y0LFhvX+dI9PFv0qc/6mPUd5oNGyPrNgvL7N6crCsVbAyK9fdlIZjXHehlhfa7G4tPvy7
wC8KxKVV/bErEdRWQ5Gzi7R+lBwxFmVFwGXYmo9iyCDHL3ykuLs8wZ2RCPlpTlOwfG0O2rIwSzSa
+H6nToC3bQDO4V7ibFF46z40wdR2vbwl0+l7RgmWEy5BlBnxxLu+IhgPe61adAh3VyPSjfuS17tG
KclyTFzTpex0s9QaK87sx18x6alNwBn0zEA79bkeu8LavK4OQkROAeBlFgmhQaDeWyi0fl6BZMzp
GiSNbe4aYwD9rXLjCzqTDkFobp45750Y6+5hWL4ZflVP/MvsWGKni0AQ6TWXH2abBEu7M4GOG5Jj
eVO5/Y/3R8hv2XpsqA4skreXC1RvVO0kIeK1BIwGvq7WDgLsXa2xPg1kiW5bXwP3Qze+coOD0ZqY
x2Vh98AjU5842LF6QnwZLXUhmyX54EDKhtHFDuDOX31aLYcWYbYC1mBjcKogpJJMduYzOvWojjaT
UU/aapB2YheMo147domLsy8nsuG8T2QapvdzToHj/Qd1cmQczaQTpresqJXY2QVncZReemvm7fQt
QBx9mfZpf9H7Ul8meZJ8GGRRLeck0yuVpufu9vBGfrOBcI/m2UxGaYr+n7ttDX81pZi+C/TKZxbh
U50Y92iOVbqJelvQshCWoHxrW+mumodmTTYsyXnjGFzWxoiTtJizfeMpEhZd0z9zxDqM7d/c2mtT
+82YN605JWOebYzp5UgaurFEppalq4E0uTP3d2LKPTaVUnTK3HkiRwoWk/3Zie3x2tTxdx3OZY/S
2T1Xb7JODMpj3Vk4lciJ/CDZyQDxh4rG6d4Z5uJyaNp2ZWPJ34ZeDisRreJqzsb0vrQ7KL1+ypbP
rzPaGNT2F3o0gFGKwLnAyFmudODH/+WzPtqHOkI47RSyXOdNmd3HMBtg49o5LRPP+vj+t3LqdR7+
/M3rTKew6ki+THctGb3b1uhAmOEZuXU7qBjvX+LENu7gpX97CU3aM5nUKZfQmb4IBgsdjiGjje0V
EVmEqb2URNqt6RnVZ6546qaOJhujcNRch1AaeH1E4422vGDI6qXr18WZndQp8c1x4LkztqJ3UUbu
sEckj5Rgi20fNfZd3jQAXJH6riZSIz9wXbWnyZ7s7BHisCdCCPABSIzRtaCEBqOLgQDfiFv63ZIi
QrtqmvHc8enUh3Q0DXWRIq8sNVKOTx7V3AE/xpQF06by6fIEZEFu33/Dp65zNB/FvjLsQDB/N9bk
0UwvpktIHNYmoZy2BCJ1zr904r2+Gp7fDNaoKNGIKS+letvNe0zN2cKII/DRQ16cmXtOzNzHWL+K
bmBLUF+16/shXs9t5F63Cn7e+w/q1A0cJqI3N2D5/Vgy6sFRk8QKESn0AJKwQoTTPy0Qf7V6YR/N
GVJVrYOhqtxlJTEgHhnZN7qebyFg/IlF+stXONzcm5sQ0dSFzZRzE0kU3tYSS1VUNfNd3xfn3sKJ
AWUfTRlGks4RjtBiJ1Tcfoxjs0b7fmC6mOB5kIK2+/ffx4kF4HWn9eZW+OnN2Ekn26Gz/EBM7g0s
A3+BhT1f9XVMrLh7jrV66s0fbUlmn4VlmDhGuAcIoV2mM3AvBTCQuOAzQ/eUgOBVhffmblphl21Y
99kuy9DxDcYYX5hjCja4L21Me7pdqkPLxqa8sE6ldQDouMQKFYSI5kF4dl9+6uUdzQZh4lEWKDlG
J5Wqx8UQhS2x7Z5lfY1VVUMemLJmj5eO6OCk6Z4LXVlfvU7XBAN1rvO9nYzhIpIe9CTJmQNpXM4x
IhQWBZT33/rrRuI3e5iDlvntCK6M1ON4j2bXgYIkSfP9MLkdvfts3NiNbNZE0rs4pDSiXr8KYTdN
BH61Zncw4g0LN/e8FdKtCRMDr3HI8bBnSMc+dcIiZ8SzIUQUMR5K2c/Eig9inYmMgHCZXDaDvlJ9
oReVhpmJtX5h0i286ifhf4LyAuIXK8CmE80lb1Bt+9YgBTIV9s1oAsNr/rRJnfyCT6zIr2vam4GS
EwJv4ysFZawCe49VmXNKlKG7NUHH9bP905hrzu4NGZTvP/Hfx/Jwdnndgr25JErNRIawRXfDHJkI
nrsqvExVYVbkrEsiJ0ezE1svzIFY1bFRXFtpBTk1MajvrR0vBdMM44VhQMsY/jIrrbUIxpoVdcgI
jW5wnF/QfCOEzDM2fSNI8s5IqnYgyOTDVxyATgCI0Ii3rQz13k45FywKarAvSR83wyJh1b7zlNHf
ImtyPuSONd51yvdeElViUdFmn+tlq1P/eqANTf5bq7tkmTl2fFtEhgfp0IiGB0FrtV9haau6jSG+
0yUtK6LPY/umbIklp8Uu6UHYc3GB66nOVhGYVvyYDmKlYDJRqKe0D4E9p5IYnCkM8l03j3QFMdLO
+Yr8T0kMgnZMAn6MsPjhU8hZjYFnkAc1OvpL05vpc9iGCCkN1UT0I3D+EAVnzPGziUX3Y2UWD62f
wEOf6K9qK7qtRQ9Uf55ssXCbBMBYP2HEXI46sK8qonJxWJqJiy2XcPZ6zf2lL12eW1dxJmJv6RPe
3a0QyTQbX1XJs439nb5mnCHV8whMTtYONsrPXqsIUEsIM06SUKutWZSUKizAF4TtDUNDOlsdq51j
cDvp0FXBMmTpSu4KZgNrWcZdRlaxU44/KrNuwZklvXrIgqynVR5GZGQjcom+q1jnZLt4Ub4TputU
q9LyYyhj9VTg3HVEM9y0kZG/lHXjfc4nTqELw5dBvMSjmH0MsxQHKTgy+WlIEw9O+RCO8aojIvip
rdoxW/azqL9l3cSnMsucIOdGTP3eGjOnW5h005doEpS9QaLTMaRn26dNSRc+XzAgh8+TZVWEeVh9
+FTbcfoTTqOdbktdFHIVFDrejW2JQV83JW15d0KGsQCHlCF3CL2YWAPRdi7ozWl45MRRomHqUpVt
OJF4gObKwh23cnBTQE+9g0ssE6679JIgvR78lGBTOiUmtOFkhuvi42ZOgYY+Cb7R9Dq0SuwRZj2a
zr6fZ/Pg3RZYQqsiQr2ltFF+S1sXv+zYtdFXsC6bOKTuvazHcroLo2mSC5lHwbYnO9chet2FX+7r
Q163lRMomNeT3FDVUl+mPhXP2pzTjdHn2aGKlWRL++CPvehpp1VLFQb89IE26MWQWna/dKh03HeB
qMMd2zs6X2FjBPm6a2peKLO3+y3Kku7JiCH0LfgqgovMtnBjy7KEK+kEZnbrw7D8HHeqv6Tl2BBw
ETZYhOkmRR9Eqg0i52v6obS2oyZ7oNJcbcvM8L73/kTUWiINgs9g+1Hrkyp96so4eKk6T7JoZwWW
4THSGn55W8LG0YpOwaaN6lkwa8f1tRjGVG4cI9f3witN8PTUPbzlLCPAy03YYPJvsTqIRZXMHlqK
bpCPhhoRg1G9KZ6QRBtEpMsk/BZaFSdN6btqxqpw0Odoz/Vu5/Ag4q9k7+erLACIiViuSdZGFHtk
BLXKu8mLkcj0kRkkXcDAs5hq6t7AXZJr5GRdDqBucozaWuUOroF1NYckfZtx/YhlBrl3bwZX0hkk
GZNR0b70veVFixkW02ZKI5M2jwV1z3JdnS9mAqZDiEKMhqjtqZM77XDduzpMF/x74dIeY7FrYp3Z
F1031+6aW0c2WCdN/hJF/dBBFLK6jabo+IXsY5OpS7YTT0j1fbh3XPRRi0J73AHDt78cZynCBeIc
79YEXANCsWmHfeGMGRiBKPXu+eoVEsIkUtmyYCSTCClCYobmsmu2gir+N8/rr8NCfQQRmzYr+DvR
5Wgb4kfB32ckIOZZ+FaZ3uKAd77HicAq0Wd13cAXs729QF4P5T5hnlpHM2HqNMu94L4etUw3lXmo
eo55AN1VsaAukrrrY7Y6LX0DXcppFUWZoPdewKZcUJ0xP8fTYOe7tohvVeoEt4XTW49pRbcRbGJC
/qld+wzFLI/QCVD8IYhPle5VTreNgY6x/W40c8890CatL0EVddXa00iN0FKpWx3b7fWYTk8IFg+y
iSgrHw05Gxm6ykS/5KCdyJ9C2FWh+ZbF1zzK+XFVKieCWGIchlQYSfGwGLKrqQbutBjT0DRWdiu7
BxRpw0OSReNXUbmaHKrWMQhtkl7TLkFyDRN7zzwiXDY2TNpTlTB3JY8AplpefhvTpn+cq7K4gdYA
f02YYq4XZTmodDUasUHmBgMHsLGenEUlq0EszWBMDjz1LnW2NYa07wnf7hc2Bo0NbnZkCxNmGhzt
1IuGNI1SyXJpRjjfEVwE8d7tSop9dHS7K/rapIcMQHSpnhsLBGtXad/UJRgBWz/8n6hnYLBrCLd9
mRWf0Ovw0xKjrD+9vyE6tQM72iNnMbNkZ/rRNguZrKzU+u5Ca7iNmLv2hYhdmlusNL3sojP1ihPn
D/Noy8vUiQv2cEHWo/peIgT+yTnX3wd5+v39WzpVlTyGYw2mqxNMxtEW1jR6XcchbqFI5MZPLf2t
9QMa0G2fr2pAGbsUueEKDNP47czFT5zbzaOTtYlKFPAfe6jeGh4FqL3l1CeYWeRA1IwwSa7svXRt
CMa2zay8z9VgXg5qCAG7SZjLOjc20uyf3/85J16veXQIH2e7Lup+8LfmULHsiN4HJV3qmyhNqi3C
xXwZm2m3EWxSzlzxxKELcO4vRxqWTbChtsQoYWTyo41PaOUUI3sOJqw9qv3xvxxHRydz0BumYxNm
vvVat1wnuZ1fs7fsV7Wdyvv3H96poXpUvZsPLC8YRuF2nieqL5F/m48TEtd4PqeuOXWFo8O4zgrL
MWgebf3QeGozx7nLcvIZfG8yzxQWTr2Oo8qbKsqcnplLAyBV9noIdXFZjZW1wRVabS0c/WeOsicK
GMeg47hxXF0no7EVMvnMIXZvWPBgwiJ5AYg47aXfBmecWq99yP88NP8Hbc+Hv2giyk92cYdjU1W5
uAuipr+l0+RDzNH+zvE71Kk6K6/xoJF00wjwM0kyrhwWj49RHv0shoY9S9rKKxg61sesGBw8Ps4A
KmoK1qFAvQCjclqJri3WaKL9tZ2n/p3TjkTnBfRaferSKNbKYD8YWbNsJ7dYHyC/G2XBHIbun9+K
2SIuOqjldQwaCxDdNFz1Rj2uk8As9gUA++WQp6yqpTuvyyEr1hKp+irokEpwEiVoaNbTuZLM4X3/
7qEdJog3x14l8gwJXW5slV/qvcU+c12NoIkwMeqVG7sZaR8TRlsJQlCnrfmQWBYbsjBJzgyQV1jg
737B0cQobaHsBsjDth905IACnfNbuoROs2hwU2wDy1f2KmwP3C7lav3c2z2hbaPfbUPgeJwgJkmu
ceZ5N1FGffrMz/r9dA2E5Nfn4iRCt64xJLsmV9a2hKx1j5bTPlNuOPF9v7rI3zz1TlpGNMZ8fR4u
gWWVJ0RuOVO74RB8TuZwBHf4V7veOppwOwy+iZPMctdALV3xUqdNLSiwR6Bjv8cN+lzwWgPeWjWv
qzIWXzofxXE2miBm7Xm6yG0OdnHYiO08QM0tdESOmehIEc2hKfUiuqvcPL+Hr/q98aJ08/7ceqrl
dcyUTGCQl11Ov4e0FSL9kO3BupPD5g8b9twGd40DKjxUzlU+ud4uSmnN2KlJtBd74zvHisYbJLJ8
erEbfYBsBc9LR9aZGPQT06Z1NPWHYpzdOeKhxmEd3Ed+h9iCWunSjmb8bU3g7t5/DCemzdcK6psB
AmylkMK3g20STXeRaxMBCuhlEfge2dye3M4CV8P7lzp1S0crQRH2nUV8Qbw1m7G/Apqql5wVhw14
HnyHmD3+31En+x9N2zU//gZ0Uv9t05Uvz21alf8f8Cct037z8FfP7fPffpRt2k43z8WP//n79nl+
/hs8zbR+y7l4/Uv/plD6sKn+BHhb/86Ugk9pW4DAgZ74hFf9QqG0/gEQIwojAgqIg4Gf9C/KBZlS
4CLhpJqWY/oWTIa/Arl4bR3+e6oObJ/rB2Bm/QNi3HnNtXq7aJSazTK2DOjWtC83fWcE5U1/CBSB
sRs7wXhhxE6ZL0Ud7TV1TDHwRwzdZofvCNCvlShHLDUx6Ne6t+WlpyJj2lhDQdPac2bsVRjabylq
w/9NStGshxHsHlvluVjRzzeMWw1NYx/nxki/sIRrRKWKWlRc+0hdWrsT7SJAYLTIp1lXf0xM/0to
+TtQ+PcG7b55Vr8M18P//sdwdUPiiWjpH8aee8BgM/L+wLI4hKNFMKsYd2COwoMS/Z/M1OAfAEAZ
4//8jxz4/mSy2GQaeaFH3hEYKaxZwV8arf7rYebtcPUAf9mmT9oHvxBEDN/m2+EatJ0HnMUsVwqd
PeGoDVtBUXoV5diy3SdxmqMWjXW0EoFyfbI3ULPvvFlkyVMQDf0I1CDxkvvAUoV8PKQxtStIGU29
tXgqNvEZFeUfU+u2vilaM8o2QTkJwdFKj2ITqTTxLxK6qsGFP5OyQTSzbhz1tVOFOz3ENJwoRhtZ
lF9kpTTcj4C4NCUrnO6UHFq/oGWDDsj6Yo5EyCwr2Znzpm0Mk7xP7LPxdSc6lyjMyIb6LJp8dFDb
5xTGO6mzu7DRB1JYqkoo4G1uEBwPG3d6SpBAsroflIMLMyrwl9IwbSkWOUP8E0S9o9bkonQVddOp
9d1l38taXXvQAuS9auvRfQI12RXrSam2JRS4SivDXDFnDBTvBVFIi6L24XVldgl1rMN64q4GaqXB
lpIstSMnN+JFj3YxZWctuxtjLim/IwnuoBGOUxLym5PpVufTUy69ithcWWbPYT32t1aW9dOqpCta
4hIDGr4MA6N6cfG1XubazUIwsnQ4lpbT0waLye1LV6qs2DRC4iJQqPFSK9lomidkONcpRTNC0Sq3
3orEJfpn4EafXGXloGH7KrrucZTpvcwkxrg6NDrxMy+Czn5sazPUG4d+Zric6PiOaxUWgVrEvcYd
16sAc3QAUYaGjOPKDafRZlqMQjKchOgoksqo4NJ4qB1CfXVjUq8Vus72HqSMp0aMBonDkeUUa+HY
cMLrmI7e0jB0/JAEtPqWCqBZv6bBEL7EEt7u2iGKixTVyoEUhr2kpO6FQ2oZKCf+MeJO/0inpwHu
iyKY3OsomtSyQUderFyo4Xrteljn+K/hF2Gaxs7hNFVs4zL0m4uI4kyw9QUSvJXNxhJOQD9Kcl1l
yAWgrw6b1Ad6tAJQBjUtHA0QFk6MWHhFERQVlqloiG2GMg8fpsEPrp2xrtUqgo0KhlOQELPoUDZ3
i3LQOlnYRZLfglPNOLbFSn3p6ACTBl1OlY0HVcLQxjqt2u0Y0EtaCleY3UIPsR1cTyyC06pi11rs
66Kvn20zoKCOArL9GWLAxlbqybFeFrOOP/ntFMQLsp3qpzmhv4uVuLYMnOjtcJNlTUQ8vJXjL9cT
5i7XEqF3nzaxJFQWkzLhsaAsKeQpEZIkRcvYXcikD59h7XcJq+A4QKzoK1QUUvv6g2nkHK0gebjk
MbcMsk1vw56nRcfscT0QtNMvZIUcf0WelAedya/cpygLbLSIYdywXDYRBvROI1reNHBB5aobpvF7
bJuJWCWNR6VVjW57V6Zd+01aRfRSuyqgdWL2w7ViKLQ8XUkoB90JpLe4lu1PEpIomdrSnhKCKurp
i5+qgPQeI/UZ1Inv39Fd66vV4Mdgh7I5ipkLvVrj8s+zoVtmtdNZ+5I7q5d+k1ly4RWJSje5Qa2N
QBB+AZzUuojwKbfzTdoNUbZMD/x0eM/SJCUnEsjzaEjTMZlcvyl2lGAx4lbM5d/dHP7qEjduXS7T
mKbMMlJiEKuq1gUPXkTYetg+yJvcrSDA5jRe4w1iomIjEt/+pryiosQ6uM5nSs6+RRuxsy+nwWuc
xVwq/eDGgUEaG5MOPNwMUj0FKabCZQ3j1ia/IbQeSLv0V2ketg/sOIieEw7GbM5IsuVW7YADEmxt
8olivOuLycxJIiKSJQRsPXcconO3iD97mCPiRclTA1oiHRA3dP+0gJfvMuboXxh7O5ydpUrnfm1n
yW3JSpXah/p+TGOEIKGnekodCqEUeGc7u3EoNFzxugSBkua9BOF4mwTZSsgaGHMu5MPou5d5ptSd
DMuH3NXpLTYLzvHGZdUkH+KWQdCk9mU71XfxQNAbnSaXUKb+zqGKVZrq4lAfF4tB1GaxZP7HZpI4
hOyxs8RJrtR97FUXdEH2iZhTSPgoR2kKfWSNk/yA+CEow+yJXuDHWozp2uRHYEdZSlpKL8Ict2SI
fDQ9D3V/Eix0godExP6tFYO/jbxvqFAeD6LUZYO4l0nErne9P/PJWvJ6Vlm8kRrIxpx9q3z5pGGW
L3F/XShbuz9qa9xMTCbXbRAaF3Sc23nVmUX22RUppsGkn5Z4wMXeH5JHxb9gydgTi3kKE7GM4RrA
OisZ74u469QuaZwbOdjWguMmXi5Sd1tKPH5lr/pC2Lf21IcbMAh+jMNeirXbewLAyRje08mzd/MM
5QJTpoEJznwOgpmNalCRmqorEkrT/DIeqov2oEdy+nRBZ+I2T4v7nLqT0U9wZQbSQV+6xrumx5dd
YuUe74OSFcVXIw3ZSt4hnrnJurR7LHq05GTRGDt3yp6GJi2vee39Igwq/yqW2gYcPQ5bOkFiYaiQ
sAvTvU/KiPRqz5+8bSSbrV0awc5w5ZMq8hwfDytvmifpSmYdwLj4sbGLaKdcClZR7H7Qfa9QvRTW
vdXZ4ZIj+j30EtJnwqH86tkN1y5UeBcbLCczpJBl2bJUF3Zz04ZRky/RHjt6RfGs/dAPePi9gCAS
N6ysLdkf02ai7XDdGmN1azb6BfiOs1dGuQK4wLwzGZLWPB0QpDmj+oEy5xZ/v03stOsSMTmJ6oNf
Dzl1MtIFCw20AJZ1epeJEXJIauf9TaWSYFUnMCPqqKW9GabDnQRRswLE+diMySd6+Ma9xVZ1Gfl2
s07T+lPc9f0iH8T3PG+/mo5iS0MUq/vBEGb16BODtImVdF4CK37KzGJ+yguDnG7TZf8y25xCQKrT
/e5Jzxm2Th9hm01yCQzL+Uo33gbN6r50NHvhFtNKIzsxjYTxIchyVr0+91feFAIoz+Kr2jYl4RAT
vx/tRZxWV1IN9FHpsC9tZ7zWFk0l5AFRtg2kA6XAjfaGhGmPC+W+wrK5n4y6WuWa4g8NvQ3g5vyu
8wU5tU7+EA/z58lOfqadQYaAMUyPtiezr6JVVtztaWRZQLg9NafcfFnbW0VHrdyDtvbo5zGh2nQL
dVKCojan2ryz6ZHLa5vaeygAvyBk/qlEheWYWZDko9UQq5Z31FHTe2hasj0u7KIZegegBN23n7jU
bHAihEUOxLqzVZjr1ViZWVneqCak47vBgdwHLK/S0NX3Pmxa6InYD6yxWLEncEp5A5amc+IFzfGC
YON66g6WMLuwPHr14VDI+yxxWvXBSUdj/OIVhQiG9VCwj3Iu/Gnu02ybFElluY9NASmvvgv9whzl
Fel2ZlnekTuFqeyul4D7sudYNbC+V9je4p8mIBcC1KoAXtha1/6ACywbFyrRzUyv2begu/euP247
p/YfsghPIiwImW/8OkQGt/B7LzRviAIxHNAjYf3ZQY5jrks7scxPdZq4xp9M7P891f7dPrQcToNH
H6riuUyf3x5sX//GHwdbTqIBQTpOBDYaaI518PX+cbC1CZb0bUjVxHHYnFDf5O5yGgZs45Ou+8oh
fT30/nmydZ1/UDOhcMYx+RDSRn7HX0gD8Zxfa3Ycp/gNlGM837YDsKfHNICwIqRmZu+PJE3M6hLf
d0edpCa1becbho/k1WrkBHdFH2ggBuojcYmPXiIIYQokumc9d5W0XmDMNNZ2MCCQ7lurtyLaJxbu
LfhncbsaOAnHK84DhruuQu1Fz+OUpxM2JmGp22B2EuuKeIvZ2LXoTmCqoA8UyaPM4864rvjCI/YH
RV5VV550CRUs08CCOVYLZibyYq1grwa7/RB2Q3ApQRTfOV2q5z3BE+6nqmkNPnwisMUG225xG8Ra
hfD+ghEFxf9l7zyWI1eybPsvPUcZNBxTAKEjyKAWExgzmQmtHNLx9b3iVvV7da91d1nNe5qCDAHA
j9h77a42muqHM6wgWwJOmTk+x14hZyjVKOT0F9guZXzXCR5I3MqczBuVKRxIXRyTHCU8hCqRr6f1
B9F0sbvlfJiWfQ0lFtImHXm8Ue4A7QbG8FBE69LxeM21lacxnnK3CFG5acm2cudE2yYJd3vEGTUn
F/jN/gW5R/XUFlR1W9n181kvZ/qXIsPYiBpHZJ/DsA6Pih7eDFTWL0YIsBtsGQwnsalmTdpbOy+y
FDmMMFSgWwkuiMCFGlZeGAjP723uti71ofSyDVmNmRE4IzycIAFu9itTg3pFnRMRNKeqCPehza9N
3Idykc15dSvUH3Jwk5i600i+kWgV+Q5NAykNuqOoXNm0xGVcopwGz+JzF5zTwV7flNADDzgQcPak
5Ykdo3aM83Q4AdrprEgzZfmSkm16aFtRXpZOA9QUk7VzNOph/JFYK+qSbCnDqbLKn7pTI5lhF1mh
iipy/94rHAMGkUJdExnG6Jz0fMk/6Y65arx8IVy5rdaWtzMv4neSjSYhveQyED4stTLdoTRka2Wt
Zv9EWZTqTEWmdsfQdCZxhXkBnw3X6WXVlskIkjVF8uH5+cjyJSfbB1WQ7d6Ki2LOGOokarN2bWoG
uj1oHfHHxbCXzmiNIUfI8LgMjcapnInmbSQtGWJNVqwviCSIlUIflhFvak9IsRZM6HdNpt1e6iLG
dSvSST7XeLm+hZk5Q4i6e3qbU+KeoqG11PPYu7dIZRnTssyMV7S9ygbcET1dIGKkNH2RxuqlEWAm
1gIxepM8WmbV/u7IkBfoeWX+UGtkWaEt7LWHjgGMt8kXup1A9C7hhLGayo+ZiQ51Qd7wBZDAYZyq
Iaf1run9vuPGHNQZv81sBtRq7oORF8mLLwybDGw3j3dplo9FkAyx9W5yQ6FDF4k2bXSty+/LEtli
4AyV87uirZMBIxNtCvoSJwmwn2k+J55tPWdl3jzK0RuhRHk37BUJkWDl0WS9AfM3hrPXjQoPp21r
gVHH/gW5ptPcWI9ozfRqlPrGJtKvCO3K1e9J/479bc6WckK9DRjraHb2UsCb0vrvlvSVX40l1/JQ
D4WfXJ2WQR5KMbInN6Asje7HGlO3hnDM68+E17AGmF2QPWsrqc/hAgTEoIquCkhTSBmJk2lbl3wP
zXuBhFJ5oWnW3hjkE4iBTTcRnme4moqjoRqrt8VHLBXKNRc/Za2oGubSyIPS6ZJkoxPD0myrMY1r
ckE6jV8e2xS5ftnSA03sWPVZ6OVWiynLTAQy3QbvcvPuJsnQH1Ga3fpja4lvqdiL2LYOcTFh68Z9
uulVrIvt4BYpxKre6gg2z2e+KdddxItlar4fQKWqoBhBIby73bH+NnUmcx8vMHSCBOHotWs9C5Va
VsYPzNoJQLcBm12R7iXvrjlAVdJt38cOvK60xkq34/jQp5apQoevbYgmy1fZpjOtJo3sLi6/Kn22
SMicebZFHTeyfXOu5+XWm6kFQ1dvHTbxSdc/uKsBc3OKG1dGjF45juyc6IfAaEvt2NpNS2pK3a8/
vTgRL405Dr9W2G8XkFhzFfZ+Unz2+YTc1GjwJ7NMN3jt7qytCRiUpHhiHUhlLU2bUMvVNyY4WEWr
nuaxYJMwOxp06Vx5tYwo5nPGPXLKWCL6dVxtrUZUeVSkfv3KtzZJ/FJN/C2mHCpN6axTghCYB2ro
8Spfmq6WpzET6sb/XW95b7PI013L6OMxWWvo2bBcZR22OboINXtmE7n0lY+Wly5z0Nd2vwbo5Iyn
Eu35vadwEYWqqogsxRLfi1BfmvXe7qFDR8JKZg5Wg1SdkrTjY+blGkYUBSU3NGAPj6Faq4GqHnRO
yLnqvXf1Yn0Y7pBYoTP4sCDSWRBPKlbffkN6aTxqek25bPYZlytzU28/w1FB8Js7FohQs0ncbaq5
JQJ3yIMQhGpL/9KhyRpBb8+MZkRduddaeRw068jm/oxuF9E+imt11QpeTijJMRxJNzD7V5LRzQcy
HYRGxuOA1FlZmfHC8dQUR2caacMdOa0blKKWtvFlEaPDqxCoBT2nbrttEqnSCMw7YCrH9L33la0m
kZiurd35WKCrYK4YHodV184KQbMrfk9J2aCrhzyhBdY6DnHgaP34k58Rlxvd0s2PxE6zazvqmbUp
Z0iC2zZdjSOaVUT9gg6MxBrhZE+I5FMinpteio1NoSAjEyXVKY4VY66kJwk2JEuT+2009OLH6iz5
XbdAzAjsprMHTgm+xajN6+HBqO1GHavCmHZ52QsoNYvbMQwTyuXQjU2UwCI35RKmSVy8G1a8kHpF
M3MuR8UhFnvrkIXVoPHYVqTUvTnNuDJVzHrrpSl8Y0V0Yq4I3wZtRcs6L7Jk6o8kbmOvKCGDBZaF
CgvSmxDf2grfdgNTGnAJNw10j3R2nlFrgxHpUj5/6EWpf819i74WRmNmnxcTZNLG8VzYmo7UBApc
HOBkha2T+WPUFgCBvojFVw/15XOAE90dC8frPc70EmocvgftsTQaWUSpSF3mjRDlxq1R5DbSXYz7
DwSUyuS4dpXmHSp7dKezXMXtVlIG1hCOhPxsKNvGtwJlElgzJjAt6NVkPM5KWY/EqhQoxCtvIOGr
z3fOOILeQzWAdSIjEpVpJ4FQFBc6EtBtlYmUUnYe0PxcGjEKe2u5S0HWeYYt/F4NGdcjOXaW+j0j
jq5/rYYmxqfVz8y1wdhuoE7G5TGliIiWvNzF0Krms6lWjCDsGZrmsZdtz+B8BBpOASzifpvmhhH/
dDJZpNsK/Yn+RD2B08GxYmU/Wipm2zQY+mr+K8nUn8Q/tBGkCd6+F4c2xyDV5i+aORA/Gm5hCVuV
v76AMGWq13jVv6e7/OPXkKJBZjUdls2v+4vWCE5hjbC7I0PeXlRNaVEuT4Y38OikqsytoKTHPrtt
k+ehsqgGdcm+IfYy+fxHh/d/ze5/GDe3+//c7J5//fiqmz+Hjd/+xz9EBy5bXBa0/9jcOn8jzdJx
PLanrkugBq3vf61ubeIuTd28dZzmX+IuLVa3NLcCRjhKA+K3/50G1/iDaPPPq1v6a8+nT7Zc7Bk+
3O0/r27lMAn6j+LG2M0GuckhRn2XVFRpWHkAg3WNI8qj7vuovEbt0NfKnHigQvv0hKSNKoHUfI95
Zszh1JblSzbMMcBMkoQiSbjUNaZbtMO61mKMcDBjP5PbVsIs5QJoswCTBKylqLeJrPBwVb0xYprR
1gWVvZxEzc/M6ZASOEBthIp7/l12vvNSl37+jKWxeI7riXFyvWreU+PNdsFCyG7PVTXOz+Q0Z3fa
NKobNTZLzsTXDe62hNNEw+eShmZoiy6DyVHyfbAYjodkAvlk0Tpjcpf2Kwm2ntu7L+NENG4ktbpe
dmuLXeRkTAtl7R93WDqWQG8FzEoWqDRVH0nWfpezLHJMUc2G75ABZ8eypsQQSA0f2h3FE3LkWf8E
cGBdPHdp3mjv7/DrOng37BxqfxEXaius0WPoNw7JFuDmEBFU15nEQpoFKyKTVDzgr2pyw37R9WNb
3jpbi73eJ7gCIqfqcoJnIEaDUXdN38gRnArsUUZS53R+9Ftfta11TZgwZHHD1CjnpwmU7l3fO/q9
pTMZC1Kqmx6osZ/TBAytIkBXGXq88/rZecz6Wn0KEWPgR3bDkRCnaz4EGN5mmKSNld6WsMnVZsBS
hETOEMlJLAtzg86z0o9lbGLG1m7P9g+riQ8aU+B3CXkmdvuRqffPEkQWeS1+3G2VbxS/KzLovzMO
jO64snI3MPlo7i8+L0aCshv1OPC7dBhCfBsHy1w0Mj78sfrB8dtqW1dnY72xoaZiRMgTRpsys9GG
A3Nm25jkhXxgHmL0wRADVoigasfPOqi931Df7Dq0J/YlYeEU/bPdrtVT6ZV5GWk5g87AtdruKFdH
vC9svuxdQs0k/65R+7/H6X8Ygsfh//w4vX7Jr2T8Uv88PPzjv/z9eao5aLXIZscIztrZZTLD+O7v
D1fK7L+he7k9WF3+5k9PV83w/2b69LhkHP3jL/+fMgZKwd/Qt1iCH4rKxsfe/e88X28S0P//dCUH
j7ElObwWwVaobRz3L09XVTTEM7pJsbGS8qkG7831Ulm3YaL3bwld/+s3IVj7Q4Dm/5UdxSTENbgb
CAsDmXJHUe1ciXdgnLhgyPyn7+D695f/z+HC/92bskgONF0+QUamf3GuUOyMgznwpmBNXVNgtLTW
zmMn439RNP159vr3t2QhYTINgTeHz/DPR5PvO4QPFX6+KRazL3nQ5ZTWTOhPgD1gsOZgrP73N/Zn
Leg/fiGnsYVUzudY/kv5NOGazGwQdujOZXnvN+ITaLy8aMKyt3SkWuCkff+vdOFMpv96kZB4pmO8
QTl1y5X/60USV2Sf+eiWbseFd2U9WZIdyOQkIxV9z9JMPE1LO9+pm0DeGvp2nxmiPC4Age9ib3Qi
9u1l5LRF9eYbWb/NcboeJ093r2sKuNKugM+napQHHwL43khc7ynH6Bk0xpIxuejLmPhaRL6Ys5Ci
tlMpjhxKxUcJnWXjmanPQhF5Tx/Koh0ifUJKHqhyMd5pOwa68cL7IFKr2qWWhp6qn3vtnt2L+Ek9
bn/afHUZHFyAt5UsqCWGkcmXF1fDl9eU32kx5SHBc3cTG7MTrtQphKrqw9qxhpzPw/Pwmjno0pn1
noSUJHYYqF3Aj2pvhOqKO8frZrZ+hBq57thlN9/y8lp7Tr/LlMzui1mwHmzd7GBLf9g7evWlNx0z
mG6+RSuwq37V3cb4kgjGn9ohcahK0B6MQaXUTxLHG4Bqsyi3qzOPO82Gvh6U1TRFmjti2fQzyNkM
K/Px3sn1brgtj0t8Tr4eogHozikDtRz7gV5ERaXJdyzkxaNhl+zf0xYVj8qdyNRWhvSyNn+4qwWo
gcUXg4kks6I1zjRavkSQkqU7gZzF+DNxabjiNDaeCb2+SaOb2MmI6a3ys0tft5+qMj5I3HkbcyXp
IpZ+f0wBCtznpUyuQ9nFB/oBelaDP9yPlU5EOJr+MpKNcrYF1CVEb/iew6wklrid+uFJVU7nBlVV
z8wdUjR2Q+6kHwlyRCNYRQw5iw0q+Kxi2cIWtI6+Z9VfZsJEOWiG3Pw5kTAxBgWzhP0cQ+QJUgBt
LAml2BtZljM37qXajJATIrsio0hvsvuM3FhE0uv4fcsfYyLgQ2nQ3Rn0h2VJ43HQB/lr1PX+lMeJ
CxOED3dl1LflFO+YmkF7pyrsZlCRJid1Xg7de+dOCBMmuqDMnNLN6Gusqa0RQAO1U015lq2RpaaZ
ZALDeR3mqbliusSxntRFiIgwfhPDmofkeZF1YFf6EYtN8epgOxNB15WfSgOi0TVei3tE/BqMut4O
7GHeGZEZkYMU6jnzq+SxRhRwdifbf4mrwpyDxBW7Ht/j0Sd/6AJlQDDpiw39xWJ6fs/6Mr4zmIHD
+l7r5SlFbRfhg4y/syxJ7xenzsNVecWJkX/xQJZZ/y6s1htILGi7cqPxMvqfWmq36cZUfpXvh1rp
DTqxaUBMiM5+mALFJJxJccEMc4ettevA4LtL9TDpaGUixGyd/l375VxurWka4129InLYxQ5MVORF
VtNcUthc+8LqfUQpbMWZ/KtS/+4nf/S2Sp+Z8yeZobdhJ8gouHCk8HmvyVKIMFaD/bl2mjtEi7l6
HoK3aqTWjQt7PrpZ67GqTcRVJxvOy3XD2ZWmjfZYQlSfmSySlrCvyfqovvDrjs8Z0+wicnAPeBvH
Nu0LkUF9hTzAruZj6sxxc6yBBL/VqE0mtKXW8lVNpuMGDM9QhCFxWX6OOvsnHKG99TqPse8dCy8d
fldtr54MhUrnOS9iPEqM3rQx9CpzTQ9S0wo7qryK7K40t0hKoCIoH0FQiEDL4hcornKnYzLEu2Rr
YdwPZweGKo7kpsEsxZhrHBBWQddnuOl7bdQ18zEROJoAH4So8uJXNCwSOFSe/7ZTtdIWpUhpOp+0
PC6nhX/YCi+wYQPuEsc6ylrEIcZR/aSNLs8LPo+DNmm/YMZP587W2iubfCPUyxHpXuOYezy9jKHV
9FRweTWDHs4JiC5ms/nOWG6c+dR/7sf+XrruPq4Z9PG7hL6tun7HjvHI4Jx9e82GsI5t4x5i6et4
+4zWdMcJtBEkcXvDfHJT7VC13qlcytd57t6dpiMGNVY/nc74sqaOeZS9M+R0Ntz2RaATeuEc2nXK
3etuUh5ciacUS/EYjDPTrNick1uPcWjqZrfiaQ1QMb0y9kxZwCRJ1HrrV5nJc1MUF07JHd3db9Qs
O5Rv97bdRlXZPjVd+VBbPpMS3d7NrrXLvHT8HHk2BFUaY8/ysMcCJwiKurfvpjr+ndrzcyaHe49h
3+jXD61JgphHk9ek/pskwyb0Y9UAoWSUnfT9g2i5jqZ17+kdsMFuFysUbGue/lx0MCejChL/14hu
IugcP0rX8pVh68Cge+KRWdJPFeRyEFRE4EZ9dpzlI3O9vWU74dQzoW947hYGPXiF8Xv4khOveDXO
aaHu4QAfZdp3AfgU6s125V90217OcDm9+6GfyW7R3bukYfBbWePFsYX5ZHty48DM7KblufojEpcc
k0sn4n2FPoNPvNoTTIACjKQUr1QfpHO06CjL44yCxM4EqAuDazhuNDOccUdFMwiD3bh0TYTaFk1r
PbuhcdP3NaILPM8hwMaXjBFLLWALv0M5lLIYkFctzbs3Q0wibC1b3o+EDVmTDRwuXqzmXK5MyVk/
lRgjsiOyHz/K6f2AL5fP7PtQihf1xZVasiMuejuu2UFfxcnp0y+a9W+m6N1jaqPtQ4UV2KZ5zN2E
O4pRMli/J78SJySn1n2u5TU8WTin/ALefF5vvBhhkLT0Le2g3GqLeFOx+mW3DQWK447h2NyoLcwE
wrVHkeQOhvdgenl7l+l5FZV4ndEsybu2JUlt8bXxQR8wcPiNQwx9zkfWq5PvIcBjh3jo1krfJe0w
PE5yjLdN05FmqsV7fzXnL1Nb0kvnrd4Ra+M1zuq90uMxtKW5omdzDp3Qmn02rwcJmh5AjPZpcdbv
Mb9NiMiMy7S6D/VCbKQkJgsBaU78ky5g7bR3OOX695QOKZwlq8yxN3cqnon76YtoGLN3zLj9FhXX
uwKuwr8Bs7OI5aGfstfGmB8rYZ/8ucepYjaMAPx4186meWd42mX20GWl7gCzfUifFqXfISA/WFX7
4FvqiCDhjJYCKAucDlIp03pG/yQuqJvXjdChEnTJybXlvlnm+6ZzamRsJkH2y3OrjN9FNu89q3vs
0vi1LN1Hy7HukkKevTK9Fv44bad13BhqvdFsQAJl6HpdPYsUAAy7EAd/kPt+zndrZ581ble4bCDy
+uLSpMldmSPEFiK7aybjB5KDaB2R9g05FBXQ3wFD6U/D7h4JKa9CYqjv86LceMLamoVxz6SiAFlQ
4chZtbOr18/Dqv/A863fJjRRqrFguBHsuWTn9IghB/csbzwRfkGY1qICtyR6ImVxhg3HlZxL6xlE
yHnNudd7KXkWNhqTlcyxHr1uIElmQYZrj8aeuOghXKQg/6olj2JoRy/wW/NF69ETAzrZ6HL1EEVN
iqBp22QHZ37rgi+xuMGNNJutVqH9bEtb35J24R5za9Z5KPYvZWM/1emoQQ+cMDLOpED1zDBTZJwy
e3DkjVFiItZN8DiGRQOQYxTTz4ktXlhP7WVkTXjMZm2zcmtzqfjvfVl/LrKOvD5fn9YFjEhrSYy4
N105AtNu286ABOEGvDkDAlOqnw/AGZeq5LzxXNT1BtAQ8tl6Y2/jRoqGpc+/zcn7YQ7lTvXaScnm
C5k9YRvAmnhMbfBbFUGZ4Kxq3QLqp2us25yFyFYKfCZdMj1JQrnZ7rsH3j9vBYFBnrW/yqU/CT0G
7uXekDmdRfwwmba4+wF7LQSpXvTc9wKn6rVgMEtWVFNPpOqwaAei0Po8iMl337t5Ue+a1c31qNbb
nJo16SKjgyJkNepXtY5tVOCvBJ+AGkXVbY0Duut2A6brGnNAjuq115dXaLnLsU+A1RCiWDwTUsTs
LkeAq2T1tI6QtwFVk2iZxua5wkNKnzW446tee8zOKupjnaDTH7U0mUqaVWpsKlavT/DAqQASer7b
vchVlyRJyIyl+WVgPzhrbea8Tonj//aAMO2G2YIb7VZQNxTTvVCkxeBvxA1enkxl+pgK0/0q9HLZ
S9u6kOGTbmddoCdXZvYrH1dviCy/dz8119fC0b7h/A3K6nBg/Tag4fEPtUjJLkh7XaFWMromyBcT
LAC+cKQm6JzPKev0I7l+WWij5YhqMmuuMb6NrTs7y50smuFpGHrn3gLNf5GF/0GUEGr3Qbd/xSXL
ILjI2GsqrBdhgj2AOLuhOUuegjt7aG7M8sJ9kqrO2ViOzt1QozttzHJBjyq7qNU6BcfBme7rzHZf
1dSvMJbTkSZKtf3FnSfvxHoXX2lO+PFD6ydVVMAWDK0443YiP+stU6l5qjXDeGA4APrJRylwARCW
PWtJQfkb6/rcMXuMiy1XrPfTNrQGvlMj3hauwt+eN8rNlM/mD2QQ5VkvEHKPwItOaSUz4tiQ3Y+I
UFKUJ0j78Qk43PtHmFvJDiaFh+Y4Hi5OPJSbMtN/jX3nbRNCoDCmp+I5XxbrvvON7mleTS1S/Ux5
VhkoVVc0n5P4nqQRb+CseMd+9fmiF5MZsd426uQQG/8oneo21UBX1O0g/3R1tNy+qWNmJ9qMWjpJ
qZrgpepct+qsV6Zli981rBfRbITD5XD1UlOp8aLbrPznqHNXBuseFjBYzoEioM3adKqAAlDOsUvS
DoNZKEaLZlx6idDj6hbCeBvsStkBW2HLDia7SR5xhZ0hM/Bwreb+gLtjgkhIeN1uMDvxVivHotnK
mNXHMxx0z202Lq+eQjS1tnUsza1hlN25Faiv3Uz0ETx9fdOojqWsKNUGE1u8G4kJ2hq+O++nUac8
wXkgLfxA/IyoQZO9Laoa+4qR20QnWje7mynOlsEi1h7jazdTLRnQpdDa+Muu4eAnDoDNdDB7fF1F
O+14q8uxsEW7o+V/wi1E6l4yi0OsMMRMQ7fJB3Ryeb982GL95WaAUpUGFn6yBm1DNqF1TNt4Z8v1
URQ0OaalHxOSJ25qtOm8JGxNytVwtssi081E5NqRsHV5aQcx78ZyLU+pskvQIvArNWVZ77GPZZz7
eZewnIxsPau3TemOG0IoFOZ3+zk2KYKV02/HLPfpKMxkACHmpyHgKvc0mLUIHUebLrLy2m0MPPIw
NA5pb+jfOCvXRbtDbuDOwiDsvdEivDRooJz1BzFkXHn2oofELLpbZUB1CZQ5VmGVug+ObZ+ko9yN
QGzE6yHqW/lmJLmOuqDxG7ScQj+QXOiduZUXDkwPYGDBJsAsUvtetu3dkpGsk7r6sE1YIBw7f0Yr
yBArf+ubarKCvk3mA2mcP9qmdyMXh8HGFca06UXR7BbVsfzvEzL6dKuCbdd/ZWqtt3CjoBJkiDHS
OMkO6Sq6+64ZH/MkcSNPJq+TfpPOsVHayE59LgMqhVafiHszG8D7+eztk8VVG7PzOa0nfdtUjCGm
2rDeVVV32/jmz1+YEwSzsO4Ydao7FPF9RFeJwxdD5AmX1hpafaFREjkOERNokhoqDmwgXJiJXsSB
JH498BItPtGofelm8VsSS5AKHs0gssu7fFHikvnxPYxl2glpTh+Wr+UHX6ULvp3J+s36i5ysDu3o
izPxFCTn6qFFfHIWGgGOBZv67aTDExG2o38YPJgPbaHLiLRF78IjPg8dopz2tDHlhoNgDBixlMgi
MnOjpOeQ/u3coNHG8r4yXt30rlBn5uDVfY5cj0Ynr39ocTw/sE3FUECQd/6B96/AZWjEh5g3j3R8
WRFQDfaM740/HKu0Opo6ydO6BMXht06OIkiiTkwqTX8R3chhqVkYCKp6fGKtaZ3oxdtNI73uLdEI
iTG0rrvkc40vIPYR9pDdxmAzv5lBzdxvkfdUIr7TXNSofde9qrHAMxAXVjhZHlenJeHOmXiTkrn8
MkHohRwXXG+AylbbujNwDN0TBaPzXPKpyjxsp9gdLXAmUaF879Uk1TgihC7ZLb7UjpaP3pKU0Yoh
RPNS4Bi1VuIk4ib1EJVirYIjqYVzbJuRWiwRGM76zuWQ79HR3xhtOSqaHI5zYE6UoCm3B742rhSb
Qrk3PiubHD1rMBg6WxpOtKa5ustEwoSoxHYsmNfnRgoQQ7TulfiF6s7G84NIoeyDFd4lQlXiOrQm
exlK48UQGUq6OqWRbxzqP9U5QVxLnhJcEiin9MBCjWgN7mt3E+ESZEYJs27JV4YVVx/8sWbD1354
udjnsXW1lPgEc/uDUsqhxCW/HQnIcJ/ayzdLPMxzdl9tYtuj7ej7H2kyg2AhUZ4oRpq8Th8Ohpyd
K/ecvKxNMZwlR/y+yo0+asGC7dMOKY7bwmpNMk/TrwSQFkc1ZxcnU29Wp760vBvp2Gb1VK86XriZ
AUc3JKQAlrKCajOY9+1IaERAyKcIoN/NgZ3Np9Ec523t1P5b3KvlzSH/BsOuQOY9UjyXmR147YLy
VJDCSabmkzuJVygGp8bA3VACk8TNywknExbSS/dRuwpHaTzv2glCAJx7ioaIge5Zebb47LAkY6pk
KQstevLGJ9xNm2FB41qsj25btiET+K2TMwrJ9OZC+qtJ7Qsry8kHIIpZ9jDLPmIAHkn+U+NwLeaE
yM91dvAW587L/Hdf6qd8dsLWNmFq5Meks/dirZ4XG/UklqwQCtZ+bHhe+tlDr43PU9q+yHoMZSP2
zFS3KRF6I+MQv5qOSZ9FZepu59j4NbAg6AlCU25/rRHef5omec6gj0qDw5ZA28jstA26tU3fqPUt
96r9OoHDTh0MqGrTUqijpD3Jjru39k+WZ2yreEKzju1s0ZaQK+OKbGLrO9UrUsoozeQH+nhUwrTG
t9ZmTY4wSsPKaQltJEdDU8PHVIH5KgBJE7PSShP/pW76R+W7L/HNhO6bm9IeuYrWCCoMAdotBS2R
Th6Tf9fkfPO88IYdDZLqu2KxfLdUfr+fkS1yahxnc27fZ8s6Vo7cpdN8sFNO9SxeDkliRWkDVBrv
bsBw9zw09Y7GlGs1ts41aEQGBuGS9uHEKy2S5gMxUpQgA+L8QJfRXtmGvnsaj0GRcGjr7rly6ke0
9tzUOsZWcPUBzO2t1xhsBQy+DLypnntevH6XugQGjOXVslr4n8g5y5S90SC2GsqOMx/lxXfi52GQ
VBk/rdk891m2BY15tWc8f+ico77sn924vOITZLqMCTRn+kyz45sTJOTknBAZQ7Bx9QRh81Iqpl+c
6NZgRijVbrkzOlrF2XpIUtIRVv8T3mtYcvMlHB7MR7X9gn3NQrQO9285F7K/9KLleSEu2tjiaO+i
0uFe1ppDHdP2o7QL/IXFX9DOo8RPWD1g+jxbU/459+NVJXXGCmE4mvmKbsLBcO2TVt23Jbbocdi4
jnvBHwBcVrsNMEkdr5tpebAKk7E2/k17HfIrB/5D6Q4XSUm56gUDBJPRGu++QOhbOP5wguz7SPTq
GEhvOrVlD/CVQSxhr7uMBCoMKKelGusQbWodMna6gj8423hAQjeZHxG1PKVlHHm5SUA1sOXa6ufN
aKFHHHyeprEG5jCFdL8dMn2fpWByLa4retuNm9uf+KEFE4nxo7HHV2nz6NRKsElF751sU3lRUspv
fR45XcbfS7oc5Jwf7MaPljr7ADnwwMboxXRqweR9/Cyt6bQWwsf2Uj/bPLVadoPsOMG6pT/UpI6Y
0bbAEK/Kz/eJiHlcsuwxMj+NJJJzz5CPM5640Jx9coez5dTZxgEV4S5GCSRW7R5/ETRttMe4L+yn
MavxmQOftJPyMk/Vrxw95dKZu3b5T/bObLduJM3Wr9Ko62KCQ3ACug7Qe9a0JVmDbd0QHjnPEQyS
T38+Oqu6rC2X1C6gLw5wgETCmbbFzc1gDP+/1reM69BLPoX9YKypu5xFgoPfcpSruXVt1NecTTaO
CS2lSC6icHyXe+07BUBmnbj9OfbiI+vfU52S2YoF6aGIk3Ff2pL9k080MV1BTO/Vtd/llx0YzX1k
zO/pYKOLHS8AkGK3r2bOFZF5CZ45vbNizuEGieXHeaYrp1FhsdMYbASOaXmfZxoRKsCFbY79YoIG
0HHsEpF15oegrNC5TpfaMvFMhvOx6UhkCnreC96P4qyfWn+PxzsA/+o0B9n61sO09AXNOKFCbwVy
Wvm2JJl9FO3aVhUFn6AjRVWznf1gkIA2M+jC+SI1HesKpREOCtkX7a4mVXhrdVjlbSPwdjSSaSK3
+CxzWSR3JUGGn3PHzm6KqaXqk4M/WAG7MDcqTe13w5S6N+iuwcZOuC/J1cvNb8MQUokBWAdsIYzS
bB1HxMm1ZvK5SMaow4ApBODPLFYfDd1OrJC61jeETzca9m6gWKxI/iYUOf0MIIK45rLqblu6h4c6
t31sh+H8HvcoEQXlEByNsLWgcRecmMM0njf9IMwtANrxhtKh8zEyEvNJU0k+1LoIxxVIkwaqtRmt
M9pwxTaNw5Yujyx3KCb1u5Yns53Y3myjpmdTZbOGVX2cfgpROFGxmBUMNYkium5wrw6kkXqZHC9c
NTo72gk2G7sofAfbmWhnEwzHtmBzka6kYTuQekyqi6xGV2KwQTRPLo7yoLL1Y1Fh0Yk4uZ8Prg4+
Yblifbapgsa5Engu4TBqUYwPppJIa534W4zqF2vvlLYrqVkArNBsDjCD1HmwGDB02n/NkuQJkai8
xl/TbC2dt/eqFCAfRN0PxDvn9dk0q/yucymsNjqlKENddYOYHBl+7aJXo5VillR+IiZKmpIUUF1/
/lzRG0QAHob6bDT6Alk+dlRpzv7OD9rmoq27iheIqa2NzY2orWNNzX03UnZ7F5pzfoEpZ48w4ZbW
kPMuKWf2wSQN91sTVc9mDKpqO7Dbfj/2I0kgAIy3di8rIPm4BLZuXFBQT6dhKymhbmyHUhN2Cfum
TaPgKgJncCR3EeyJP4x1s3LJyWIFHQps55qWWSXiC9GNmrVDR8tqguJiBatZHdPecQjOsrKLKBEZ
8YD+U9vZ7Y76T7+Lc6/Ys3cK14bvlqCPaxZ2YEnyaA5+nTICeppNmPDzcyjS4V2IWwbnjqr7r7MV
AbePIXHsWl+r6wA0AMc1DyK6mm21H/Qisge0OHLE98V+Fn0n2RZkNNO7JGaicSifXEXdKM57yDbn
AloBFN92Jj7bS5p82JVAnw6KBmi3CeMsYu9vd+LeamK72bijM6/pGFIBkPEcXiOhhH3dTAYWIXrX
xzEHaj5B+fhg9VZ5yAdsc6Groc9L1NspjTp+puEdm6j3N8B2qFK6U0lQa4Yl769YMaTbKItSQmhP
MBeC2LQj5uuIo0RdRNaH0Mu85IPj+3AqxoTO1gZlpOmc/VUmVmu1tCK38YDAivYGORD0xmRrHr3W
7+X+r3mZk9nhUKhospB+VpJyrTV8FjUC0JiSxxhYVvu/R6n6fxeytujU/7U67xpj7zNl3vLH/1Tm
ueEfVFvwzCJgRnuHI/cfwjz3nypn2wNQ5YERtdhcmCZy4P+W4VkopV3keWi/UOMJJAG/o8L7kUX7
Txmez8kZdVWANA58loluelG0/QT7S6WfZmUWuGh+8fGsQiBoJB3GLHCbcJysmyGdDXk2DMHQXhnV
uLyjCishSctgqDYGPb9mZYxO870xIg14ADPcMWPCj7BWKhA3i++cmpaywExXTeR+CXq5dNSpLJqb
KAzyhnpLmfOOWqF7Z1TD8GhOLScRXBEZq3FnV2IjQvab2E9b81ZKI/lQzbOLyYd6C1ALYg7H1ZJA
QMuybuz8YFmdW1xkc52AN+i78SOUcwtnzNhR5sxDH+9u2radtaOq5hVbKS0iKew6c89dLGHRvmxR
SKy1aub5nM4N5AHyacmjgl9f4idyC9j1sMxT5z6EMH9B8jIsEUz/Gb8eM0BJaTyhppVxixI56NV8
mEuM/CtBh9s490lOQ/SkE+dusLjJdT3l1Iwtv3sjGPYHp/HZo13IYyEdG8e0IEv7J5o95g46epkH
/CoKGw6xCrbPainc6gNHCu82Q78Mo8ooN9JO/KPZ0wXBV516FFi1Hxz4wdXNT2/BL/SRz3WLvoNa
MYD3gDqNKrKLG+P5aLOKJi4TMm82JQito0WtZ0P3lqpEMnJqaKPgz6noX2a4/OJ6KGA5r4cUiUOW
sufXY4s1FMi9uN7Yzzu0JOnHKEAxXsq6/4Jeqdu/fn/P9Z/L/fESmVzNxC5gQ0Z4fj2FvQ4Zowg2
Rcyt5VS9zkWts3WURsUbt/ZcGvn3SzGNoCkNBV8mM8TPL25f0x3CRIEEbsqCbQWz5Euqqd68oWh9
cRmmH1B4i6iVzmxoLt/wz/ODpj02U8fZxIbNXj6h6Qh5562weAoO/JyfBquw2YrhtYDoaHM5Rsjz
6+R6FDqdtQCdGiGP2nqjS6yAFWsa4BTm0/ZB2bjDPxbCsIx9ReLwd/T6drONMnrhNFDBUHGyLIQL
CNlEcjdejxp0HdtGLaKPGRiehsZrnY8VMQXkjFAJLykCZ9qMqwOYN+NbmHlteRXGjjEcYOF674U2
JEZsqRhAOZMkur1KuDYFtq4vrfUsXRrmOqDi+zGhz23odRJitdwFqDmZ7sDPdRkpF05xpx0kdSs5
QJJDcmc3pNn0fSTwSreLnUT7HgeWCA0VLXQXPP8FCgIOCGvXUAYW/X5gAuYMU7pE2q7NMnGn8zwy
RmrnOYbtg1G5U7yryHoHPVd5Q3m05rKyNnQ1M5rQqifL5ULVY8lIJFXF3MamJbPd4KdNAdl7wJx7
WQ5A/bduO8zFMdJm4z14FH0G4mZQNX5GA1cVlIP7pt2TU9NXFybc3g+AdYyeqJ46VR/G0A6+zJlZ
3Lp5no4zTUorlTczYMHssQyTrLulzaOGexMhV3YI0rxOr+a8ahaDNqE3ah01RLK0m8y1HWsn+mhS
Bzk3Q3s55yQ/P8bpJLJ3lKTbJl6zp0mPs6oM+4LwSTV95kzCDjeUQRteD8pDj9KWQYdSTGHjgcnT
pMFmToX7ecoLjr8cHdmAD407rDoj65uvUUxy94DQKg7UwTUmhDyzZ/WeC1EIGduDoYhyech54+ol
YwHla53iV91Sty3lQ58omv/DbCXjY5GlcbXt42AcOTgWw5IPYUzDddHOWNyxFrdF9AHjhOOdW77o
0MZCRaueeBZJXBwSqX0rxgtCNRmxqPINuQcuVbZf4qDwtV5j7NP5uiKLQyNGcwYEOPhV7Y0/sIDK
CvYGlWudxxtIN0N1UTgRiqKwU/10yH0D1CMwN3/fQxb39jiFKV814wIMkzxcBJeDgrIgDcPxt5LP
na07xGrVDvyEsg+wiuqPk82YROqRI/Eg+KbCE69rzi8Fm9ZFmk0zntdqgl3h6y6S5wEwgnhbNO4c
boVppHrlRcH0EExRfGlWogi2IyFWM8UCg4OSDHrLW7ladGdz5jcCvtwIHtOIKggAChROsqEbOuZ7
QnYMyk1hMyGMSZKJvXzjmFSjRAv6EoXyQCnabtyLTKZ2Rf2oDZ/oZsXNLuk6P94Ytp1xom5TlGxe
+UMlNauFBIRTzFtJ+GwLyCqormz86fH1AC3YvQfYbhsHykNUjqzcrI794KJrrfymzjddGcX3YuB+
13ELgX0fsM4Ae7IIaSrnK4jieMg39IMdQnmqmaQNEqSTwuc6C5QxSamSHEcj43BQjlDSwgMx9xx/
ZzHHHf4ZNXgAy89bx27tUm1UVRTxrgjStt8Y/tyUYp/qKrLiN3T4J4saNiTB9pC1zWKtQXF+Ymqo
4HNT4UXwmuhKXIcjpy9MYhrnsmW8saidhBL7P66FE5iVgCWU7e3JMsA+reGVgzBhdkO1cwoOdilY
og3QEfcRY3H6rkH3y/+z42MUGDSXxzBCfp80Z6+v5Cc7h+WDWPg42J4HHltt5+Smw9bsHfkDESom
3zswicefaVghwkoj0w8vgy4SbyUunKy1wsFCyVbNdNkkeYFtLmvkT2ttFlWWMATyXTq1E60+5q0C
u8H29Tt7eRW2X3gaIdL6Lrv/kz3KMEL1o1ANqlIPAgppnO0Higq/t2/gXgTpmXxzrObs9n7Qg366
l7ZmR1GUKbDURJq3XS/sM230/pfX7+UE3A+sA98H/hfXxSgC1ig82eOyuslqyCO9od6P6HQVeHkk
jh0ghHyrGj9sHkcaTfOZ7VHL21MwtJ8kM3h4SS7VIC9bVL3WHhwBEj88kFN4RF4ZDg+vf8rn5hk+
JM5mn6Ma/ixeIb6V58+VzCo9tkWBO7QtkF+HLQFkTWHtQgLt9hquO2o3KAY/Lvr/nXFQtZih/vXZ
++6T+pr+x391nz6forX4a38/g7t/YH/DEeYEQJIFg/QfZ3AQ5wtsi5NJ6GDi8pff+Yfz2P7DYufh
Q9Bi2+068LP+AY3mTO74oct53V02yuHvHcl/nIJ+2guzwASME07agQNrncHzfLzEkx8XPVPBiuJa
beyRbJffUhHqYFPR2z8fXQtycUcgHdVm29Qry4G3RB4M+qMhM9pwbXpl8R050nQX4+hEbykk5a3A
zvZ2MveUlU06a6mvo5j1M24PDYi4NUojRGScieKvbhW3ZyARHqqZbWcXmNUFlEfE744Tde+Rtvgb
ggeMr1EgzHd+U1k7FGXZmi/6I7tWfBcAfeD+Kc12pqXBcoZWLP402oVHn5A+XJL6xTvAUoChI7g5
Z3ksEA264SWfm44FiBTW+q6x3e+xxF+xgmuExElV4sZFzLR2jB58S+ToWxIa6KrlELlShGNYZHox
KGc1hIlA3yglrRyO50yoci6zM9A7s7iI+pE08jwvIH0ESZfdYRexh72jR4Lt/B553RXHhxQ1fG9f
QTLJwRpim/pgUioZad6orjqjoF9c+Ozhv0UJdU2RFHBTIUfgzi7stngYkzrtN5OFZO2uzGLkRwcY
01H+hQTinPWeVAlVlI/Yj6dw2EQ6Kr12jyUD3iWmmSnGuQakmKKgGAbVDt91MjLVoik1gwb70Not
VWQZ36wQDtSN3bpu6YU8sNgOtxW6orozNmWHZNO8Gks3yMt1PLMpPaZsYkHnMLyNWjub2PZUjgfd
tqrQusqCoGpX86C6dGMqgVrdJiT0q9bsXVclI+iqyNy+O9OtCj2ahwjt6Nf0NqQjD4PG1rBG7z3e
F7a4yE3aYUOuUtyvtA7CT0q5s7WqKexe+N3gyssGAi2yHMStndpFiSzN3TAq8qcKzhhrpRyik6Qo
xPDOEyVGOFECev/ousm0RWFHU7FW3RC+p0cS3AdtXh9hSCRqZyYyv6U8GgzvrIxT0ZmOmq5/1DRl
HqM5zL4moGIEeqKheRqnvEr3s49MsxrTIl63I/V4pEGle4MqA2e3aowy3XAozJOHXvv5tGdzDPZI
+5X+4kFJjdd0OljjavpcX/o2oR3lN7akR2aPM4KXpnPntXSNPjwvdD5jpnddeMhWH1+gVQeZSx8Y
H50/pna67WjVq41RgdQNEgsW3NBQ0poRAIU7B7jAbVMq+wFBEnrDKG2nj5UauPaA/Kcm0EDluwEV
49bNA2md4xCYFm1YwKnKHZz7FlIWHV8g9Q9ZAsgXO9aEPaeesJ1rowHFBsq3Hbdz3Or5kxkQRYQq
D1XCKvEnYGtJlrf9AdpuMq5l4ZDTUsWyuUYtZLabkcT6+b5KFmAZZrmS7FEq0+IatDuILTh4/tdu
rLDCGcgL4o2tu+ZegUeQZ02QekDx0RZNm6SFW7ktcwSqHGfY2mOgD8ut7OpEQ8OmP4mPUxyQ0ifX
vm8NYlciOf3IQTmbOJKHwujX2rJ5KJGl+4u4Ebz+mZ+KbzMHg5vGHu1z6vIUOeu4zb77Aam6O13U
wNYlpXcsS/hjUpZi8o/OpxGsyxSbnbfBNwka2lTAS6c6rh45y9kfYNfHMJXmoH5Picb9OFqKdmdI
cnm8wZakYRy6UY8LwPfBgjVp2qPKrOOY1NfRcxIwhHDZUcCp+CJnQ7uZ47i95vgRvjeWvJ+VprqD
wAOB5hm+ORJugtaSEWk0HB5RxBCSuGqRThb1auSQR2OklIgb7bQqKjxyRuzsOHTVmyyqW5xdBMR+
EPgw3luFG1N8gPsd+2co5GrEr0YqCrnuKe9UEp1cxHDaO0pHEfRpo3SjHWWLZF4bEYp4YwWsx+oA
HQXe3Om1YZqDd9nUXlanTCdsOWHpcD59Kts43KZ269DVhpQHM3zYlFndZPaiIp+MqLnxte3kYljB
ym4Huv+65TumC9foWXjHSJhFBY/PrExGC30kUOUrQxhooHK+7GCbEkaPe2D0ydhc05RiZ946btvl
Z5kLC25ts0xal/CsR9vcIpDm52JYHDiq7ibYsSumIVjpNtEIE+KBHMrxPhCcNwDK4SrxiSqO41Gp
rUp8R1+UboKseZU6ORyeG0PMUeCuGkLYUZP2lvHFpXSDIEHHY3spMh4wUAzrydUUd+8m36Ay4QZq
IuWBdvJd2oY+SYuJgvehSzSYa0zCsrvN6HSry8gRvj5kePWmgzv2/Xf4F/29MYYEIUn82cRid035
DTosp7/I8kguxwmC2rp2RvuJIkIy3xtal9W6IxkWojqO6WoDcDPyr+3cSZuLWNhdviZtKQp4TahZ
ASKm+MQjKEh3gSzZ23Lf9nx46FvkYnqbnqQe98OAoMfAxtN5s7yWs7IK1HcxAI+GrLIePQIbfgpi
bTXjGMqYnh07kd4Z3EWvvEzgiJ1NKRPLpS7x4G8tm585780qLcSR0tto38xmBQJgLDqCEdux8qhR
w/R3NnY62E9x7/gNnJ65Can+EGV51JgVDoGegmvJHYWPVG4IJDdYNeASk7ohzgtzYMXKu9zANeBw
4quuZW7Rfwi0ST5q5efIYpTEdJQt1covPSateh0ASflYtAAE1yXY3qM7GNOd20TRzkdogNt7AoOb
YJDKSknera3sJyvtEqQ2oRD1U+1jBiosiU66WVIKVlNGNfGMqOU2vUXnWGGXNG330chGlH5rY8gL
+5yZhGJS0XpaQnUhC+27qLmpR5hvVbitM8hrmx7OCRlMjP4+uujIUDX3GcBpsI593udUTrFWleuU
NyIdacyK1jmPhZl9AYHiNdtgiLG2J4zF6WYoxyR+UkQ0PGVUWgkjyTw+aEafgmdaVC7KL7bA6dnk
DL17H1eG25SrEsFDuWOviCimHNW4a2hBRpcqjLz5nRXMMeEaU2Jm27mtQx/1bdjaT2AJVH9TTm6F
tXL0nzJ8I+2WMFibdFGZMlSAPzS467SgEqgppkHHrmYNBcexynR4UpmJ7Fy3feHupgDHEnh0A17L
QDULDYkZT6hpMqf4QBmMDQ8y1c7dO2GE/VQGDQDawGtYGrzZz0qEbYPkFp3WwIng9kT0wZ9wrWSF
tlEgniuTK2vU9vuqIAXItozyPgBMBlUwshx3K1vK0eveG9iVS4sl2azZH/fJZPLzA5LVV20hINRN
WE7e4xWAWy8SpciG1a5vbAvA7Pl17jYyvwaFRfyBAj15mNPJ6FHCETJQ2iQS70b6NucRja1P6Ceq
YU3fBkFiHCm9KRk03p0xkJa+MSMSUVawD9AqITr+7oEUJ3/QwAWcKdF/B449PjRqsPYDJYvkADq0
eTfzqk47Z+oZoqnP1OlxC2exPRTbIUrN24g633VnWP1XP0nRi1uIEO31spdcG7OB2V7QS5drdOuM
FzLqGPVBTKOS7I8UzlwfatJAPKOaYzLlZyzou4Ae1cWMuBRlbj84ydcyp8NGGHgeoSUnJG0xC5Pw
dtYOjvcBqnB2UcthYcmSBIbAZq4DqKY4KD65CL7FyvFb2uSS/SMJy33hleyzo86/hJKTXBkWRqI1
PDxab71bmiwNtfJv2LWHn6h818SCS4aExGUC69JWvC9Ohsx0w653uE9m7asDTL3pxiOZzGEHILID
nSWiG3G9IqT2ZTd+zvEy1WclnLdi1VMpbTnJWz58BJeA9vOFLldudeMnxCiOTOxvVFYWMMrPp0Mf
ZgqYNC9kuqIat7SGf64S1bBEgTuSSzGORQ76dXbju6yKKlyUWJ+T0qtQAbJzvXFS0hNmFnb9xic4
qSDZfAIf9hHncEt4HkXB55+AxZL85JSJsinN6NgbpdihyO2//3Rq/0Wv8LQWuFyGSqsV+ha1E9P8
0br+qYSEL4zDiTawDo6LZtVv+3Jx8KThpT1qjIGhQaIXFu6Rb4G9Fa+11XpoNRJqMfdAk5LmjULo
y/sW/nIgR0zhBb5nn9RxZGbUUSFSuA4T2BP4lVjsoym+ff2+f3UVxzXNQMCPofZ4cpXcQmzjJ+zp
3cCczziu4G8QUfVGiCC1j5NRRF0utGhWkqgG3P+kcOaOAYe5DI6Y6XGaZhq17YCzRDs9ZBjb6jf6
oi/vCdQmmBrfonKC+OHkak7AuV1GGtJsFfLSTLTqtoSfo4d//bs7qdoyZAITeoHvUWmjxPkCU9OY
ikWHdyMCf5btasNl1xhNmEFNB7dgTiMxeqNQvHz0568jBT0IcYg5PLjqi9Dj59eRtLqQBa4s1wiS
+u9d6jk3bpIMFyZet3tz1uUXJv1xbYJuy98Yjyd1RSQkzLUWvVSfyuIyXJ5fOhfWaIPdLde5QC61
BrYpv4/uQlSjXMDsJem0jXhhoZq88TxfjB6+ZBrcPl+za3LYOrlyja449GBH0H9cYtZjmrWUjvoS
W2YXZ/bT60/VWob8s++Y9rBnCp6nCOkOnL4SdpM2JWQf9jaDw7Ij0SDLdVZME94ZAmDWXN8nGCZx
HwMs+dXe7fzomMI///D6B3kxvPgcTLsWdXpArnZw8qyn3sxsx3DLdSaDZU+CHjfZWFi+CV9vc5Cr
buG9OaZ/8ZQ95nnHtpap8AV6KY3oHeUBcGH8++5jWdMdtNY4xVx885U5xPswDsAmrPIOD+Xx9Rt+
8ZxdaLMB4pHlfeLFPZmLrKxbzsRJiS+ADrLpzgl6e8Tz38kr4wjz+sVOvl0HvSxgUoJ8bAJM+IpP
BtXUe8ocBRlFBefTC6UGP1+1gfcRNBAuioBK4RsXPJmVlguyeDHVUgDmDk8v2ISZTGyF+LCWPvXR
zB02xdvz+Yvb8sho4B1dysPIgl/MtAFxNg1InbWEnw0VPgPhJHpcRrW2s4Nnjm8tnCcDhro1F1wu
x2D1UZGdTLZeGQ/or5p03cWO/VRwYH0/MvlRQXHJLqAulAwTL+rrD+9kpHBRGkqcOCy0G+xNTmeE
3vWRuk9LY97QXyNKMtgl1dfC9sY3HtovLrSY5Kl6ISASjjgZksmUWo3dZTE06hmrerG4hnAWrjI7
fyuY+heXIszU43jBBUk3tZ/Pr9rUk5lyCFiNUbOEi3JTBdtTGDb86vWv74VYi++PnifbCpfq6zKr
P79WEXlu1jtesm4c7siCyRxQANVyuMpad87Oo9mPb8nuio5zyVFrsaNJom1GtOX7QRRecYVIoNDb
1z/Wy29goVCiMbTMH8TAky+7kgPG6z6lZDxzrEOGmwPJUNkWp0T+2wMIwTojhyMym4QXX3Y6o2uv
kjiB5zI8+Eo/DKV6ILvv4ffviM0ra5dl4UU4JfRlcLwatELxWlp48CqrKLYiC7C1yK74N748CLLI
3BxGKoPo+SPFXeIHQw5DQPdEDSbpHB2Rxo2oR/jV63f18pUX0HAXSC0qN7q7J5eiwFLknU3nn11W
dqD6zPs9Dmo+A6SVHeh3xFcu2sovr1/15CTCO8/2n8UBUC4DxH+x20LZE2UOcXLMcCG6JM6aR+0q
dR32knGaJPr9nHbqrAho7yDMKd/YKf9idPqMz4CjgYN69fRZcljWAYbHZf0fGvvGNwv7qS6WvUHp
lXyg1+/25dW4VXrziOrCkOueLP4lVCSFeNRAaT89GCU+OOnJh//BXPDyQrT+fHZWCx8Twe3Jw7Qy
WsKEkVHonMcfbwKNtH/rTQCR/Gd+D6lA9um3J5t6TBei7xp2wLBJeUaP7YhJIll+9btfnce+HJQj
Y4X7Oh0oWsogdqyGr67Pzpd3uzTT83/n3WYgCNQjYE2Zsf2TLw53Ljvglr5pIJL6gnorTkFRXZAQ
8/X1+3mxcfDwhbMPZNfPOY1z2PM32yXKt8sk5Y5MWNlBuHrYvH03v7iIjzTbQ0ghgpcXkX45pXUW
RKsCKNydALD5nTdK7H77VoLlFA95kSnKPd2dlLpu6Qzhq8wJ0b5lfakIG1RvnWlfDmkyw9EPoW9x
mCjE8vs/HeXZ36ZQhck5sGsPL6rg3oa9Ehnb5zDv2cG/flO/vJxYtq0+WxGUpc8vF019FUFUWC6n
p4dC44JpwUAdC88ft79/KeQ67CQ5TLsvXlanJQCA1oCx6so8GjdFmNYXZs7BHTAA4LnXL/ZiSFB+
sNAEctYzURefnjXRoIZ4cEBuZREZpwbnP0CzDL7fvAq7RoE4gnM648EF8/vsYRlz3g2Cy5Dmx3Dr
qbhumonAkNev8uIZcRW+NKp/y3LMmvX8KqrJBsMjTAOWkKn0QS2CPU7ppf+OvaRo3yh3vNiEczVE
HUxCbPjZOp68saNy+sCLW/zEaZ4+Ok6NlsGEijVZIEuxWMZXr9/diyfF9dC7oi9hpWBfd3I9M8sC
UIVOuPpRUgbJjBk3DLLDb1+F6zjcDhAS58WeCeKlWSN/jlYJkdbThYmpP94H0dhO8e+OPB4UpaKA
/Rl1I9dctgI/vcCTBFOLB583qmzBHdBLlfizgzLs3riQ+2Irw5WWnRkwVNQ2/Pv5lfpY68pIeHeL
Ze4ewny8SqPI/lyiTrhsekBJSAqa+roJaX6ilgPwa8UkIO8nMjiCFbTVzMN1wV51Bc/OuDCnUl2i
d+ipZcsy3VrgMI9KDu4T0d540HLgH0ffKufHJJyoHVD4nB48CEfY8CJFI8pvYfzTyBXpLS1uKo6w
cDn8J3hg47O8p9NwoH/5vo20k52XpLp+7F05Jjt7OWU9jEhgj9TUe8g5rVsPa5eEjwc9N0F87GWJ
y4s2oHPTxuTwbnoEDrgK8RmyhMURmN/a8agr4yn4Rs6RV66Yy7VN1Lo3HuZ4qoOjTIFNZOh6aVv5
iqLP744wZJ9wwm1qdyysp+9NT8gkwjqYZSpmDwsTpaLx9OY4fvl2Bj/WUrqLFHrd08Mj4Z+N6dks
DyKoKSc5xRgdq1Cxh9QGkNepmd8o2p2+njhiOGghsiINcTFqLB/op+Fck2ZEiQgwZk1S/fcxRDpb
VEP8hgPnF1dhIqW+SoWMavlpATsLjHR2kX+sOiyEZ1B0B9T9Rnn3+iM6nUi5lxDNGbVHJgJKcifT
dVSktuoTKP9DpeoLpOxxg6A+4gRQem8eNH5xS5zQeEHZ+rMRPt0u5NBa0rpWxkppAypOybIQ07j8
cxL4Le3ifV3yz38uf+cL8agdKiz5I6/yn/91lX7p6r7+Ll/9U/tv9fFT+a0//UPPfnL/f378dvyt
3nySn579x7aSqZxu1bduevetV8Wfn+Lvf/J/+pv/8e3HT7mfmm9/+8uXWlVy+Wlx+jwQBXzNT89+
+SR//3vLDfztL3d8C59+thX++PN/ShqFjQRxqbwQfojjjU3Wf0sa3T/opBA2jxrXc7xnkkb/D4dq
ZkBxHoA6rxhjq6+VTP72F4efx1YDGxNlHQffcPg7NkOGBnfyrIbLhhlGx1Ld4xTF5U5WkF653Zhh
4V6TolXG69lBV0d4lel8q36EFFdOaWfrJu3t8pNVVr25Fn2mdk4QZ/WucMH7rGic4nyIPKIDVo4M
ynFb1qOiRViiGwD1wAe40GCb7DUQ8eBLMOZVtBu7nOllpZQklztURiozqAWkqp05ZhQ90EzIwTMM
nUlyM3qepkPl4SV+wtRggk/GUYLJNsXOLtvqi1dWrJHwS36EAFsylEQCW+RZqrvUl6PIVsEkR7m1
pecRIBxLAmS+O+WPaOGwDfNtqxw5HsqCrMh3458hxFniOpu262zSiSnjE1XsWHhWkN9JNeZXKhw7
8yagsfk5Y4djtbiHaQsQNDWSV/IIOkhVZ161cBwmSQjrEtaMZbEIh44UL0MFSFVWJSaxJ/Qs032R
ef11iyEemJoFOWKMD35lJV96w3usI+co42E1UE+/tAu5n0wTqqDzTaXJbUvkcbrGBYQJSiEUrVoL
mpgMaXxk9ZWBmephxutJxbbvLhdj69atkZSUoXHJx3oPtprvNG3aqz4X5+QJXMRweUfY/Q3OpSq5
yEtvk7e+WpMwAtEQOd+qE4n/zpPuZRhXQGCCS7GYIaQ4EEK+a3tArHPePE5ze9XwDdtXRlm357rr
r+cpEQMIUzohvk5uNU6xXVzMAM5rqc7HsT/Oke3uel9Uq4iCxZbEmvzDLOrxSJFUHOmZX5oSPTkD
g4PEIcndO82HRHoRP3pJ4hy6xMhvS3tAawqZYqG5HmLddftynOLtGAR8tUI8wMJt1kMGnaS0E+p0
DYjEVkbnRZYRr0MY7FU+Fh4Y3cgxL/24uqNSvbE7qDq5jDd0snDbdgqMvafGhuC3uUkehs6uzz2P
uDxraoOFXZhcmOE3zw/iTYV1AuAxtbR1rrtLvcC5Zp+drmFvdXSOkuEYww5zt3A9xD0sSyPeNiaK
3I2lIZaGDATcTqQouN27VMzdyvejajd04zH1c28V8vRX+GqPgwOynGe/SbJwXXdJfXC96d3Q1ge/
ScnsnWW1p3/9QHTOrowNCaqu1DeLiIAlwxJrKwFfB5mVDRxYL5AlDVXptgRnWLCV5n+CPinUfBFV
nrPrFf/ye58tYe15N4qak3FmttbRoem9CifSrYGfNJ8JeUWV3KafuzEXwKaT7KvfKNCbKAU+9b3r
XErdEPLIlvM8DfP0wvcaceUtIgeRjwf0xG2xgqbfr4N8thNkdGC05kZ3u57sQTTNzlXG1mXlZUZ0
1SsRrm1ULRvuKryx01gMW0r7Xo1xbfyUW8VX7VgVCpnSOgKQLqqDgFZ2ifDUImAPwSm8Q/42jXx/
ozW8DG1gTjj3Y1vG+9lLSA4phUuLSZ5lttTbSlHe29kOReKNrtr9hPyAl61SipkgsHEownyHZov+
cVCXbEWz8rpsje+Woa77pPnuRR7CWic16E9Otbzvx//L3pksyY1kWfZXSmrdSAEU86I2ZrDZfKJP
JDcQJ4PEPA8K4Ov7wCOr093c0q0idiXSKbFJoZAwKBQK1ffuPbd3PNxMD4mNSmUOlyIiiCpTkS4d
1tqjavp7TEdfyaJMlR+ZXolwYTmL2il2sYbmPHLUjB21n+s/G7igC1XmDt6l2r0SjnYdFSyFSeSm
9OcL5dawwn0dAXuGFX5gPV900HNv0p6Ig8QhydZE/LJQezIyFEJ3CbUC7l7q2u8cwBrcQCeBb1b9
qmXm/65D+3vqKiu9Bw9BqF62mNTSWY+D/wxJ5ApPlkJKfTY9ihxlsuq71S7u9esCUxeUtoIN9bIp
s+Sl8JX8Jsglck1wFF5tYALN41u8n6SJBDVCVnS0695WtLVCVBR0WaRlbVKD4I1Moikh5iHxrL0y
kQctnq4Qnusr3if+CDrDs4avbGm4TajcaUFlHjjUQyvnL3LuLe4BO3qgbvg/DdZTEwycgp3LIRZa
NupGN0rzGscj8li/bTzLCh25LSuWDEsqNHgrIE+96U0NHwyAd3RFR/veJzrK9OVX2wTYOLpPgAK3
oMTXQ1/N28HmOBHjBb9mh3i7+5pRQFiAydvl9dGcdoNbLPq0ukmqka+pbKqlbjL3i+opqNX2EPgD
9hiqIKtQlAekWwMBtD9Z6YC3wte4wvlpfNEHI/hD73+l8GDQdTCCStMktxGLA47LO7eFI6gNsHqT
IycNDF5ldRPRCIN8aKnfzYazuJsf01D/YjkvZWv2x0AlXLipt/Xk31RVc6UWXbNVxsxHs1SlazqF
xQ836G5KPBEyBHuM7nmM07tE7MhmQ0UVkbW9B8yxHPScfUABgFVeKVF3BEjdLXNNeRxHE+W4clO1
9DgDyJqZCH6x+MpgZ/tWvhRmeEPlKl3TtoPM+LvU7rpZsN2kazYHz707UYuxIHrovgsfAGIy9YWN
kUVAB2WV/CxZJ4vyQeg/HBkv+pDc6/gPlMR0zIsb9gZrdZBLtb4iW2s5EDBS5sEDhTJeM0BiaKdj
JVg2DTSkMNpa7XWt3BOW8lx1u4iyPr08lmTfC6ZfjqXgl0DMZSseUPl1GsstGMZra2Lx+T6RQ9Sx
oqDTh1FnL23nmqPeFa/sLfvJZZqx5SFzpJqQ03WSzwCLcUTSbFNugqjfN2LYtlq1seyfaW3eOJF+
G2bFKiHXN8MMjcmK/cU3UzlmuoHXtVI1tgSdN/XkkHfzqvicpLZnZfDn3JUw/qhVwTolotsOUaYd
BXswM9hMJ2tVA5BDLb9ylOpIDjHJaQFZ0Xy03eIOfjViOgN7pliHgv3H4N6UGL+bJNt21m3VhPRz
Alh/izAWV6i+EBpLvIEobMq7mDCzBPeEDRDRRLdsYeb2Zjf6FuXtbtI35pjTMNE3MwlUg0E7IAYt
4b3uZZcmnu0PGyQYN3KApW9Vmt/ysEs+w8HU3JHRIXYmsbN75CbRNhjZlzooy6umuSrilnc/b782
o6Hv0JiiioQNlZN34Uf1nZDRl6y+sYk9JZ9GqzCITTfCaQ5a3R9Eu6p1Z/SEXagkqWYEc6tF8sUE
C/806G6/pZ7lLHGToIeNiXorjN/2mICrA3rHX1lIw/Vklt0jyzaWo2l2W7JDI/Jgofkl9QFqJDr9
cjwSJ3Ff6anqmXzveP92abohnkaHEyZJhpPl0kyQj+dQ2KVsmN1YQ5B5WGx7Yvr1S2C/L6EgDcKO
n8GtsT2U+r0/hqswQmleAeq2m51hpg+CK0NGJJXbQrgqnCcj6jx3bMPFJK6N9q4S84ynnlN2xNXk
9pJvMYLHaIkQ+ahFKrq9gIFZQE7fhTZsdzy4Welso6gY11PQrnw2x7C0lq5kskbDNrVUD2cOiQJs
8RBEeyHRE6WiftUj9pqD5oGivgfUOeNa5UKx9cdGrZ/nv2XV6RNpR/dRrHwHSXRl9+0XRVN/t4Dr
pFvFoOgJWnD9fkmkqEFFyFVuJpnfk021rtJ4nQ3VlZpqe0XP9jZ5IqhikW0P4l4zmscBr5Be/GhS
Xi/bYDji7KCmFjPA+q5BJXZRHzu1fRV06sqaclJ5BnetwC3No/JxKPxrozPhQiKtjDsXElGdm6ug
VfVHaWM3sSzFh7ZsjvzdijUXOIrSq9HSDJN0JyJjZSPmV5UurGaK++hlgcmDxItjTsGaQ0GED2bY
oP753pKscgjFUG39WvNKdvTYUlcpudodEOVWT+8Cf+/m+jcqjoeEudIOwSrDEAVUSeXHogNNa5LR
CwcaZLZQsrICMDNA8+M4FYffJgf+kpmPzTYv1RcBcWYQYJmwgjisjrHfQ0yxvLnt0Rr7wi48rG0v
dqM8uL79EKT9xio0kphT5I7W8MNMDr4i3IVR1kRgaCHGU/fGivvBy9yM5v10iOGkBpNp7nHHxwdr
YHdtmOUWIyCrEHzGCe99IiDR4PUCJoixfAVudm0j5dyHhVzb9vglsqOdRuAJlvijX3N6YKfCKrMi
i+l7mlirki+7pFUubASLMz3BTI9Qb/bhdFPAYrSNrzTaATT+Dgpl1U35HRwuUDfdoihqNn9k/TBG
Rn5Dyvwiy9vCM9kZ+5JdVaDeTcLamma/Nfi6JXOCTkLoWBbT86yvFEt5aghfIQmpMsOrhrgNLXiR
7Ce9YXQh0sGHCnsP9PUT+GHSJlK+HhMxow/U9vk+EFEPdje4jhvETMRr/bb0YSWcOlv29YS8MxgP
ljaYKZBRzlUcXqr0ZxK4Bn4F22SbpyYFJxy/bkZOQ7oTP9tdQrPFMQb24t1U+D/TMFJS6KygNb6E
hZsOZJ+WrrGxdZ9Tz5SN6i9yDsRPjdjjL3VIVDehAJH1EpZ19t1Vm8xY6mQ1/679nGW9imM+Lxkx
7/fGmIKVQwc+VlehdOOd3lJP8iA8EE8FFAHgqHhN7XQIc73pOcMpKBC1xiKgRa9Rsfpt/QIFhPRP
8ZoESrQ7TcQEEAkFQixL81GLYHO+WYSIpk6Bo7IxanWvv6aMql1H3pf7mj6KK0EBt13N0aT2nFKq
Fv6wti1inWFXzjGmhPRdw9ok2RQR6VUnAOvpr8GnXTaHoEKrQcc6KONIOOqQw+Bjk+zpoUE6mJNR
sV5Er7mqg0Km9aLMah/0C97mA66hlN1Vj0PQU5ByPQavOa0s+/gXIgJjve41yVXOoa5G1lnlMnsN
fBV611hrqGXBcXLk0Ho+iMJrfph8CICAHiVQZ9Q11WTfZ7bNpCGCOnmIh5Jghco1H8khlb8VU5Ol
N6n1nI4Q5km0VDWAaSAh5pOFHFQ+r2ZqxnAkjJQNnCgMnP0TNe7JqyoE3YQi4Gn0bBYMe2n0HDc5
KNfWFx9sxIMTTwAkaBnGSHxLUyrHuHHhebYDYtN1Y+Wy5qWbMrIkSQJzPJCAplzYVExvDKNMefu7
zr5xqpSMl7wsugM7S0csJ83uimUy8LFckmqSzuu4NAEIkzp/r7V0kdgSuObEjr/AOdFgoHiJSKt7
0up0DDapnUTqvZRmNK96hvqNNqOGGwAH7ehJZfpZRGjcsSlkEap5Tc2V5Tibp/7sdf6lWun/rBB6
U/7K70l/+9VevZT/K6qhVJ//vc/7kcCKX3+8Gr3/Y5VF9Uv7q3lfHOWv/9PvPePUZq08OjyNBqCO
Zl7+atr/+k9T+wddb4p8KCCQXSG7+H9+bxhsiHpN1N5ICWiCzOyBfxZHBQmq+tyk4jNowx4w/1Jx
9LSmTsV2FneiM0OHjZz2pIBvuVlWAYoWHr+lX6PlzXcRlY8LjbVTsc58FQRWrjEXOGjqMARvWx6O
LiO9rDvhIeuvl7P/97vSdQXfPKDzmm0jzuit2sP8oD+lMi5u3zyb2z/Fuv8+GXXmzCHW46oazFkH
Pd3J5VPQrYWPZNiTOOhXSqay7mokPuh16Vy403m83qiF/3kp2rxchr6oOLmUjg9CEANleCRir41s
epAWewTch7ibbSI3ewXmTSuib5/f4ZnHyPjOfTIVXpahnzQu674mRCJTuMMw9ql4ucoay9gl5fVp
q2weR9PhKc4NJegdJzeHa8oiWtI0PZUz4XEcSAhS5vAKLcoMMk6S7ufnd3XqwphHc5b/oY+1nJmk
djI73bIqtE7a4ABbAMwaDrCdQh2MCr4vCgIJ6Dx3S4vjyboTwvoNDOs7QHQqX7lWPl74LfMQnjxZ
fguSL82inQDs6v0cbih02FoYkCjYz8EkFojzIbrBPO8Ffu8vdRgIy8Jvrkx+8w7N2oJmlfU9iKny
KCoE7M9/zmnj7c+R+devmTseb5qITtaoEa5j3TOpftPZa15UP1D3Kq3m8MKUPjO3yEumz4c6knbl
qeenNeaSxFDPbw9GqaFK7tOyERc0Emfvh1GZhU0mGuy5M//mflKbqkieI89xeVP3CA6oSdhEUIAn
LDd/Y+jeXOpkUpGsQ5BmbOgevjS+/TbgZrsrr9qA4InPr3R25KDKzeIzjC7GSdsJIBQ1JlYkr6SU
hKlRrQ5S75y/PBUcOB34MXBiQPCx5qF9M3SAw1qjtB2261Tyd3k2jTtcndmOjcelVOSPTwkXBJNf
xQlh0EaZb/jNpcBFoVIwiMLMZNY+AZdQtpOTiaeg8eu/KGKZc57Z5RizAhph8ula03aISygTYISX
MK7CgrM3J7pLQqBTwQf/MP++K9Ct8mng2/D+hkYLopReYLfn6639sho9PjaT5S5Vi1qoBNLyIxa9
v/18WnwcxfcXnVeaN6PYDXaV2T57VsvXHCz9RE9asWq3Cy11rQuT/eMUnB8Vck6mIepucfLEiqoa
DLO2qGVIf960uiC8jNY/fn5HHz8MiEXN19nn8ll49dC8uSMdDDO8PrPxqGtqW70p7S2gSuySkrRE
qSnmX5Qc89igGc2cKnv2GpxODjMd7BA4KnW+pprLcVMhl749UB+mfrivYhKOXMzUFxbCM88NM+A8
iBgf9Q9GMpvUQd3Nws5LXN1cWnmd7dMC2rMTa/WFGzwzoKgiUYfQsEBgcSryDMOqHxAWc4Nq198U
Zt3dqxMQwaKkwGqErjNcuLczn1q+siY7TfYtgmXkZFVsgqQZRBXVHgZTHTtVm2OqsiqoranUbeLY
KhEvCLM2X0qcv9mybrv2ztVkdRe5FSbZzyfUfLX3H1s2t4wxSxq4MMM+WTkj4oDsLG1rz5wRgouB
IBpMJG2bYCCBD/SliUf81ONARCABXMR1XRiOM+sC6zJrNpzZmaFxsi70gOBBfXD9zm39tZ4rpYfX
jPCtRnvpYjfcVYTdXrjnD9OLajBbCDGve6gl2Ne/WxZgeWpT2zadBxKHDJU+ogFbOBzcivzX56P7
8WFzKVZylMTcGwv5yaXKVgdhjmOObh7nSej5wt+QMuHuaqvVgbJUEklbgQZsGhvDXgo/tHeONLq9
ncoq8j7/NWfuGy2PDT9NAz2FiOzkvvMUyqkA5dlinl/Yil19MVMtfECxFl/4qHx4rRD7zg4FDk7z
NH8Fwb5Zp+Cdwycxs9Yr1SJc1VFsL0slGB6Jbh/Wwdg5Xz+/tQ+rL9dDiImGGokz/e8TJaal0H+v
fVYM0tDcn0R7wV1ra2X3+VVOQXRwN9gP8b1EG4UF6pUo9vaDEve+j9hLcltl4h+0hgYzLcQi9VoF
C9Ee9mO9SoaumfUUIeSXIF7ZUKb2snTa20zBUk2VOjCowbTR6vPfdm4ETGMmQaPgm/Wi7x+uJVKU
trnOi4ygC5iuPqyngiCPz68yz9d3ywUGTfY//Mcl0IbNU+zNc406qDOpOUG9SqIyXIb9lByjKQl8
IqM6sdHp7F41LKmeoPW6NYEFKBcmsTbfyIefgDWd5zAv26d+raDSSJAkWNQLwkQg9LR8r/JJk5OF
MA9dWrWLqCnpOasUqb8yR93bRhKd5wDP8ASZDdtSNeMLn+Wzw4JPnlGZ9+6nKwrEYWEneceb5RcR
7ZRS5awwSrWlDYc+ZqtGpGjIXk33Y65OWzmYhXFhUfuwkPJkkF3hkDEtdo6n+w/0mqCU7Xlqxlp1
UzIaCysZk12HNvv3pDgDc3TSLrzm2sergilQIdmBsKe5LuY/fzMfrE4dlKBIpefb+rNRX+dFe+X4
ipejG5x1t5gSdjrx0kM4wmpfU1TcwYnqQb02MlyYdG2zYLr5fI6e+U10qamxwG21OUefvAmhS1Kr
WtP0MGu9O9LoFtdNqVW3k8EWQoknWnGjXf74/KIfFzymJK5h9hKIXHENvx+IscplB5uCSNvGjg/j
76RBblRmKz5t2V/9ZM4ETB3vLN9NBJqv2uo3Y55JI0fvlUyeGdNd1LO4W+Edye8T+rZbhKLOcdIN
cUHl+nGGzxelSkbJg+/HqZZWM0I/x6Y7YiFiFEORk2Q2Nc02HUtAwFnuRFvcCqpOIE83Xrfiopj3
48eL6xpsmPiwUNk+rVDQxSJzLYkmmLGdv4SfHBx8u2i+yToVF5b5j0sp3i92JJg95hE+LaKVcTnv
x6bRG1LT/yPL/egp7/Rvn0+YjxdBBD3LhQGv67hCT96c0h+dGNji6I2Tpv1SilD/GeX0tT+/ysdp
yVU4AKj46uGInHpJ5AhXWQvj0dNI6NxZjVGSV6pFLNcNcJ0wGl3nL3+H5o+jinh4/kxgFn7/Ikhn
GtFUtqPnO5q61etKuRKyNy+sdudGjzVnPmkZKGHNk+8QPKB6ziTiHVcSAPIxchmYN8n689E7exW2
xkjjqUaBCX5/LxPoPTlEzUikHtuWrImtQxcHw4XpduYZgY+w4Qlj1EM9O//5m/c5gTJNYc1hj4jh
YlcU1UyR8qsvhhHCHQDxcGHsPr5JMGopRVNchNaBOv799UiyiWlWcL3MiUjIjBXFRYSZkno6B+Rc
+DKeuzlMYfb8lNhpOyfTvCGnprcahE+K34ZeTMs4VoPfqhrfMnvyC7P9zPPiSMUhYl6k5s/S+zvT
4K5Z1ei0CG0rl+MSiO42rLrt57PizPjN75KGknr2Gakn4weOhuqkYnYecQO/MiK62Ofo31pWo83f
uRDnM46m1GZPJ7nSQTjWSr3zoIPmXyqZYzKm0nX0p+7CYnTulvDt6VhSBViVuXPydgoqTtZHjq92
nupq5a1emPpKsZXyfigH/cIzei3Mv9+/zWXtf11LvL/WZIQicGxO3FVpB8ceQVO91JE0Y5nONf9O
b5veIjdU0yBZuvWUs4Mi8BN8s82eD6RV4S5taBnNosVoM9FtE227VDs7OqDJnr4MORTKB6nk5a/a
7IUAnZUR2ZeRYWp7nz+fU2IJxwGoz9hrcWaxCyIU5P2tKHUYh71S9B7BDCSphXpz1ZEH9XXEGLAy
XTidtu8jYcmMSTmKJvK3JFeVf2M6zgM6g1Monp1aqbqR8+wo6h5pEPKtQLDNxWfTbWYn44VLnXmZ
520eGx2AE+ysTmb+iJsYfAhWxCqtkqsceTFqw0ApCfyjDVyGenUJln72inQUTE6ssxnyZLKYOY+g
T9reM6ia7CLd6rYAUFBZBgjbr/SkDG8/f6ZnlhCDfQrtHfZItOtOl5AJB6FBBpqH171APDai4hNW
fGHmnLktTEk0kPBwsAc4ZZK0KSlBvYQBX8UEJMUy7fYVMe5bghHrG6WBEPv5XZ2bqSz68F2ortqM
5slMzWIRW6JoB49AjH4RkNCBlkqg+o7j4gGVh/KS6TJWPCq38i6qXfeH07EHuvTuzxPk5N1nC0eJ
nq8BVSdzHv03nzqQU1YK+YIsCavVVnVCbLFCSR2eCAS942Ck4Y2eO/1hFKFYFhZCiBaA5ZI+u0HN
titvodupFCBHEppQaKxD2SDh7oMCpAuvInYF2lSTI7oLn+gz6+PcjsK1xm4Kq/HpxOf4gvRFkV7p
jBFx7JYybF0ii2/zXMqfnz+rczOQGc8rPUc64fp7P0auDOCtZhljFKL7CIuS2OTBDNZ/4yq8zHQZ
ICvQbHx/Fam4ziRKUj1o4PnbtImLfelCn/z8KmfOh5QLsBWxEaSFbrunA5eHUmUbAps7C6w/ZFpB
y82mEIVoAmhvp2aB2y0Fdd3HkexKpLhYB6/7Rk13rm79ViVQXpNdyXq0k+DWBHbbL0aKHNuB7M+n
z3/rx2MjP3XOg5hf8JlJ935Ehsg0hrRg3KlxEEleRtkxDWoiOdFUb2SKBrbTSuPH5xc9O7Fs+q5A
E3BNzcKEty9EBd2nL9wC+VqbPNdI/Jeqip4vIOtw9fmVzk6rN1c6ub2GAmesFlwp7/Pay5FQX4VT
Ki9s987fD8YvutY6Lo6TdaZrLQytdk3gl+MEUMI6cJARZLJFLtz40uHm7C3hsqHyQaPYPX0r48Tv
iGNiUUtkoq3HWXpXN2p54ZbOXWUum6Ikmqv1pzvYyiap2zCbwTOk7FbaGHaLpBwuoYHODdzbq5y8
jwRoN5Wm41wheFS97wooVe1QjE9G6QOy/XwqnKlK45ieK7RMOgBLp00PqRmjCphbMg2gjQaGgy0I
Yqzc90HmPMva1faD7tRfh1JNH0WC6Ntvu+hgZKNjXVoh5hlx+kmgccb8n+EhICrevwE9+i1XMRrp
jUJLWemHaJWp4fOg2WR8W/nvXo+8vEM/HrXNtLCGKIAP+88YjX+bIHf2GVMrAuPDZhuu1vsfEXd+
qA4TgFBSk8qt2WstwaFNduEr8gH/NMeD0NbSoGjBDEC18v4y5Bw5KFwZcuj+9mHKguQuYf96zbe2
cUipt9p91AT2KgZa/0OZIfQ+pMqvgoreC2YQ7dJe/Nyke/t7Tt5Wo0xsCRZVeuRdT4uuZgBoZ0AF
FtbfeVcNl48AFXqBxuFkhJOEbQmdED4Eow4P2zfQJJdJcGGRm9+S08mE0msuSXLiJN3j/QDXnYQ2
LUPpxezZu0WEWhDq5dx6ujPUBG14j+HgqIL40zFzxMVfZc3ND5g2D+F/nHc5IZ68xbRsA3sKTOkV
oZvtqz6ul+Ds6y8X3t9zz81CZcVeiv9h6n1/m6IKE4yuFD5qfQxfUmEGkWdPnfIwomQ8aMWAXWiI
+waHVh7+JI9hCBdBjzZmN7Wa8ixFY2AwNetS2TQlpOFMSa34QpXh3OeUgZ1VBTaFcf1kKKqkQlrf
q5KqhqpvAYiPuMda+3ZynGxrFbgCDSMzHz4fmXmxOH3+8+bSmEtDeDVO9k5B0EUiyVjYxiKNVlHY
YCQs4mVnmd+0Vnn6/GLnFg2b4acVwdYaY/XJUyg6PGAj7wxNY7HXK4cUhNjs/sbnB02fQyIXixMb
k/dX6bUEt2fEOBIpgAEgz26ntq/vP7+Vc+8NqNu5f0bLHTP4+4tEiKvZZ9MjqIinBvmhZcoqkElK
Hb9uv/uK4a5iXyezRZXahfs798hspAzgaV2apacVSrp0fVwgFPL0ABsUEWThvioVQlEyC0juIlOz
5PHzmz373OjkgeFDwaedZmpWBUBoftHgSem6Ho5Bw1P6KF5/fpVz7yh3hJyOlASQlydrfRTWwpGR
Nni+jzlUbwZ3Tz+m3amYvy+8aueeHkgsA3UrxSJUpu+fXlobZLxrCY6KQJfXCT69R99u8+1QB8oq
47nvAvL4vubC1//GUFJ8VecCKR9P4+QVKFW7oURLhGemD9FTRNL7MsuIj/t8KM89MCobVKY4D4G+
OFnVJ9zsUZ/qLHcNZNLMlRlUVlG4f2f1hhQyt/Fm4aE7/443p9OST3FuETSIyXbQVq50x401lpX3
+d2cWxjpXLKdRMbDoJ2MWRUwI2tjGHBi+fKqI/svXEmSkxe1SrKIV48ZyS9qKi8IXc6WAGY0KZdG
8kU1++Tu8hb7kMYOU3YG1l4zr+xbvx2bR1ZHa+v3Q79r0IFupiLub6Qb5rfpVF1i/J7b7aEoQlbI
QWumVbz/EcakNYU28Fak0hfrVHP7TW+p5Uvc+NFmnHLjD1VM+jdOCw0JEQ1+iCBuzdsgjf9idN1c
u2Pw//VLTpa8mNyJMgkntvVW2eHeC8U6dutLRKozUxfhOB8HKgcU+U83BLAsiKQ1CzbZU5+EMBf0
CeNHWmoXnu6Z67BzZQ9NZZ9d9Gn3t8w0UWZNq3kA5LLjEBOSBd7/Ev71zNSl0wuvada40R87+RYR
s1LVph5qnuEoWG96a/wJbj/f1Ih06AQGJp4sRA+bz18Ylzlx8lFnugKHt2HemjR138+ZWJAuFoSp
5skqFHcYjsI1eMxhmWD+XnZwv/ckNlakq4TjjIoo1QvHpTMrOVoZao8o22fd0Mld1yFBJWEQaJ6r
deptxnFoZef1eG/j0/78Ts9eidIYG0d6QUyY93fquNoUpFjGPdk444HcoGo1JZVyr+rtpW/GmQmD
XAbw4NzRdZAuvr9UJONS+pGjeSMas8VgWxK7TuhfWOvmtez00XF+Q2VhUVGhCvT+Kk5t+nUNaswL
sP9Enms14bPa1CmBMF2fBFdBnif5ha/hGZEOu6U3F53n05tl3Eqa0GrdSHiYejsO62EoNr2B0XaK
Zi9nkRn5huijbGUodoNbwBm0DeEmxpOIlAMA6lURwVQJjKD5+fnjPTvmM4xKtzBogbB//8M6vUPp
RdnV4/xdHcZsTD0O3O0Fic7Zq7jqLOpjZ/0RwQPBhVYHZrsUiACZR2mwihCOXBjlP3U2758tm3qk
Lpx06Mlz2Hp/N6rdSVdpgo494kSUkQ2h5euEy9LQpm/6iBMudepkY74G5QKuCR+IuCI+t9FCF5lx
5+fXgZJreGsB0ijY/7XWfOiiWgnI/XLyq6GbMON1QAqtRV8FjrqviJcmX8sZHGsX6HOsb/Qa8WsF
pH6vC3xq330CoOsFfrmC9A9lNA+JHw7jdpo6krPHthHBMXsNEeY3ECgsX8OFCX4ek03mI9nyiEHD
NxO9hhGrr8HEmggaRDRzXPFQO4270mRKjLH2GmkMSy44jmY5Pcpiiqnb5aBwFwPp1DCCekMGKzLW
CEdOXoOSIzwc2PlCgLr8K3OYsuBZUeh9DVkeOz8THvig4lsNSk5sc6J58nXzGs8clrFpr+oeNc+i
EQ0Rzqk2JiE9nznauQ0lMc+9jO3NDIlL986fQdCvodBJQUPs0OhNGngIhIJg2Rulde8P+Gc8Y2gl
9sfXmGns4IQXFE1kJo96EA3mY+I0050w5VhTfR8I8eFQpxAN35EPBr9Fs8nJJdTuWVDOwG0EvuOq
qJTyq2k2BLAJu96XI74CguKislimkpzEnOJIgoB+rJS90rMXA27QTWRT+qa2iIPRHQl/8h2bpDo9
7g+pIPURM2LTAIyMjNbTnISCeNDStt6knZWQpuP79jG2bFg5hj+JYUMukvosgiweF62Z6NdRMIZg
b0K+IztKS7G+tFvRiKU1hGl1rPAsCazcTT37h7vq4Oo+Aj6AgRPY0m62DWp+b1fb3gF9fCPsXHki
06L/Wo8JjERb0peAQptbP0Zm7Ivl5PKm1vBqOtmU0eRWpVhwilJn92UsH1QDZjFE2Vru7QJT/gIR
j0a2V1C0rYvONhuw0juBc622jatsJcmdw7fOcVpzEUOEwmbZtgS0kR+VxV7aq/rvIScvDaSKTsKv
Uiu/CyI/DSgcGGLAE+TMWBX21hcWYsAMUz5lz2YG7YVoP8oxS0qO4fc4Lp0d8NbsF5k60a3Uhj6+
8QPbeE4iuIhoeqB5L4gBClUPaqlfM2MypMCZ22IylgHkkR0Jaw25mOYYPec94HD0GNIvbgdBbKAH
pbdKl5Mb1X8Q+1yQ1J5iC174dtl/bwGQltsK0leysuPAfCabT/Yb8gN8saRRpd8k4eCatFLBLYYI
dpRVm7pTswiNkZeSXLwMtFPilurKrm0SHoUyuTdJkCp4p31+SIT3KVikPLQ5inHU/qg5RkEe1Psf
gE8UBT6WGUWE3SXGc4RdIFg4djmRuRPGUeINKF3qFWIszdm5eLFVL3IdNou5C2Rn2TRTdCt4lwEs
Q2rslr2Pl2GJVz5XYHSl+c41IrJdojLXaXjVXUlV3CI8ksxnIogXIojT5q5TBC3qIYw6w6vUJC89
6Zh9fGUJRZrLaKpdYJdKSMCJAvCL/KlGD2uPY1H+VUi1gdvYZ0W8Gd2at1OooZOhK+/9ZFtLq4Mf
JLATE/vCokCP3W9Rjrl6fjcMjnmvhLIS0AwmPOBQZ6U2szUjIqi6Bue8j8h3ZMGh/LHABgDmxiwS
uRmsGvYozTZr2md9k2uxl4HhQFTcmeQoEj07KL7W/ECHlw/KnUo2swUHDj6wkj4WQ+JYRIAOvqB5
93/yCiOfgwzL65sov6a65t6bLEUPpqgVCnaV26ysyEr3McgF0BAyYmEBeVVXtngcQy3mj92mfoRh
VTKj0kLJL+w/PyhOHRQl9K6QGtECQKZzcv4MUE/2gEgML7aCe4YLyoHmj0C71NQjg4FNb15Xnu4n
f/BVIlA0Voh9QPG7cAkJXJZd8/i6j/j/ZuD/REbxZkv1AY34jJv3PxYvefLOATz/nT8dwLr5D/yv
qD7Rf7LDQi/43w5gEp/pc6IImkX/KItmIf6/Ep/hOs8JN3PTFWElf/TfeETtH7MKgPIGR3Uk/Djy
XuGUYCFv/9wKQZT8t00GdDRsid5smQAtc25CWYjqlRolasr3WyYL+nYZRng4NDfZ977x1OpWd1tG
uFg7iuFbq2LZ6aVN8iaBpQdnGm5FWhfrPFPt5YB7o2ZXAY+Jju6xU2uDqHO6bG6iT7eFZQzbgdBm
EgsHYWxoZno68sIDZV91HWVWCx8KMnLT0mAR9JpgWiXFqssxK7mWYi8QKxzqMW09XVSFudbDVrmW
k/2kdEgEqY8p67a34t/+WGg3otXy50QZtdui05U7MVn1bScjdc8xIjuaPRkoiyIfe33JchU+a1nY
fMfLFkLdmlZxvWmc7sofipVNwyN2+1/VTPgKO/tLwHLsRdrEiwR91Mr6DGfTCOyu/i6ir6KL7oE2
HkOz3ok025gjyJlwl7yAQiT5YLg1i/zFt6rv+VT9qGtQPaJbpbZ7IB/4WNjDOpLlrR1Yt1qQ3xIr
2y5MHTG2rz1AufIUq9xY/krat7kT34d1eZ/baHdFbl+zmVjBC1hUo7aidXNI0uFWOl/jyPb0yCc3
L904A7nWzXDsZYXXoytx8Cjfq9bqWD2zu7YJ7t0R6KRtxt/bAd9Fmz2TxXgME/sw9v63pJieZZPu
fA0eY9GQeCRWQWevybO6G4MauIRPnGzAXsguvjUEzw34Xk3Fv+n7YgTMFC+k+k1Pj0H1axgnr6ji
IyHUX0QBhq3MgoNduOuB9NilE4gD8H5+SeRchVr2u+LoRrLiwlLca7CY26pxbkTFFfE5TqSmbgMn
3k2xuTT7xGvjGzdacIC96QJzVdX+C8f/P3J78pT2ThHxTRwmq3GCE5MQb7k1xW1HKKpSr6fpW5/v
iM5+CrVpTuarvX6Ec6WKl7IQ2wSGgwa2CIn2xnXTDXyNHFRP+1VJlXWtTOsmKB5N/6HQAROlX2rN
x0cxbDoRb/h+x2F0GynBToEzUpN67NJS01vzmlyTa5E766p4mppnP+92+DP+L3vn0Rw3lmXhv1Ix
m9kMFPBm2UACaZn0RtwgSEqE9x6/fj5Q6iqaajHUu5no6A5Vd0kiEkjg4b57z/nO/Wygfs20DdMv
F7zOydTPOyNT76M6OAv9ZD2K6ekkUO+oBUeqcMtXbeMESroVkvuml3YUEhutpPQTJ2ecuDvJ3LF7
c13J8gmt9eDIhnKXleG9Jj9wB+3nuvGkXvyayF9j80IK+Z4qIuX8ioDw4ZlX4rmYDJd5D/LPDNdB
UsEQUrZGfpcLFbWjru1pt7hm2R6UwdqxKbmOOm3VtCXG3ZMGg5yZdF4tXYBwv5Viw1OHExPoiLaH
WUzGsDGtrWk8ALne1zomyHgnBqmnLAJ1XuJGrqzlqHWbJri3UlKStdw/n9Lh0lgevtC0rqR+U3UX
avU9w9evxB6J86tci72xBXON234wt3pdeabYHJQi9vTSOinorttUH0XuDPFoF0TLgDmx68KgdIOK
pWSnmlDfpYa2mWT/mpLabcryICQZZDHBOu9LbS/o5z359EYurwsr2MrspYZ5nWe1O+X9ptEaVwvv
J1U7a9oGL0iTrodRvPGr/kg8wS277yfJJD+ojAaK3hryXeuCa9L0IuKcg3XblMBDyo0a7KB/q/3C
1VHtTpYDOo4jCETVuhYt8UyxauKAOipHqhOnZght61LqjdLjZE4UQvMqsAxvrtcVty9VPn6f/kYW
2WXVtf8c+rNjibPPJjfZI4DYEmNt2ARx78s8/1bi1GFB94GrwnoSZXVXz72nh8MlNMRhlZpS79JC
jpykTK1bMy8bVv7y3vLD+qCGcXlSt2nlNIa4Z5t+qgjzASQ8u6BBwIEg9OZp5/O0Mr4K12pEKjoG
R19KD7oFBNdsunhPEOr5glGxC0ni5jA2GX/VLnUcsq0kf03y+bLV0oeu6I8NvIV9FdYU320ubrRE
6g9tKePOJCDuqPLmudCyRj4bJkU6yuIdljat8dMVQW+rIRadILoOAz1Cdx6k3LuVtDYjw2usk8GK
HlKAMIgqshnuG1T0oNkg8TpvM9B08VRcC9nsJnC0UkZ7+3wtJEDaYpwk7ZgQXczu325qX2N+Puyt
VLQ2WI3J6qwKtwqiW9b81MmmS5n4bWIl16lY7OXYvKvC/rpQfcEOa+O6jiqITnxZCfnv8Nm6Q5af
RRnEBTnyIRJp9CmabNz1cvENVt3T3ClXQHv2eTxUjh+QT5yLp0STg2OSxLtSL/2HsoZyS4SI3UY8
HeMuJz2ECEuQTblTAAByQvYCsPKQXrQ5D8jQ1QiA2E6JWU1nQtJdRNK38AfbraDEwdaUxpN4fgCq
eDdM/CmZdkS8zjITYhBekDwWvon4obKeRAdhXlt5NaySQJloe8wBQVLpkYRoCg/IUwsoo+/nO7FT
noWpqu1ZspDTxpjZNCXwEVmw0+hG9UDf55Ck/pU0+/fJ4C+xxsc+t+5QLj4MlnyG4stT1PZbOG4r
+SIoiJkPFxIwL6WroaLNFouisFK0XgTdyHZMLsRoPRR6boclYdFCLLDnTzqYX+OgsHynl0oajLzy
wWr2APvrfq7WaqNVnr9csZTa3JGt1PeKVOpO2tDkmZ7am7yCMUA8ln/I4lCxUQYEhyhMTiKd9zeM
ZRoSPs0PQa3676rQGp7JKGw1dkxbAA+ZdmJF7c5ow2+5TvaBlcwH/JwwBecIJJKU9dvc15JD2OjJ
MdMncR2pUuvRYoE82rQmwc8lctR6I2c1BGqJq2waVEsz2zvdHOGDqs160PN1qggKQuW7cvxaReoh
IGbbySz/TDGI/VNgSlBeaKxT5pXQWqdNWm9HlhFFHDZ1gx5lbGuboLRjkDxaBRtCEF6dK2vT0Ryq
S1TvBHsLUCvFRDiHiB24SpldsZfcTezOzNCvnb7qQ69U8stqDA9zHkssbG0K67cud7rWmfu8JQnQ
aQXFOJYkApwwlU3PiDJn9VxyD8lDtFSvkKb8HMo9V03ZlaJ2bgaTuR3C8q6Fbesp0Yb8ROFiJtDi
mvCeabYVq4xF3mlDh9Qo8N0x5RsfqjZbV1narMNKuYWPa7h9Izz/T1ZYiiT0CmpwxSACud1OBF6w
+6UBUgndthKA+i0C4LGcTuRafoyabCX38reOQhOxlCNHP/d//9lu/RetiF9tt75+z77nb7Zay5//
CVtSQSqh8MOItcgGXjZUP2BLqvQFiSw9YQTxbLmWTdM/t1rLruvn1kqSvzDl4IHF2UCcAcLudzup
X+2sfsRYvdpZ4VpYMAGLSJxdH8rZpSn+qudfQq3R6FvqdkEGo7BWYur3szlRQ944QWsFPRmC41Im
B1UjRAcUM5m2RlgxnxozPaOtDlRzieOQhWotK3mFdiieW7zockYn3cjy7OsEB9xwqjCYbmn8GV/N
IpnhN/tJcWsqwHLsjkwTqQSiVgjG4HR09EzoispCFfNrU+2hn9ZMXUF+J9PEDwn9vr+W9ADMeZBW
oVI6UVPHwnOSdmpWO2ofSvAARNpCCQ0zIV4MxtiMYRuJgSTAOFXopx9MPwakWTV5eGjFThhO0iHK
w9WcijIww3SKs2WXYzZnmhjp6pZeaKjk9jTX4LfLqUqKB7MVEdSZoa4EpKmwLwhx1QpJatdGotGC
w9/MBCUeAFscwq5t4XH76NTxXg2d9kCr3RSvKDQ0hNpJrczgqSMtEoC9x3VcZDe5Ylb9/TQ2Y30N
pX+UnLIeM1BxQ+5nS1+W8LqVZWGAyxxj0pXpOKdwqM+t2bfuR4TQ5Za9Yh+ejGB+9NQeUJ7GNW8V
YfI1vOQI52Un5odBKyIjtSTlA2MTUFE/YOfj1exnZQz4xUAHDTRhXNZBxmYMlAFrk28YBaGHtjyD
v+mfRQLiwfdZ89TJ6ooubhheC4T76IzFCRiz+lWgZBhR7F5rR6U9pBWjFtC1tMKSJ9LVe7iXhDoC
uMzaVs02sW7W0XPVqYJ8ydqXr+fIqENHE6zk2hfL9gF/Qwy0MwUWauUt1Yjox+m+QuoebxkQ1NmJ
gYKa11BuaHd4v2tlgzZYL3f5kEnBpgnlyXeKWaXd2lnp+UAo1qpVreq87Do4enpI7W03gy6d8/Jp
t63cD25lkrkol4N114pZ+QjZ+FSuS+NWDGJhwjSsqOeFUmdPMm3oylGVTgVQIXb1HZhX7AljrKZ3
pTiKl1WA0TvvS+srQy2GeQHN8ZVWsrt0Ks0q6BJ3uTdEwqVS9jNDnCLdT1FKJ0KdtPZ+0MbyPA0H
9V5Wa3jgcgguhdSBCFh3OiueOYBHbgXejdkgR/skFwVv4S4qpKJvGesgw2/gzpojRTRP8zN7x8IF
jcjWaBav+rSFMNzJ+oEAb36EKtcXgZlf9C+TiVQdn8ER1/tpKmS3yKnxeDgSQiKZxVw2WVMUjjVq
McRLuVoIxUmc6W6aJ6LOVjpVQichgjHZVVpEeyGKJEtZmfXQml5v+U1yTEVpjF1FL8PsjvsgHr4t
GArLyZrBR9/eZ2m1yrRA0L8GcTPx9U4jsQtApzUqs3Am5j2foYwd59FvZkcgMcQ4tahcdDInmILb
xZyEzwm98J4Wt15e9HpvnY1jVD+aUtIaS2yREZIb2sotPykqri0Baxw4XkYuECHJRbqzLPT2bi32
kogYv53LVTGpsYxZvg1bp4glNr1iIMp3g9TXIEEkhUJRHkpCHpM6TgwvVIsof8iaMKl3JLgX8UYo
50ByiV8DwIvIP1AKe7SGsL9V9Moc2dn2hewoXRCHh6o0Gaz4Y93MrV37lZ5+N4Zcjs/UsipLr1WK
uhY3MyGM8yUFQSs4VlXJ6b7OSVPKVw1tvMBW+p5Zyqs33M+m3WuC3fvpKRpvhhkEhxJ9jZbivdgA
EC56Z6PzQXi3pPnmBqL5VVnW7W/Ogl+Og6MZNRPiPqBBb19YGjOW2VB6354hQj+W4TA9SnX4Gd1l
meK/fi0uR6FjTq2F9paMondT/hmyTaozgVwQl8oGq3jExijNLyhlR7sqk+Zk8nkofn0JPyiNlqPi
odARa0G5+UDJSIfcMvmGlhgxFBqtMCqww0XQzaoxxy6BgNGayTUpGUVlVcBTSyW1S3SWN7/+HEs3
9f3JM+dGZ0XOGMryd5eY5DCD3FICJYI8oCEQBwdetbRLzane/vpIH28axBqLewT8ApHWMmXO6+rD
ZN2MCglKfBvk1pU2+5I3N9NnSsmP54MIRqazjdcPH8J7MUVuZHEPH539mcXz0FhyswqD3D+QRVP+
9lNAJx4amMqVI+3iPWNjnjQGcXru2xqj9L3JzCwc5M8sSH9zPugOFvImaunFJfT2qqW6JrKFiy3q
ep/iJ1DJLmh9QClykrafeR7+5ivSFws3T7YO6+i9ZBrgsd4HuCEW79udIPZ0A4Ik+uQ++Lszog5F
LMQ9QJv/3RmVWqUIkTpY9qzERWjDDG6TfdLnM3VVARZl9du3nQ5iZ3GlLO4UZRHbvSp6daBqS34X
rRO96Ty5bi0X69JnAcfvNTzg2vCJ6IxH1CV+7L1d3EAHCXFCtexQo3fW9PQR9Y6Huxb6blfk4rdf
n9TfHI5tAZOYl0hP1Xz3LBmtqURloxv0pIXodmRrvxdSS97XnVUclWlSP5HLfFwicVbTaIPIxWqM
xuvtRQxmulNVM9FYt0LdTtvgAVkN7fteOk467G+5zz454se7hCPCS+GFzzKHrvvdEaNAga7MESGq
Fd5sVHQ8uA50D5PP4JV/e3LLoqGgQ0brtTwVr+4QTc2bHmW3YVN9QxNPhsEj3LS7MkymSoEUR9dG
MyAq+PVX+HcnyM3PU7BYPNHivz1qracBK0hn2IgJ+7VA2pcrl0nlNSXb/V8f6uNjDbWN1Z1fma3x
Rb49FM2/3Kfo9W2Judg+Eoylzmz6za+P8v6eXF5oOBnws/EPnoR3Mra8NUlDMTLu+bQPH5M6EXBX
Z7nbTml/mjGG8f6N4xkQGVWs+MsC/PasYj9IoYMwrbMM0B2hio6qQ6N/17OsdDbtreyTy/jxPqE2
YHCKCJ8Xt/Re2Bl1s7BI4k1bGnJECblO6S2HRnKlkr69ww7MPGfSq+EzaeXfHpdVRVzOEy7zuxNt
x16qp45AlWrI1Ku0nCQnT4kByWutfZrweF4KBYKqX1/dj/eMrOO9BuvBCw7D2bvbU42syRAacp3p
zDLjaFJReZRRyqx+fZiPTwHzFYTOiEYt5Hjyu3OjkdlDi5QtJmvEbUAI+MYaVKxjixjmf+NIfCU0
XDgYVtK3t0sfizVdXBTkhSg1jJlo6Nnq3MClAIP/mZFr+dhvqypqYxohhEOiYCRq8O3BRj2oO0lH
c1L46VpOZ90RGuNpCBQ6eUr5CXXo41eFlnlJE8RFAKrkPdsgNoran4UcgQvwLEccfVrFWmF9cv0+
CDyW5EOZRZkzwj+BHOjtOYVhOaZhbtDK9efBX3X6wOCsm+RuWulCkVtEMZlc07g3wjvmKjU4e5G4
MFsRQqP0Jh4PbUH3qRkBqrn4GWbiby/CUlIAQNDACL77dBo7Tb9ROGuj1CtH95nnT7r/GZfy46NI
YjJMB972eGJYe95eAxM5cGh2jBNC8l8PBRSfs0BEqieZTXk5GW11FyGP+YQf9vHU4EXACMQogx+S
83t70EEw/A6EnGk3XNZ1qE3ZqrHS8JPVbVme39yyqPw5iEjwOTBT871P2EhJ5BPGRrfrKa+ftGhK
BDtKEzpREUHH1aomJlA4hlUMXJt0eeUzKPuHRwbUDsoSajX8Rov74u1ZGnMTZa1ecnyiHA5dMNO2
UGsJvUY+Me2d2+gzs/fyE9+d8UIsAmhPEY3R6d1D2ll+GYUs83ZlhGp+rfqFP9u8OwJ1O0vxYH3y
fvzwNaI11tn44CXG6wfu8e0JyiU5nSrYCVtqB3ll+dg2cJr/9ktqOQorKkU8xAwsd2+PktZDb8IY
0dA0Jw2o0EJaa4naOFIhSw4KkvJb5Wv9Z2vDct+/vZSsBwyy0KCBy6ZGfHvUfG59NMjksCQWsW+5
NN6hpr7JLeNohs2VlvWPKtIM1eivwgK1x69XdmmpPt8eHS8HLjKM2gtz6P0D0rZzO0hTqhEWotWu
oBI5HwZx5ySzNp7pFW00o2rjc7AKw1pAGLzpHI3J27dff4x33y/1I37K5WNQ0YGef+9iiaUiRy45
Z05s5ETjtRBZ6YX/piXh5Sg6OQvL/hafh/puMUiTYJrLiKhRjWhzJ6pCYNFzIn1ySZf9w6srCgYN
ECvfJKR7Scf78G6di3IZQ6o81I5FdBmhpL5uPRAcFtWumSv+sGkJeCtWvq4NsTelfl96et+Ynxmh
3j2gy6cA7bAUPhTlCxT77V2lyUFphnPZOox2hQveHz1ZhIo+yp7AELj9vX0pR+MNh1MVcxsorg/Y
FZ1GWZCPeuu0AcOIhC+AmMck7jJbNwbzM7jNS7X49hLjCcAWuMjwcLqr79a7kXFxHUll74iKKaDE
l3orH2y9boxh3RP92O66GLklVoBan64qiw/kEu9iCmvdSoXqqNYW4mE4HH2vP9QiHviV2qMZWBly
IF31epGFi37JKLHP5wPhZMhAO2MFVEW8n1K5Ft04kUrLg/pN0IXdUj8XCBJENX54eS7+Mxn8L01k
Df/XqSzH4o/sIf/v5o/0IWct+RF7vf1G0sry9/4UY8KHpV9FTbF0eZZdzI8JIWJMYGasI6jGqTmw
F/45IVSkL+xB4J3JKKqXRg3L7V9iTBoRJqpKmh3cXarxOyND4+Wt/+oulSkG+ExsHnlFcru+zwxI
+wHZtYYZl0CEbRwdqlo5BmXxWJQyMalyytKArEzRrzvf3NGi3OGwPyljO1WTPaQOnUhS8atRSoYj
6IjRlfF7wNRiyoKDijQMYVBh+p4UPTStfI8aenLUqAjsXlULJ+7bhz6SnQozR0La7tw0h1wjaxQw
miOr1QMCTlnexJdWfEoWX40eXLWn0vNNVy+cYmeVWGHXmrmrzLPTloGKYRAd5oThAaN/t65UN1OQ
5bt+68iSPSAbb70ptu3GIJKNMQbJmczPXVFdld2ZlZyT0BcVF368x0dTFY7mr5ZhaEKHYi0nR9Ld
LHWbXqaX8QrPAcaA5+paES9QU4k2Id/8qiS8ledD6qWediv4qwlt2z36qPKSDgp68CtBcsiCqci5
jL6H0kV+ScTqVZUeC+GG4QPa+9lG6xDYglI4s53K5UkVr8XaZOzmNMK4JoxwkXLZYTavtul4gNOx
0bvzQsBJ5FUdieCSneapA8fIltbg8VsZ5qzT3U1Pwr1wPz2JL/8UX/65/Bo+tM8/fg0f5Kf2WX76
53/65/iB2fBafeqf1SeNNQlhhcz6NQEm8vzJs9ZVcpCJe1Yt0ibJ1VM6aBK7tMzuU5LVPJEGoFx8
Rbs3w51jO32XPqiK0yMiS64Ai12M4jZpSVld25JTbMPZJYB8CNZWDRfjFOK7pHlDuMKtoBendeWM
8yniCxAW/CxDWvNrx3yxODXrjcGIZWZmR/I0v+SaFwouQIKvo2OiA6pTW8ESuav424s18nJ0xtru
LNu67x311K5d/pz5UKguWaDG/TqrN3HJ2O8UdaMdTq4iroPOMQxHHz0CG6czzjMklA1vV7siWXqw
1avpLHz0kVs1ZxlZy/luxLe09wni2IQdqZHNEiZxEQhPQXOa6Qd5m3ZesOavF+HNOF6Myr2W7850
0YuFO27VQGWRh4NOnOsKzpyz5ASbU+EBGQb3DKByST7tt0mymgonUvc1QlZlPAu7jdKvxRnhzaoS
3JwTRsJs2G11ggXBEdDGOGWw1vwTxT8pDwTZjR5hg+3BPL/XaM5aOFpDxzqt210YukHB8+1M8lUj
nDX9wquisV+vYvGMeeDwHF5Fx5OVtzKxWT17FagjhNIPJ4KtRTatWMvJVWeePcLUywZVktMcQQM2
DCVdSznUCBGuhNM+dPmJ8uRqgdtM7kjs8hIYLh+S7NmPbvGX2MmEP/EwOCr56fjFGqbjqohWU2Nv
L2i2BmCaaCUiXBdVogj+Q9hY4T4l916KHsnfI1R3V6MCbg85ivEyOVjsYH3mp3w2q3XLM/GBejbC
pnWDSLC6yKrnBJdHMDlZOroG5cjFTMUQlkAhCUczWWBOUSjGjbjJv0Vo6Ch6HSSgRNIt0a0OCjn+
v/ntFDEDH41vNLbHLS5EhdmPIxn3iT85ofHdGoTbNvZSbZOW20nZL5DEtLTN4CqUblVT40zXuegl
+U0u3oipW0KDO5oPckzvOSSHFrvOvBvSvbIEP5sue3U797r0TJyu0AGopdcHh+7EuB1YDyW7OM/O
LRFuhQ0yTnj5H/lpd9KcvPxr/t2P3xFZXkntze15WdDIi/vxX61xmu/FCWjKZtiyMM77+XYiKjWw
E8bPTO5WsEYRJ51V6hHBmDQ9ctvDKxLGxybNmE8ftSnlTroVRJc8o6jjmapg2pFYj8jKTkXizBGQ
ChdGLThBsA1KgY1hjkB122C7sjTDHph/m9MOs3xYbmvtOnP9wR3MVUL/OJ47Ej99/a4RWVcp6coL
rmpOD43YUihiGgbK/NG0fY68IkN0tmSUpiDUamtdEMnc2Uy2rfIuHXQP1AcGNaMkvti2HvRD/NgN
TpU0jkrcYnHUg5uC16PP+CzfUDEaBj4hbz6WiM9Vh0DSUb7LSS5q2SQEvcBkd3Qjk2cH7YIpz+6U
yGctubwZWguheqBZ5eY7jYc2am9VbXRLCCNWq3mygUGg8L10KJ8DLXVKoGEyfZW4K2zCpVeJfO1L
ySMv9q9xykxiFEZbRb2C9mdVd7izAW/6ne6I6mTP87lYMJcPeiewFNvsJKdTpW2T666QlvslAVab
zJUikMtQ1O4wPA/BwWwwNgxrXQfFHIkhTIAzQQEfH6LDtRlvr9QpOo+0XHUFkrLHaKZvD7/Klhqy
fK3TbLyUUDAStuEmsorzroLHbzBFKIPMHvrZE2jlCuM9gtJjEksHsjZPjXS8yVL9m5wjClRPw/zf
qFL/r6UCLpRIdm7/ugJdF5Sef1x2j9+ipq2jp/Z1Ffrzb/9ZhzLEXAbhIBXZivysQbUvdCzoOis0
E2jOvq5BlS8MZ3RKVlqCDPMWF9E/a1AiAUEnU9QC/9V+p/5kT/l2I0r9yWqGFh0+BFxudZHJvZ7N
RGUlaLSLRKfyrdmuMl11UgtgFGkF295MvVgG5G5It1hFzmqVEhy551QYJ7RkVbdom72W6ZsMhBVh
bKeCoO+KXj0Cb92bQ3JDOMNRDOfrftRHXoPGLqVB0NfNRkqIE8/lx0kMdrUqXhQqWAohsXIHGtO3
jBFY1mPGUaRn3VwsL002rNMU8XURx49Gkujf8b42i2BKlq7H3OrWmlZh22Oft+tNo0XwLynbMWRY
Qtpxd9MmlWYrcjrei5NPSi251o6Aeu08xDGbNA9BUhanYBapLEr9qRSjcUXEN1iCusl2gTX0Xo5j
9BQfYrhR4wahQEmzeJnTYTtQ4pR4nFq/GKfkMhC14glz6WKmBYQhyKJ6bONOQyys5ASDQCAgsKIi
cDjJTeT2uXFbZSyDEwYnJ1Z5lWVmCk1UqxGpiOUZnuatEo+Z7cdVsja6+rKUWfZ6GAZPWuq7dcGf
YUu7S7ImOLeycttW2CEyllXmCo5fJGurz9y0mLZDT0dBDHcTyeFGsm+GZG/G2GGU2qkzjAfttjAV
RHU5u//CNrX5GEWVXU4UW7Ef3kxBzx8ojqHK68aqW/YgZfOoBYaXy90ZX/3XsZzdoQwcybxDE+jN
VmVHar6dcdJQCwkGbg7LoY9OllJOODOGKtQ9saUfpFAABzt2Z3k15V/LWOcKK72By0FCPvfUKLO2
ijVKVEktm60k58mNsoiK0tw/wm/b1nNae2Mu3o9An6+XpG0yhMXN6MfxKYhgRSh2mh9/V/s9ye0e
D5tnxAg/BHlOEEtolz1KIm7gpzpp0jNqG23TdNEuhhef+HzErOoFeDVMn5R+8hIJmpsi5d+4DwRn
Nsj25mMlniz65T5L09PUNxDMyWx7mko7jFCJt4o6oe0Siaw3qoaJZBucqvOc20ESEgxtDXd0vQ3n
99sC/9cWXGjmpHYu+V7/es296vLHP7bNsudvXi+3f/3dn9pg7QudWhAci/pmae2zif+x6mraF9rE
L60oel44T1haf9owCWJdWvOorsDkQFlZGGQ/V93ltxQwa4R98QmRO+i/s/IuDdtX+35IFfqC/eF9
wGSJef+7BqAkZzweGk5rQ2ydpFMbeyjCu1hJHrMuxH4Gn8iDC/DqQp39+PGvZWXSu4bfy1FRYKkv
2hC8qe+Oyr+IdOLQtZVUtoXdEsRHywBT8xRlu16NjlNdUDDqyjrO0jNAOgZ+E3ZUSR1ex6yyK94j
BLrnser9/r36/zNY+Odd+cs+1j8euz9OuoaC6q8W1l9/78+7GWI1RQJIMHRXr0zF3M0iQHwyGzAH
08+16OL+827WvhDpQa6Z8jL4WIqFP+9mfosfQ0oGLyqeOUTxvyF9f+kUv72dIU0ukztoLDTNDZ6o
12WEQOo6vg8ydqs22CkThfUU+6vQV0hK4R2NSy5O3EELLy0ix4VZHzY9Ujzk07jeNKxv2ixNmzHQ
t/nM89BoZvFvrIb/P+8w2pb/erH8R/r4kEdv7iz+/I9bSpa+AHNk6ZFwgS9De26cHwukZH1ZGNTM
txYFmYKI5s9bSqX2RIAC5A+p3JIL+tctpVhfqCAtqlICa2ia8lu/cUu9W6qIOeHHL11bNHlIGt9P
86quiiq06IGzINXpsGMytI0+FtwiLXFxvroof7Mw/gBYvrqBmeYhEyW5DH0Sl4IZ6dsbuNIgiQSw
bJy2LtS72WqjR5FSDXRR0xUnpqB2rTeYOTKQIpOHRxoheN7TQMZMHmMX2AAzYbiJJTY+Hf0pSN0g
bDoLdEsZn6sdArlV2OoRYmMiJfeN2maFk+XlsO07EeB4ZGFltEf6xHcJQZa+reIqGKny5HpyAl8q
cBjKcXajhXVW2hKF6nmi18UZEMKez1LRlkBHaND8AOrf4zEzo7vaL4PtQFcDnxuprabTqPGA1yAq
S80W61y2nDbx5XtLIYLPmSYjvGkQJ9AiJZcUZ1OeYUDVNGFp1gitkq14y4KUgHzTH4M6LW6b0c/2
xVDGFwEe9XgTK5PaOyQ3lrCAhop8JBHglWALXVWd9T1jE1dqJ6n/HhtJpbstY5H7oLC009APl571
WGt3GEJR//d1Kuu2lcoDuo45r24Afo7RRmjIYrbJeZvOjQQGKeBoGaKPWQrVV1m1/NvIgp2+Yq+T
QhLIxQYUkjgzxcO9NtyrYtQseiLJvJWnflTA3LTZY5ZN0eAV6sS0uKvwHzuNaMJGGANLOh+EIFM2
aqs1Gq0tqTuPIRwRXk6SW4uEPDJpyRlqT+bpqHedkw+1ueeuLfHT1pN1hdAvLLlfKKVR/5ZomkAc
6PchDAUZa4asPghZI8hOOsdK4MLlDGsPpFt1Ng1t/xjXIBLpk85th3e5GzXsA01f2aC95GtI1pjk
knlE619Vc7hug2ESnWIYpuu2HKivaQ7gCNRVvT8FDoKluukz2rh+WGjEFeEWznVqjLXCXOp7RD5i
7qqo+mltcMsczDocMDnWpv4NO0Ys2VM6iVd5gO1nCQSoaaWUPT04SawbmhJp392pw2J8kqeQ3FCl
jVrZTeE63wfhOFa2P+pwW+uiZnEHwka/T0XYotk+MtVsm5E6SSyUmk6hw20iPJqAlMKVLAhEcHLX
+ZoNgxHophj6cbtKzKlR7FFKy8LuQqG6VGqNxUGpxzD3JIX8BqwESMYwjcjmmaw0cm6bg4U7paqS
NrFLmC6J289KhaNQiBrZFgFEJXYnJU1mg+EYnq0uLumUmClPMx/jSlPGgVY/KF/DZWOuKnYhTCQP
DuJkCc4SXSp5sjV0V3QJFHRkUYULBONacmJoCMvxTY3mMYPGE7rhrFXfsCd1mMx9qQOpU1nF5NZG
1D6UwGKjJV0Hi3poDun9MLXUaXJX+vXKjyIjcNU5UL4PCqGWJ3E5GY03lnVTrOdQirSdJcw0MOla
Da5MAk3uaVHVPqXh0kIFziMqJ5A2kXcWY28OdlqHHfaFZqb3rOqpfj/rcHYx19cy4xxjujGiRrwq
0z6/CPBHYcRAeHimWakmuXNlyjSVEsXIVv8pBdtpmUqiLXz1VvqAlTl7KLuHP47fhz+QUebf37yz
X/7qj7c2KugvS4Qr7R+m6K+3NZIqfiHklWk373S0U8uG52chKPA76EeWiGFmmgTnMPr7sxQkxIgX
N9sgxvLLgB55xe+8uJc35V9vUob7CjWgybCfH7jMUN/tMQZlFIUR/OuhwdiCrVxpheccvc7m1cX5
m1f2WwXFy2HwBqA0RDG9ZK0uja1XouLMnwshBUF3ENoyZRAYzyu1botjDdPgNhAk9bZoBXmrSJl4
W4W6/luawOXwTGwtk2H+sopQZL89vFBYdaPlWnBCkma7lhIzW2XjcPHrc/x4KV/ULqDcJSwQcA7f
HiQUjTYtpCA8kS0a+4tJ3kFY8Bkj/W2l9eNUKNeQnsPK45/Lp3h1JYV5CnxrisITzNEjCQx55s7m
nK3I4xJXv39Ci6JYNEinXFBIbw+VdBW3dd2FJ/EUd08WaSAeoAGMN79/GOrQBXGEFMD6oFcKTW2y
Os5o7DNGnKSSg4RjBvXro7yTRb1cOAMeBqhrFAJUxcuFfXXh4AEWgtSL4UlgFSUMlGJGPSOmXuHL
34dmTBmP66ardJ3pEYFYrPpxLv6Xs/NaktvY1vQTIQLezGXZdoWmEZtN3iAokUQCSHiPpz8feu+Y
w0LVFKYlXSgkiszORJplfrOvUtt7/16E8IMbLmEtmf0SGD7rFwYKqi0nnqf2Ad01a9fCJ15RTeaC
WJxrdjlyUSSawB7A8p/P1huzWZxSF6cyUX/2oCk3nl18tAoXqUB9sN+/U4AIsU+4qgzqxYud0rLm
VeTZ4oQaXXtsoVBt0nooVzCZV7Y+dR7KPeTAb1pY53MCIESInVbxyYDjeBw8CJFlOv7q1aD/T/75
z/B//leG68/Sy8VRJiyjAfDGRkMifQkrS5NKk3YRpyeszin+MjDyIl6trdwYFx8JngPlAVJwpJ5V
+EyLCc36hegGcmNMabSzwzT5aYdFs7HB1H5EHPR95B+OAONBnZo/kMbeW443akbdV7WITgEyFdTM
84aeorsGJL1cPCwpSTmhdyJVia7Y+awgIvelG5vpadAtDRkoA/3cIjH27z3PJJpEWNAAONIU6BZ7
LgepY1bQRk+FbaIThOMODh7l8DPK0K0STag/j1P3ESJ5/bvoqvw50DtUVKZ8PNz+QS6nCwia00xl
0Jlvr8XbEllyzDWRiZOJuORetMrPQKEj8e5BuIfBVAI5d5jwYqfIWs9JsTlgAGXbfZBV0W507DWZ
+StTORtlMZW8DgMsXkdxanQwCUI3h03Yu9XKXC6OMU/KfLiIO0xqEkuvZYSlXLjOeXpKFQjzod2P
36VQ2r0L9O/D7WW7PhTFAlplxExzRe3PO1/NIYTnjpqexlSzPxuGgDyrl33zAtfZNlfesfMi8Xy6
eMXeCJCaDU9kiblHsgs1T/SKT2klPwyg0u7LgdQRvfwtrJStLMFEoPS6RjS6/GgMi/gmh3q+RZbW
zkYyDl0TDpQ9tFDZGGmEYB8J0rs/GqOgvDHzODjbywDOFVmMw4aVn0oo0MW205U2fSynmpIPWU8U
rqBPr6wlRVKOMBKC9FOXDiaQcKcakH9xcmpQ8vugnOSLFHYbHFJ3cn0cc9yfo9Lap6EgJ1z5kJfX
MsEIMTc10jfm7GLXhJVj5sbgIEzcIFq4SwbpUD3KqvibENL4jvICOjjv3KhEPmjwc51Rk2PYxfnW
qQ3UZZjWp3CwQFmoMvwweTEyD4FmvcsZg23KUAQg5B/AbHlPF7NT1Ch27ALPdXod+m+zjzS/UGst
XlnEi6M3cyfQaYHCYBMSL+kE/dhiUp3J7jS1WocNWAK/v63BqyhB8Hp78S6+F5EH2QkhHWccJc/F
4mHqUQFvqtpT5ab1TvKRHvqhpNuHAtAdukvuSgR3ZWqoz5B9EbBqtIPmE/lHJIlIS2EJJKhPis6E
6sJDMKHK+u1QDM5K3nRxDuapgaN3CA5mgs1iKLZeNago0p8I9bQfvSrjrRJ2uDVYTu/DEYZdm3sd
CnJpaL2LZ/O2T1hLbhVMX9HmWZJcp0lPRFNr7alHRuNQ0qv9nhliWjGhmEHrZ/nnPME/Rll8O5vi
S9h6ensyUvVba2bDXodsd5cqefBXHMt+OwVx/9448m1M4mwLxDl1ncUzZ2RGMekBY/bgVXdmpLyW
aP/sFSrBK7HB1Z2CFDA8O4sm5QxP+XOn2PoUdkbjtCcPobptbkTGprbA2Sa2thaGXB2K+5k6/Ezd
XbooZj1lIqz22tMEcuBey1X1VQ3UCXM4M1v5ZgtPuretwWNMFwr2M+q3S2J8rdtdH0Z6R6W9DCLE
/9zYnxQ7eaDVEJ7UdtAxEiocwI0J9gkm4oWp/sspq+y5rBLtYyUsueYtcPEK8i05/wam6Nw6PBvn
K422TImvVtedxj6v2DS9+WB2UbDyLF0bBUQQvWbyYUhZi+85RdTWp4ZRpk4GgNJaCNKEoft332fk
9RRJKO/MyPZFZBuJoZnrrf1J73lqI55AYM0xupaaLF/buo7ffZ/hrUdvSX0j65CPnK9dP3qiVhp1
OvUx2k0xH2rr1MhlTxjE7N47NTYNfDaSA3ID/nE+1Fg7WT5JUz3BP+XaSusaBG9hUM/YKWXvBFuY
5+maR9PlJQoTEm4Qx5BuurXsFoWwsEtdC72T2Q7eeIo1q46OSpOhljcZblDs667Jug/SM5L8hL+Q
9V9wx/8znby85MjyZirJ7HHK0zs/YH88GK3Q1VJrI+WEtJP70EMAeMaxqT6mtQaZOAasjk44bkbm
SlRxuV1RPqdThjM19zgiFufjWsIKeJrz4DSxy/ZZUs1V/UCsvFGXo8yvwyx6TQcSpNv863/MTtWD
cbAhLpwCJIEOo6mLvRPla8UoyoX8OWdPBWZFUHppgHIoPJqM5+MgfWjKmfL6DMBnMD8OzqCY+9rt
Lfdj6OHgfpiLpUhclpM2PYVeBfI4rbI8V9HvAr90iMsiBbClIai0n4JJhQOhV3LWFEqDoo39usUu
b2eYvarcOzayWZj0xSLfpEY4xDur7YIXxc4UyjWjYcq7pAgKfVd1Ss6H1EIguEFZICHWDrODGx4O
QEyRKIut71U8peO2CNLpq0TnK/mQtLQcUB1Es+IxC+oI1a1wANT2WYta+AFq0RnWAZ55G/+Ikq5v
DkanmwGQ9UbgUhBb9W+rrrRuI6A+iacsdwvzXgfx0XxsZYj52IRUHYpZKCSpd0YDnnYXm239GqaT
A7vAVV0wq24ggcKCrUPGGWsAdHul7XZPEY2aJ1Ud5EvTOJWxj6lURX/ZoNB4U4iYfwwGdCmfBkMR
PYtaDuM+yib3e0156SsQLUceJy9pxKG2+zw8TkiAtl9lUsIPHuIhdu4HNwiVfD+OQaDRodOscu65
Oe7zhKBufwCD4/wAgKW5O5FmbnKfZ3Ve7oKhdae70inoiZYSUswuijsdZF3umc19hzwQSJiqj91D
oCsDGpA0nHaFWsavVYOs8gZTjjTf15iYuLQCDTNFgjeIfhRChdBWqlZGK5mK7r3ShEm80+parTfF
m/hfmgT130Gv258a+oYuTVG3i57UxszFvgCC/KtrsF/aupPsgBQ3ZAzHQASQkunPFOZJyTAXPSST
0wO892rixD2gRdN5Tg2FPk+pyNb5m/fQBOOcOOhcbTJple6+cCYj2uaKl/9to8T3N/3jQt8qDUJ/
B5xvZxfYKtIHOBepqn8fKMuJXxO6K/qdEoHHOErs4Or90IkCZa/QhvEyDWYCwcGKpXof0ND3DrWV
9PhOeImDCRdFu2QiBxfl8KBbem3DNzEsxdhY0qWzGXkd/casKQ111yQq+Od66mnW1vTomkcbxfRm
08mqar+Po1bWB6/vjegQJUYV7aGoFv0D1iR0bDejYQ3Zo2v1NguvWGz3uKtBLVV1JhO0lpVG+9mj
YJYV+9iNRXFqB2n1WMygYs97UQb6fWOpiPJacVAoP2xcLPDHcTzZ7XJdzeURSwiv2TqhtD/STRCu
2EYUftWNHZShdW/j6RKicVjk1XFqg6a4jxJ+M4KsbiT3U9W06D83vVAf0Jox7Z3dIbO4GcmakHlv
gXjaYdbbG6enyfFcVxUdyqYrdPc1lEgNd8BWET99mbTODn5OWpOFryP88h6DH8Qdil2mqqlo74sJ
bVSq9wjR1T8KCSf3U8JpH5+UgiznmOCH0SCVbCCcuInFEBTVbhJ9/hMNmAZt5yzOVe6sA2CE2hYP
k2WMd0bS/w4DBf8M6m2JJht907TFA8gBDfaU9a2pnGcag3JnF9bnsR/Yb4FF/7yy8ECx6vR33Q7Z
oQEduvOox2/QFvdTJdTGTWRU7RHFbH/S9a9ZbbKVoplaFdN4jBST5v2UxF9GQhSoIV7+0LbFMbVF
vfcCqs1qOwENBhjqB6XWH7zJNJG7hJ8T52a70bVZC30Q5cc4UJpdMU3uRkblc1SYNEF7R7mDfJD5
QUTZDpnF30NYwVGI7FOMTzhGbpYCCSWHaQaO3siCbN/1Q3g3acbfo+jojzvKk2HNqn5YxxwsKlrH
ptXCnTHSehoNkClSCbpX22juHBdzKLeJjL/aPn9CYhmK1VgG99EUx3cEtLBWNP3DhIb2rm0y7Th2
yaNqBc78nzNoG8h5u/VYP8sMukJhh2Jv2llxMrX0u5Fa2jaMx4+lo4ZbpbPoA0dB+UiRI3wN+jjZ
ZcP4Wms65TZd7TcTifmDLeRskhcfQIP8sk0LekMQgG6wg1F426IctJruBIDKO601Smtb2elINkgD
r88/F01YwnqKmzb/0KexN92hoW7Kj6ZdWYB6y0hTHrgnvfYB3Z0uukPeEk14uxJu/pyPQZ/9M+D6
M3wYKzQkdyoIY0SJYzXK+l9jNebd7yQa9e6Tl+Rh48exOVGFp0piHItKEfqvVFfTEWfbwpqmv8Zs
CpByVJWw7h5KxFirf2Q+qNUHNU8zAAqc6Bgp91Z6D+nYwjJG1EJ+Umojco6yn4zxqME6Tu+0WCNl
6ygZWYcGY6r8d1qmAQQNwVsbu7t0pErWbk1sDp5mH6J/tMmJvB8BlzRwjVotWwjDcYiCXOZqfbyp
kqgxgME49rhLOFFWsS2EpcvtEDgd2Ah3sF87ZNx7XBESJ9i4AqMCIOJh4uf14FUYDwHk2zl1572k
IsW6BTHv/KfnZYUOZliZhkcvrScswHI77dFixp8HOXklNe+E1sEhaqyp8LaeSB0+Gw48ZEuZav4G
RlVh2ZRapbZpiUjlvpdx9J0n3YB15oGc3xZKKx5EBUUVdy08mGCFuTI9lL1UPwxtY3hbF/1QZtrm
ivmX2QjxT5n2CWBQcBSwVjUv4xl0eah3bt+0qt9YmZRbAFM4L7AuBG9YppkFaUBY/Gz6OtB2edpO
xWYIR/pjgyJM+0M2pFN150VjpGXbQQGtgeS2wAAV/RVPPAHwUPtwk1eAPJ7ixgkpjudOau9SHVeg
exf8YA9IwTDqbdbZVYKmRSkbDKLk4NU7il8zKaYtYx4wO7Wsj2U1oM0fam32qfAo+cARVZPxWaSE
bZhXWLX5qc3csPpQYfrDfRkhX7SLjX6Eg1M1de57hYFQfFP1Hkm/VdrlXaT1WnDsnbzXH9BY7ZSP
qYGsyyYtkcwnKrA/AMXB8AD+P+I1MZj3aC8J8r8T5at4dXMkSeh1I25+tkItn8wh7Bxg9ALl8SOP
hRVvmzZJOsS6kqhttsEUWNlxKPXG3qJOG5jHpCME3aJ9jjY7DzB0T15mXK6MoSZOV9y4EgdUiXpU
x51OZuiy4g+iPtIiw00NDpFuHypurt9jB9ntnv89QjO2bl7qqhjgDaJwTCwhqgHrCbfAQ25rDvmg
75II9yrMZKtU+ZQZZQmfbhx5F8ow6CTKKlrNNcHTUtSPQyaLn8BIFHHfdRm0pDgSMQ2XISzwLNc5
pv2xzDVjPGnqEOaHYsqM6RjQxW2PetpBSTOzGFf6NKYEuMNcCgYAWoTiJXLSCmh+njufgZFG7gYm
RJkfXQwIfqKOCjCprnScmxDToOVcoRP6g7JJmd2NxPTZQcaJXm+MEP3xlcrlRbZGwU2jlcOlqtNa
WuqD1WKIXC3qhJ8JO/TjvMA/eNSgAE5psE/1ZhzBQ/XGyqgX9Zu3UZHdJPij+bhsoRLUJ1U+tsJ3
eMZg7WXRPo4GuKm5sjbBi3rpPBTy2RQYqCxSVzxPpCieayDKJ+F7HJpNpajJaQTIDEF4wj6t0vNo
Rb3uIkNkQIom4DSRfCELX5RNnBBbeivXhT+khvMaupb2LfHMfKVscnUUBK3sWfOICS6yXbUc2mIw
HOFrk17Wd4pV2MGzN04w8m4XMa4NNJd/UY8jD6Qtcr5+nW12VVI0kV9aRomrEDRdY4yr4+1Rrm0I
0moXoA+yA/pSILRoaqFg6xP5YFfCOw84AiYLcXZypL1WILm2IdgO1qwriy7kssosq5Fgve8j31Kr
TxjlcU1kQOwI9b7R5n39F/Ni3yFtxNmi/nq+eohcOpWL5Z+f1dJ8VsO+/GdC5xu6ub5WqL/6oahn
qYgazVipRWErg92fG42kOKlhTsnV3wX1C2hK0f11e05XB6L4SvePa4NS/fmcpBlFGdjMyA+CrCHV
ADj6AowVzvT7x5kxAyCZKCdDCFiMw6tgZkoc+3D42q8onw+w4qdCZu8t6SAxQw8MiDXlOtpwi4LV
VGaBPuHO5TvCwoEBWajD6Lji83tnQ5d1pu2A5J6/0mKUuhEjr2mZ+G41DOiid+pTaidyBfhzeY6Q
9qdaZM61Ib7OouSIvnoxqF7nnJDKBtENYGZLEFTioCL1d3+e86EWFSq1lqhNgc0+OX2rnUo1c59p
Tq3B369sNkIPAGBzKZWy7eIA4U2S4pPSewiLKM592XYhMHHvffo/7OMZV0H/kz3AbsPL8HyrdZ5E
pVNWoV90ot+O4OhJ+c0S7rTEqfblvTthZs/SjQSbAqxxWSB1wBEnbeqFviJDtXrOwAqmJ9q7/2Uu
/f8XYpnUn+MsJoWjJH7ASip8RO1dbECVvVb/UhwEMoEt4xjmhs37b3GYNmjZEJIxv5mb8WdxNBka
N5oDcN8dTdlu9aRPH1Dt0qO73hrFP+9eRuRxXHY5XVdUYhfX0Kj3ECVDVfhR6mi+ozXIsaTJUPy+
PczliaJcDLTMsDUHTbWlEBXFT9WD1JD4+DLF36aoKw9Wm5PrS2VaUyNfG2suCv9RXI5d6SquPSU+
2jcTsgx4fua12u+ptqx5xl+eq7msjAIVuj+zoOFiqBarjyBEEN9vUiN4oTCgHeivOu9ttkBZmbt0
tKn4ThfNiNQuDLOK0tjvkgh8umb3XvupAtXWbXERco33dqzm4fhUQHwhjrErztcPIazQsVqDKKLv
qQgMQ71tZhz77R0xB3BnpXkklt6ISRByQIeoi3Olz/V+q+WhDbpoIBkEQgKNILK6u0p186fW7eOn
GCsNHyWjgeqHlrrvEzSd7ytGpotFYDu3rJeae1aNhwoW6bHv1JTMSdmmYHZHiPOvWgiPaHd7wvNe
uJjwm7Q14BR4eYub3gzNAneqKvbN1qgPZEE0OW2k2UwziR/suG0ew6zW7yqPju/tka/sUheqFS0d
Itz5r/MPGnVR5MlUxH48SrnzSi3at70+ruzSa6Pg1DXrqM5/L/E3ljskaopKoB+Bffxqq7FId/zH
KNzens38xC/XEfIkFBrGIM5dzCag1AF1inVUjH76bDdm8Tl2Qny0ArKugvqvtzLglftkFiac9XXJ
RYDcnC8fjtM9HvFK5Bc1wNvRVbqDrBXvoYFF/Pn23Oaf/WJubyReXlEkUhdZT5ZNcRmbQeQnIVLr
nIkQDOmp6HT1JY+dbhdPKP3cHvLq7OYPRlSFevcy4O2pxstIiWIfFV/zkJJJPjj4Km8qw1lT0b52
AuhmEsDb3LrQlM8XEldDcBsD91gbNRKL1RILmkZJH/omU3eoGGNuBKfNe6gxu9n/i1k6DMxEKYc4
i4huoCwOEzGI/UGz6++G18QwBzAFKWguBM1ad/zqFnXhkFtsT9Q1Fs+CEClGaYzhu62rbYPCwJR2
SpJ91mnZo61O5rfbs7u6bf4Yb7Ft0qKisEXdy097ZAhiR/4KW+QP0iGOH2hcpU9aItMVRMe1fQPv
HhQhyv2kmosVNTI8dTxlrmwGwfgIhxPCUSfa7FsgUKVcuTvf2PLLg/HnaIutQ9mJ7lasx75W1YW5
G2brLJp/wYe4jYdjFmeCniKF4LFxW2dTO0b2FfrIWmSxUHD+z4tBO5k4CUUXBFsXMAssMSevjxxe
4r6n4plJJ/tZYuBeQRM0qNh2edjJbWbTNKSFlfcfK0sPPrRREd6lhRHfD5U67YWdoa71/h2gY3LJ
M8ZFhYbq+dFyXcyXkJ6M/VFrxT7J474+ZFpCgRgcQ5sc+8xBzUgrVqo0VzeBSQTF752RUYuNBzQh
CFosoPzWoteTZ8bLFAfqvpS2crw9wWuvC/kYUdYMs0c69HyCpatUeHZwdxgDzaEuyOKdPXbq4fYo
124oilu0bd9CkyVeoMnRSazbMfZzgDMo29j1Zym6+kk3+/TT5DTeoxGYzZ1WBuEKxPLqSmL9zbdD
9Rwe1/n80A5VixqHez/xEmvv1VO5h3tsPIA5KVf2yvxHLc8SgBLdsNEFwsxgsZQ8YG1EGJ5g+1T9
Sj22alOX0y8kXPRv1P7GoxDu+A0lmPQXPc96BSN49Qxh74FDOnnVrLZ+PlOphiW/EiD4SE6Ar3La
QGmZYk9sdaiOn5MCrS4HT1S69r32c0itbzjxmofCbY3PlYqlGQ4h/fTt/R9+1u0GIwJOy17iM3HK
qygdEyIh5UXxtNK06RAUU/ND78eOUp3MvtNVqD8pmm6vLMi1PQelB2lQddYbXUZnvZFgL6UCh3Py
oHe2InZiWiAxfbJdlap9tlMMi8avpiZOvpOphxbS7blfez0MZEqQXUbzlPLN+QdRjECQDNSxj1qO
9lwCrfgCzyg+abMcYq0K6+iJDmXH26NeeyPB8sNhIcGez/T5qF4ZD1TfitiXmVmEONGb+dy8EqgW
Uim/NzJNWTnc144YmvPc4qw20cfiVcaScMAwfIr9ytCQCO3TNvd2EsXrAJVfueoZcm1Z0VwmaZsB
8EQe5xPspkBF6cnjyRKVyzh9+XedhOB2PBGJQ9/33m9BpvXyL5YV1iSlUvoC2A2cjwprBvdhyJJ+
2+FZi5ScTGmZ03M9zkTJ9mC0Wv3l9pDX1pXMVJ2rwISsy3UdmjgfY5igfjsY2bMjwmHc4X7YYUAY
mMnHfzGYBUNtbnnQrVxsmwjrxWbMGpJ7q5IvVgs68JAPkfwbF0ka6LcHu0StkiEyGAI++AeAx1us
5uDh/YdUBkCvnDxGiZOeXjyKt3Rkp62NE2QnTe1jhEvDzol1sRsnh/ZPWDv5RhlQj77948xzW17c
gPJ4IUBNUWxY7Ki5TNU6UZrQe22TbwHej36SC4qTxDuubyRD+dy2SWCjFDsVT5ZLE2DlJ7hkRM4L
wl0FIZeXijv8fHuV0IhKS+FHQEnL3HparQ5PU2eNu7iMpufC9ZRoC+zkQ6M15pMSOdpGRTQbUkKP
UObt1bh2b4KQpg9ESkahdr5g/ijzdPj7lViJJn5sCvdA4SpHKnQKy8e2cMdD2wrvH3NI5anIc3tt
X8zfffklZnYwWAmknS7iwLpqUQDBu9TPUtCpG24t87Vx4/YV/2C09eyxro9G1wp3M/VFU2xlVg4W
4F8Y1SuX2rVbhmyKKgZMEDbqYk9gl4pNwdQmvtaivIEkHP0lJKBrWtB4ayTtoUnC4LeiSHVaif2u
jezMfrikOdyoy8ZCw7wyhftsxvhoziYsMlXsW6UxP8kWaMIGhQkETq1mXCuZX7tvZsdfHo1Z3NCc
Q8U/Prw5IKcwm8/70srlkzaUqNeigPmp06M1T5Rrc4TLyRYjMGOq+vlQij3hilsmtBsAtx+Cocm2
FLXse3C/ymOdipc469SVdb0+vf8dcxGeIY0ELLDIEl+lMvbYj+EnsASIHedFen/7BM0nZLmLqVrS
s8aQBUz+/JP8sZA5EL9SBW3gB3npYAavJ+N0LLO29baOPsv59q1SrUQ7V8eElAjv3QTQvbxAAs+A
njQWid9ntOMRCJxaxGhN5F/zxPD2eYen+e1ZXrsnCCjn4AobTGtZox2UqC0TZHz9IQK3FqQFaDg9
C8o7XU/sx96JRIM5E9a9CpqHKxfF1f1DREVZZY62jfnX/1hh0YHe6nT2jxJWD7ka+HY8QOpAUlyJ
gno3pmt1jquJMroR/3fExQWNYYjU3CFO/EwHP2sSeu3qogz2AMqrB6duut3kZN9SffCOetNNx0i0
+sqCX0vVXNo/RPez4tKyf0HNFjBswbbCl9M6Rp6K7LIddCvlxqufFedBwpz/MGnPl1ZOwpjKFBNc
HJWQF6O2j8i97SJz3ImnDsj6oWtGt9goI9jb2zvq6gn9Y+jFV7UxMIrAN9HMoDusbDxbii+lC+Zx
ozoziPj2aFeXc1YfmA8NAILFFw2juqvMWkp/VKYAacmuI7Iqyn5Yq25cmxZAuRkpP8sgLns0ekNB
XovmxMwttHwT29bQAP7VUgoKlQom/va8rg5HND6T/ZC9W3aeCr2Yojh02akYaCARnsnyKyDY+reC
95T8F3uS3G5uTc+dGmMRNsohFko2KVx1rSx2NXj97ZQPYmVPXp0SjqkzzJf2yZIsDzOgzkMvkn5D
T0PdmgJs7NHIRPO5rx23XgmArl2lhIIw4uEwoce2CE6Vmi6511bSb3Mj+dyYzfgNbSLxijyLiRgY
JYR/UWV6M0AEY/KWqy6CjSDTMhQuJulbCIUR46fFsfMasIgSaPo2F6P5oQzq8e7dG8WD40oyQwEe
H415Hf64RBsrkK6REWyZE845G9cxsH9owadtXLyIVvKLaxHuLJY8J+PId0GtPR+NGzuwK53qTyUz
eBvo8D5EppT3CNeOR1zp9EOjB+lTDPKs2FiVWiLGVjuvUquzld105fviFEvHaLauRSZ6MW+7DhTJ
DYrZQ2fiTt9WAYjCIFXBilbRZPzVZFX9/fZSX3mv0B2ay/NoBLGt5g3+x1Jje821MvXEdNRZ/9by
EM4Ksv/7VO2MZyhfwQEAvLNmfnXlhqNsOfNVOZsqBLbzUWtReHk7qHzgbBqVXSWcBoxkr7vJ/vb0
rtWeuOHgMlPkmeV2FrEVJEQHo70q9YdqxIddqzwacLaeyy9Tk5MuA+lH5q4rsU6x4j1hQ7oTZQi7
GvWVUyBrJMKyQflw+6e69p3nrpnFKSbGXFKupsoLSjLo1Af8pO2bsotQ0NTy8giRRr2HjFp8uz3g
tSDBI56l+GeSSF+QMfUA+bl04p4iAsIMOcNXYSr0EaaD2s+sCnWb0ABuocCAilVZsb9UJclWpn1t
r3FVEnrSj+ERWLxr9JeAB3kca8qq019ROf1wFTneKWbnfC7A6x/Ybmt6C/NOWkS8iGfN3XqHuejm
4uUeEmkqPV1n302N8VMb4p/zWFC+x6aLmsIOoaKvCS2pEaRPG44bVK6M6eX24l/72oSDlLLhFdLU
X9yhRQ+xxEKPn07UWNkbpPxM9PpID385VdY1j97UWv/VRn0HhoVohcoeeRqgJjBn5wesqgxhJyjA
+bUiuy96PCn3OCSYJ2fsil0jVeVOQAc83J7ote9LPQieHwUUxHcWudMwWKNRNWHqO3qX7yFwKUcV
//J7TarlHcSF5lufKM3KpnpjDi6/MMhHipmUQ6CMznfNHzeYIptANoqV+kYc5V8p9kYAxp3+pUK/
9qgaYbl1oxHvBxQbFTMIdzbKTltaOsU9apVij2GxecwLyHu3F+PqzWNhxcaOAauDYMP5zxXkSsSd
raZ+5kIh6JTG2wHL66OtCyYAqXp4X4EBS6iLxnBn6jVNUNxyYIAG27wcK8q/Il55V6/tRNISMmlC
CARpFj8SsqZFr4sy9WkzO/1m6KCisjrtTEKM1IpXphszbWUhrp3Aue0wZ9P8c1mv0JpcYIWnpz7y
itrBqkr93gMycw+FvzwMFpgBz1XsbZcOmIDA3RvXNsi1bYkXHlVggkGkdxZXgIx6kWV0nX3bRGwC
1Xf6dJvOMKARgGefjt4orBObC78EZE7DnsK3Dflyw6WCjL6SlHjTVONvMQCa2gyVm/8MmrCAtKT3
8uftTTPv1fO9zKmbM5y526jTcDzfMwgEVWYcABFtC7VvsUlptC+GrMxp5aRehq0wfed+JjcjRc5l
ByKJB/RU5t5aU1K1G/lXi0ewaPMHTTrQFd89K5iCgATnbcdgi21XThghZIUNmFeadrgrRV5ORzOM
yn4lwbiyfAAe34SP5+Bxidswiiw1s4iuuJuA3TSCPN0hrrAmRTc/U4uPpKMnbLCjoZzSmTz/SIpu
1MyW8gIN8DwC/uUW7g4YSdRussgQL6mSpTDoasAqm1L1ku7H7eW8PFC8ZrjVzakN4fESv+ESVwAN
ixJ/lm754MFcmvaZjvj2a6FUBbVIqMf/1Arqo49e09T1Hhnv8d1sdRRUqEHO+FJEpa1l0FwKOhKR
0ie+E40SXVi76WnCR7iGVIo2gngqXQ5LKfWVSObyCuNBA3wwg6hn7/TFYXbCKMwJVUjrqkEPtuii
TeF+qN10PFopw+9EZxbvR4QyKEhXk5yLz75EPmTIQhb6MDvWmXL6STkQ04fO6o6mNMonEvPotfQ6
b+UzX5kp4HcadDRaZjGsRdigKKFdtC1FT9vsPeq8hO9ogsgM2qUxeBFUKKm629tb68q9MMejRIoa
TyqaJOdbOxZSpMlEiWVSoWPv2rRzkjtZGiUuR6nS/nV7tGszpKkxoym58DATPR+tpBqQB25Kcmn3
BlThDH7T5A7KF7duep9qe6OsXBBX5kcHEq1D0+J6Bdx1PmIOlMIuvED6mt6o9v3UqGW/b2i/FC/o
PVTvfm6xgUXhH0kCBuROOB9tMuPWGnUj8w05oXSMxoKPYDP0NEpZR5MuxZd3r+cs/08+AVSO+vTi
bCCZhgGNK2HCxra8mxoDhzRPH39ldl0P2wYu69pVePm0og1FgxUXYV5D4uvzGSpSaHE0tZkPsUJX
dsUQPAcId2xSe5SYxLfeoyc1bQ2ed+WapzzABUyBF0jnEpNDrUIAnp0ynwtI/6JAmPu7LMV4f3s1
r46CDBZCoLNNw5LvolWh2cbA8/18yPO9MOpu6yr9Wph45QywdlB3WL8ZjrfYkai3ZqVZDjnQDPLh
gxmBN9r0kRXrh0l3hX6o9RHHsNtTuxwU/CuMQFS+SEzgopx/NkOEVdTWXuaLJrI+OWIyPxuIDvya
RGB9lnlrW7vbA16uJQwlMj5AojPMfUlTirNZj1Y1cr+1bWXfFtDDg65RVvoo16blEUCBascynGTg
fFpZaJqxsF1GSR2YibqEBZ7mAezbilLxpBuHfzGrGcYBBEQj4Fh8u3gMHPxWZOHbSm+cRAMZ08jH
lWfg8ojx55vz60NeBfR8cUk2ikKXrUpKv5dZ/JAFk9wHYdfxzqY4NSJSM7wGoRusuVlf3pTzsJRO
UHyGGbPstRYBWM3B8AofAZXu2Qpj7YHWOIIAGJokyvu3BzAjdKIM0DAAQxYLGbXkcHooSr+yu3/a
Im2PY/h+nRuUJNl580nzkGVY7o4SavjodX3lx22ZofauWuXrWFP529/eFVd2IaG1h+QouNNLNbYx
yMxQUtDydR06WVc44YPm6r91XBv8QUE5/r3DcQNTw8dpDmDNhYTemJuIbiRT74s8/DaUeE4pav3R
tjp328hxjQR4Gfu+3fdvMRhKOUu9t7QpMxVti8HXcsUGrxaoxTZQ4ybZ83x7T1mXCg8lrzIt933m
9Wtt+MvDwGUJfYreHg8rFZ3zE+5i2aZlSTlywhGAztzqK5YTLyF4qm1p9c/YNJQrZ/zia/KoAXWc
cS4UGEjMzkdsLQO6RekpJ1E50N4H7Bl1ZC1E5vK+Tdp7I4a30bAox7pFY30XN5im1nDQCk05RVJX
70jQGihoUTPd8eDbuKxyP6yMeHHOKTgT8L0lghjELCux0dCquSzJOJFym+zdkCtKswkD3flZqWKw
Vs7GxTvAaLzbc9LE5P6Hs/PakdvouvYVEWAOp+w0M9KwlW3rhHCQmXMsXv33lF7g/9Vko4kxdGAD
hlVdxQp7r732WsTSt6tJEdaARSG7Z0ZR+eY8KB/NQewRDu/NSWrlI37OgTDXFed5aiNsxJwkmOYF
eQ9XYKdauMqLkpfTW4MEJiRb3zjvUhh/fanksZWWaCWnQVPN9QtMnvwktEnfKaHLbX2TcTIKQpsy
nyPw2bSoctuHo4UWUzAAr3ypIIyi4ZqkgIl9EYXlX1OZZFi/diixRO8GI5wr38la3dtTtru3sMSx
FLtYPmT65O3wC9QWK2oYZVjwBUCOYXUa9Kbqjsg8WOMrnn/Df9gs0DOJZ7lHgRXlr/llNK8brcGx
RrL5EqK1rqpVcuyrsu93Xp97s+JFkAQ6IjFKErfjTK0oBDwbCDW5k6K+iwnMPwnesph5oFzznwaD
OwIAR2q35k+HfajR0cFgkEBHUAMvjU6oBbSfFmxr9jRqt8eNS8TDEJQQD+W+DeNSjeYijgDcR1Gb
pwQxDxwNFu+tVaufa8fTDR1QvgmrCGVCz6e3J4UaaNHgDxlaLcY7cIvTv2lNT666XaRvPnV8LZ47
6mQgIPik3X6xokYyBXysCKhWyD6gySmVM/5LaIC98XFlahRa0XgnaKCLXy7wL1twTMswtlqwyzbv
xwatGq1QfGSbKnF0xjqJ/KaROMfjQTePHINyxvheJKpMc3XK7IUsNWmKKIgqUwkSVVHPChpbKL+0
xdNSd3/oXWzsRJnbZ45gBSULrjGQ6k2ZLKVEkmINEwdmOidYiNfmH5XXTJ94OdKjEqL8uDPJ7aFj
R0pPEQquMKDX1gO1W3nzPFGgyKRF1tGrnO5vRY3El1YRqMM8XtHt7KiFUIFxoe5Bf3dWYUNTqWZs
w5vDr0dRqoOut2p9nGqhNGjwODGSVFbR7HlwbD8j8gUwYiTNmzxrLaCRemZu20WfB95ihS9oNyMR
lguz/6QTPvp9OkeIoQ2JtvNWbM+8iVYu551CHxHSmvyEitmAxBhlB29a4KR6KfTM2WnPb15RGKHw
IAkBqdqt1XHtEjre4lDBzJzlR2/Eyb95WQ7fXLPEhtyghP758Xir7UKNmJQOVUfJAqbjfH3iF9iQ
2GpV8yt3Kn7osn7noqyEA5uzp7K9WkA5FDtSp3wF7dWhw+b2zKuQp9TatcVriTr75zapbBDVJdmJ
u+6NQiEGLx1+MXDb6pD3CzpRZS/mV9XswEt4f06paeQ7G9+Ud+8vkYOcjDzQoMRSXAUnmNvJWOE0
t1VsiVfZz4PZrZY2+qn0WqQck4azcvTGzpkPTuOIf6Nex34Lqov9PiI5NIIJXcY/NJyrPlVq38yn
riwM3bf7fK4Opt0lyok5qIofwQgb/a6ADvs8qUiMvZhVqvSv3cgJwcCsaPIz1WdzuujCqOKzmoeF
fR3aqRmPuhl7PzynMAXll4nUzxemE0XvU9vp4tesdrvy5NWinQ6R2qqslEny9qRCuxHPpdcUX7Ms
drDAa2tjftse/7l2UPmJ+kG4OFKrT4THZY1Ik6u+NkPZPYd57Z20IkdrzUsbVNUa/W0NQXI8QHPo
PZRkyPXXqIxWZIqpFJP2akyNedCM2jpJcqM/LEa6ty+228LVdMIdXm2KxOuQh8rEaItw0V7VrO/9
IYL1sHTR3uspF2i1+VxI41Qb2YKIy64W0HRQp8vaGYsywGMUFts5PE9Op50iLVMOuhj+7VPNrs5i
pIXu8X1x53ixkDLAcjC42ZT9DWUai2TO59fGkqaCShl9VPXc2dkhqyueLwasCecK4I5iCFDk7eky
0M+0Z4RPXlHa+mIniGjNruo3ZfwjQlbGF+FeZrOdlonTL1oRpiRQUMK9HVAph8luS0V7TZENfOrS
8qsw672WuLuD/BT0ACSRYd3tIF7VDX1qN/pr1EPhHyItPnNfLMfHX2h7o4ON6yC4IEwelbRV1Njn
dW8o1M5fIUGE1Xmsl87yIVeDj6NGu9tNeOdTAaLRFI/6MMTc9aQcp29CEY7m6xx72h8DyoXPBm3x
LzAWoteG1vzznIl05y2+M0f4sAxL6wokq7Vcl2JpnUCoz3wlKVb+Md02/LpMCQ1e+Kc0b4vC2YuQ
ujlt2P9SZDXXZXZrElrSpq75ikgY2uaKlR3NGrfnGAnAY0hRbueErWKq/40nC3BSSwFcRO6iX0Lj
rLCnKASQeU3DbDrOoVUcnLlDQ7IaBx9pyfnj4/2y/YAyIv7p90HpkcLj7XhJldA4iFbGK7Ewrqih
MOr+2VHcsn3WvM5p3nX06UDWz4vM2olVt/eYZVBco6cBOwwJzNwO3auEeNOiWa8JkqSHcFbDvyBC
Q5aCJ3WZ20h8MulmPMzauCcidmeRJasUai4IAF2ixu3IKRXtSLhoBVFPnY51GvYISooQNVmk8Mpy
tt/8UUFNuKktChHydVjVHNHtbmoaYUG7nKj0aSHPLtmSxAcjybPRb0Yx/vv4q27vGsZD85xEGAIt
qcDtBIW3xGae9Morq2/6fY9x7uw2e+WHNcWTzcowtFDJiVH32OgUzYuZOZmtvFqKFZRmthy7sf5z
stR/rd6IfDfpPyex2+HcLq6TZj256TzvbKIVhvO/n0DrCoeU2XLv3c4U3jiETyKbYDDtIT7ac2hP
n7OKZADpSM/t0YNFV6C4oO0dhz8GTUM10lERU9y5d7fniOyOQgw5F2ktVfTb37GYehNnSRYFXhN6
vmiHGpfipqv/tGsacOuUzkUznps9kGU7fel4SPIFUklStJbXHx1vplBaJEFlC/uJ5oBOnMy6wFe3
i3VboG6p2n8aurAsv16M/mupNeaPt+41ShkAq4YsRPFYr46x47Sqk0zQ02JEpl67TEtPVtlMOzt6
e2TBkiT0j80SG27NsUpnJ8xy+MJBqeiqP6XTC7Uj1/dG5QUewR5WsD0/jAY+Bh0CAx2ixtuvyWXV
N2nUFwFWOuUfmVGaJ9dLp6fHK/czG7mN5OQwLB4ieah8rXH3GC1xc9GVKkhSd7F1v2H1Mr9tAUYv
w6AlP6rSVJejV0418qMKoujTS4QixnR0S9Qq7VodnYNd4Jj0GZk375+IKonmax7040PaqU11FJoX
Gc/cOE6607txb4lAm3l9KRvI0sHtEhXp4FTl4BVBqg32geI/7r4VCr+Pl2j71ENwkk6KNBzBN96A
lTMONcILy8DBrwxfT9c+TmFuH2po0OfHQ20mBKgHewsaLyEnqd0qPhvCxa5LJ6yCXvOwFh5j5eAi
FLtTTN3cE4zCWWFPkQNR/1vdV1WYDqWG7zAHtkjOTWsQSrQCq+wwxGzHhww/ngdbj3e22p3JST0L
4iXatZnmakMbxpTbKJk0QW/3y6FT8FSmrWw+vXkJya/IhzE7BLVcQ5Z5MSeZwAQhmEJtPPRdH5F2
1snx8SibPYFInbxlqQTynuKbcrvzUHfHrDmZmAsSwE+LsNPXnNDmCPKzV3TcDoVA0s9Ykz5d2t5W
yzYvWMGM3lIHy9TZl24wneMY2bQtKvGbHxACIFpPaM8AvZMMuNtZgcRkBuq+TTBos/4b3yZDBQXr
wVPaiDnxm2kIkb1Z9LfGt3JY/Lvwc/zJJFzNUO3TEuv1tglS3aChrhcpMu7h8keYxcXZK3Lljd1K
dHUyIKQFQmlyrQ14nvSNRCLKJlDdvH5yYWlf4izrT0PmvLHs93MoFlNyP6kYgxreLulsaYOZtxpD
JVr9pKZIdXaJOZwysKF3KVKuHx9vzO0hQ1OFYAjkjgwP+5fb8UynTj0lNJoAerJ9qgqrPBea8kaS
6f9mBULIEYDyD4RyO4rVDGaSj14TIEGqHiNXK/x8spezpYt6J269OyFgSMpk2NjSzHY7lKNl9tQv
bhMslhb+CdNq+tD1Ytm547dXIsv2yyirz0TJC+8EpJcC2kSsQ2I7/XwwUr3FFwNe6z+KNf092GP6
9T98LFTp5V3FJ1sndo1TWhqN3W2wRG70MknFdQNDi7evINsdEgt5JBoLaxtny+xDJW7tNhiQ9uUo
p9ipxIl4841IRCKpzVJ6jLbD1VscIsbftC4bvQvT7GAiHxu4TTS/ONgTfHi8bHduRJzEKaDJvmOe
iNUeh7gY0bi2NEE0etHnvF3UZ6HF7yKRjDtP1t2RwBSgw0ru7RrKTYDtrLJ3GtQ71eHodm7ia3Hq
HkRCfeHxpO7sc+mJxb0LW0bSt2/3OWFMb4xF2gb9HCmHotbLsx4Zn/7DICCREk2g+rqOYAvVHuwu
LttAk5l9XyyT3wtt7zBt4uSfO4HQV3aLAEKu7vN2RGe/HkY2HCf1uanR+W8EFiYEa81zVJR77tP3
vpIuiTIyisUIWB7uX/AKJwHV8gbBrJJwTokDxaCcSyXpr8NoVcPOnrj3oWAOwkaTIiIAdrejGbSa
hoVYWtq/jfqSRCrmwxbeP4+/1P05/b9R1tyw0KM1DY3VNuiSpD0C85eHJsWbpoqjH49HujcfKggE
MQRmBhyA2/nQg9gvAJNt0CrJ+JxOi3mIujk8/YdRyBD5SGy/DeU50ssKIUKvDWqk7Y6tJv7WClwl
/sMgUiyHaggR+zpST9pmUqIp64JQj3EWnvrpEgvr7UE6wTMvHx8HhuCG+4vyoOsNbtUFECbc75ox
Wt6ziVGnfvkPs6EBVva48Zavk1qsqHp7CYsOpdh2WXwvm1Xbb8uy2ZNOvbsDoNX+7CmjGCL34i/n
p/esnoauhGUrhDiSGjg+BmVvzme5syVlAZI9/bi8ebej5IM1J6OJtBxeV8YprDvMoxyoGG9eNHI0
KaqDFBV9DPpqlBFutNXaCNjlo3ZI00Q5GvXw9huOYAQ+iXTXk/9cjRKNqY2FqEXXAFYUH/QkUf+m
E874GC199jxzCf35eFYynrpJ0oGVmA91PuAuUPXV4+qWY+XMLmTsxanV4amK+0b5PMViWF7DSVTN
azmHoX1OHNy6nyhE99GbQ3SQQ5BgtM1IQaBO3y7rVLDksznWQdZ2QLRxFGk/6hxXyQPdYcrvCAwN
ezfg9hUh62FEKWDMnlkHFKaX4pUlTI4ZEcxwKEvFLM7wGJaLYWGG4jt6UezBwdsxpe6VJG2D3BAp
rU6COtAomkKTCyKhTvHRU/PG/i1fjDH6qpitYvxZZ2m0A2LIv/P2296OKX/TL6cv6qZxBvPtg35Q
9fcZ4NjRjov+d5ERgz7eRtuDLq8Trnoq7tKaefUVXXfpTAWNx4COLeU4t7Co8yaqdx7Ie4vIVkXL
HawMzGc1oWTU+lHtmiEQRvatMLvBx0Lr/bDoz0Na7QW391ZPut1S46b9GDnP29WrKm3JgHSHAKO5
7gVBsb9gNouLu2BM/njxNiPJ24sdTQ8CZS2emNuRFAPkr+7nPnCrWjmmqIXSkGR0frKIdmeozXfi
3uJFhi1tEs5sei8K0VSJjc9zEJaofmWpNxzTvt47YHcmRBQIARyalWRPry7krplHLcHYDOWTpNH9
qE/+mbOwwPDcwn78zYsHOm5DWOAsU+hc7QkTx+xmcvUREpJd0aVe06uKBZKn1YcG58q9qW3uy5+M
ethxZCPy/ljtCuImq+0Kcwp0d+IZGKAalgfcMuz2CTcyi7Kx6PDRolQ3fmtI+YadQGS7tASiUo2T
dwiwa8MdFbh38InVwM7z5DQCtRw6LRwu02Lt6S1sMlcQYjYmjXqcbequq2AbctMSN1NhwPLFZBQv
uorsxE3PWDObgZ63zl+5ESZvrX5SMONu5k2S0s+kzrdnwY3mhkpu6wSDS2/EhQpQZF3QZNew8R0V
sae8tD0PoK7IL7N3qJZRA70dbp6GMYv6yqW5eVQPfazZvqrv3o7bjyZNTyjC0yPH2VunLYqBvpln
pEuQx7SWH1u3Z3c6feeWOD8iHLZzyOXxurn3EYalbkUxjpYC2ax7O6laS6VBgzACrMjNY1xBebKF
2551a1ZxlW70Qzck1JMBgZ+6Rt97Czb7BtHBn/rZFAO5ZdbyNnYMh6MYnCVA5K2Nzu7UMkRndH3+
jjJXa2EsiiMltpP4zZwfXwab08nQkEbgpoA9k0YZtzM3tRh/zbDSUCl36/qcjkasnb06jvUTJ3Wc
jzy7lnuw4jlfTrXSmW8U25GMKZh0rD68a+kMs0oYG5soqtJGM0gX3OeszHM/aDGxVDx12me8WPeK
LJtPDe0MTg65An+ohK5u2n4ovGRZbIseKaV90pUws5+tysopU/JGnrIywbhvahyoEWav43xmkikb
p8ervjlE8kdIU3HZreUQGt+uugJLohB5ZgEwILzDlZS/LKWl79QWNoeIFgDko8lXwFh1aJm3oxRd
vbijizjaFGvVyySc7FiD+x8Ha9eG/u5QstwKdZ5L1lsdIColJC2aGwaW15vi3OMhUxwirAeXgzmg
B+u/df2QFAal5g9hMBDy7cwco3GKeeydYPbqyLcjpJabJKl3kr5N8CTF7Uj2YJaComyksWvdo9iU
uU4wgtNdHbfV/3YgsjzXE97kXlGq3x/ParuIbAqyZXiXLCQf7nZW+agYSz+4XhALN6MNBTmEAwXd
/KON7NpbbzxeJ0B3Wa2XvfxrL5JWt3JsPrswoJe+RGVdEe1Rqdv6pHamhV0oFr9QJRW30E+aEts5
4vfmsrO+d+ZL8YmKp5R9l8Wb2/mmteVST2HTVGi+P1XaMByTonJPozOIj4+X9mfv+M0NbxD9glnz
OlN2hhN9O5Zt5LLbYsqubag1vR/jf1xfUj68cc3UZmhPdsKFe8ROEc+UlkihP6tt25qXehRCeeJG
zMkFrKijE2OS/qCpEafiKxovZXtW0mQKfb3s7exduxjteHQTz/q37Rqr8itr1ARGsnkxjr7d1IhQ
x5lnDN9akZiMgiB6e0yHfOiPIk8rBJoEp8n0s6ilrZIurzL8kplmOD2pWeVGfsuFoviTZncXAUAd
HpAVMo1LZvbzVSt6e/oYenYYPqcDdLn32qQ07asWNW177LwaPY25TEzjudStKsVl1OwLCHS5WfxG
f5tYzq3ZhvNBpMtcfBkcmnMvbaRG0SnV+245qhZ5ke/m9vwn+i5lelANDsQpKQoEAuuUxt2TW0Sz
60/uYjQfs04fsXlubUt5QlU4HA+csyk6s66qeVoy5Ho+DiWlu87XhJi8s5o4XftbPGTIdvs52ZiB
hEjT9Oa1Vabmj4HvNX5Nx9Ytvs/6MBQflKQFB47qKAu/zA0OaZjKh3McvrhGUg4fwllXxSfPqDoB
JyXRoudlarXar5Gnqi8QnCziXyJP+yPEWbd6erzptvcH2C5YHrxtCpPEMrd7Du5ph1NgkV0JN43v
U9Ms32IDkwWjdouzotblTiS4fcvJXilw4blIbQYN0NvxyllbEGIa62s15dY7jRd7PIbIm/8G+By/
TFRqX6FejT+6WZt3EudtBEPxiZQM+3BeK9oqbocODbMToyLvfzvXjzgdVV9aFXHeUzko2O6YXelZ
YM7p+PvjJd4+pEDnTBfFLbaOse6rQyIiafFBSq9Kk07YIovJ9GO3scudJGL7KSk8oOaKgj2FPCrA
t/NrqsxUBx6165T1nMGx0vN/c/qFv3E4oBm1uWbVp8dT296ODMmMmB7IJuT12yGNWMfgrTGyq5It
lX7WsVvPTyUdw+N7ZCMWd2ezbleSLAjFSKmTJum8q8cnqcBwXBXthAJ161M+Cu0cFm9tiSfagwYA
iUZGnPyLtzoS5TxFC82QYZAZZn+poU5+qoZlfFKRxDtlUCSGN0cKDMgHk4IislCwCi91MzVTTGPC
gK46/eKl2FtgFvVGj0Y5LbotIXHwmP1U5rr9VgUIVWnbSXr1OGVXY4ntg6NEzs4nkuf39g1zydul
UildZtJd63aULI8KjITN5lrSwTo+1WWOCC0iHgsmP8JwqotA6KN/mTSazy4L1aUd5vx2izA+OYLk
QFBtWQtTj05CwFQZ9TXG5OLUYYvp13rU7ez77Sgoh9B9DLbJXiTVvJ1lYXVFnQ/5dAVYHD7WhTme
0ljfq5rfGUVOgvWE7gflSv73X5C+PNIXUAN7upp6KV7Qug79AmBm54vdGwVxe5leyUHWlNYwA8S3
rXy+/qR3NoWS/JjretnTB9leFWAO3BWEjOxx5MpvJ1NCGaMjaJyvaVu+i0PFOWR9lGKdQ1PN40vp
p/vj7R6U1G4yclIX2MFrNGdJzMZojVRccXFdSpj4UfypsQWG2k6+6OVx1KfF/VB3UaueiD+s5sOc
2b3mT7SqTH9GhQJ+1kxLGfmpNSjuyQqd6b01RYr1jxdjBrOzme6sjOwxIuajbZjfu7rVFCePNKIe
cSUAkkhkrj7NWj9cXYdo5vHSbJ8I9P+ILzkYnFAKEbcfITLUcVhoq7sS0Y6t39E3/FTG0/hPRfn1
i2JPbXd+POK9yRHxkN4hIcQjscqCjDBrp8xKl+uYDeML7YrFQYAvHt3F0XbW8c5G9sgiZW8+Mjsw
aG4nF7aZEpl9VlxVoWpPfbTEBxpes50l3EYRRBDcoSjfg4SSet2O4iSqsSg0016HZhye9NSsv9Ex
aZ0UcEHfQ83ymA+D2Cmn3JsaFGwpmY5c0SZ1lYrw0ez1DFrTiF8nZXHQwUj3Ds6djwUTA0QL4RQe
83WkErXjkCppWV6TGjjBo5BxgYtUHibVyD6YYqm/DwgBFD5NY9MlbKeXWTWn72Ya5S85Po3vqJ63
p6iC5mabxZ66xWYNACuluLLkjNCM91Nk8ZfbEGlloQtn0K5jUQISWG7nq4qjPz/er9tRJIQONRR2
D5jl+oRQlaPBLMKINxZwdpck004uvPudrbpWquToAaEThsp+JMlEXe2ilJy3yvR+CHK9ELbvmUSm
P5B4GLr30WI16ms5kNI+UZIWtOQtjltfcsVd3JcmKiP9EA5p2p9wYl9mf7anEfhkEcWesNtmO0hV
JeJudjmgI+zP261uaxQJh7YdAl3RGz9NDHh2iPr4ip7pO1tvu+yyzQCIDe4/WPEaLIFFQAJGH3dA
JaU9jE5cXYw0845v/bjyyDKCHESK2dxOKEdsGN/yZgxms4Nj4unxBfS0eGs4JzuMJS8HpjFw4dqc
WDWzToNLrwaLYmsv1ZgVR3UQys4W2lzlP0ehGwScEHfKNZe5oacNnnzLKCQx/pBafw3G8lQ1GM/Y
YbRn2LrdCoBYbATqE7JIt4bprCkl+cwNDazbCxPfyGgHsbomAunOjd8ef6W7Y8laufSlwtZkdTaq
sKOFE7nLQClT1MXb2DxUCu+GZwP4Ph5qu+2YlrTUQbUMGus6ocAvLx8QYdCCqY/sg6ZG4TFZmr0q
8ebJ4FPB/aWBGAUSLvHVq7tk+dTrC4uHp1x1nIZSgM8MyufeoHWnNar6rNnJXhPY3amB3KoyE9xm
u7Ptxh3QoRYsQnRnowQTjLNhD6K7OwohBT0k8Jt5529PlDb0URdXphbEhl0chq5s3hlDtGdscX8U
KDSIk8umjRUebvezmBv4nPha9dYhTNPmWVG6vQ6ru6PQ580tRAPFhl2ZWTESncJl37UO+v0p93LT
K3tUkLubgf4t2fpCyrwmIxYiK+2RxCnARWo56EVytdXwS14ZX9Kqfh3L8G1Wnbw0bL7/P94axo/V
1MIfhy+U1v33MsLqZPCi+miVwx4bfFO1kCOReFHzBknaWPN0yCcPplC0wJgw4xx19ymJyicnRgjE
aJavzVJ9D4fwI34Pb1SQ+DlHVpNOWPABqpryy/4SGnR5a/Vpwv5ACCG86MMo4Bh75VMOxvTWeJZJ
SnoV5BrSCwDw26Gynm2xLGySePD0A0bZrl95Bmjk1O/lMff2IxcuRHCeESKS1T2oAjh3lGt1bD09
XAm9Qnmx6aK+PL4C7922NlCcpMEB/62pSclsDpZoGz1oQ8c9YcPzI4QecXSjbK/IvjZU4zPBCALY
pq4LpYSixe3a0czR1eFQLUFpZDH6pTPcI1Hrh7xyysuEncV1WOL5dRi18VxrfXgG76yfyj6agEGd
PSWl7fJCEieORI6DaIwmrdtfU5SGsMzFXILZisShzD3EtpfSeHNgQyIKB0tydqjfrhWnqf20ETKj
elCyrMeoH79bc7MnT7CdCtci+xHRHQoIGxVMSr4ZKK4hgkiplbMWjfigub25s1M2EQfSJXAxKHfL
hnMe59sFC8N40GIvdoKksd8L13odaeX0Y+S7KD/vbZbNlCyqLchS0yEJJwhKxu1g3oyc6Jh2VoCk
lnmcChPbm8LYk9y8NwptlZJiSHWHb3Q7CsTfMfXm0Qqs1mp8Wx+9s5kNe/3Rd0cBlaVvFToCDI/b
UVy3hYxDn0BAm3tC07Bi4HAfhZ8fH+Q7o0htCvlIIgtAwex2lBrahbnQJBpERrUcMYLXTmOvzMfH
o2yuC0py9MIg0yv52psQehZe381K6qKQ1fWfm5yqUWJk/d/oogw7R+feUGg70aDJ55EUzdsJuQmC
zi0/JCiGsfSrRR8vjkmRMfHS9q1VaGYFoUk6oBITkf3eDgUumqMkVVBpVLL4iP8q2iMq+uRdsezR
wu58JgyPZFco9XW23WqopKr6QukoakYqhq9DqA2vmtuLt776ckJ0DwGSk+hQqb2dUBuD9yVGwoQ8
848EW+hnY/CQHXDnt6KHUrgBZhIWcsSaCBzcDlT26LgkURFdDdSGTm6t/10hSreTUdGIx19zA+mR
CYDEk7uB5207sNSSWEq3BzeY2lZUx1p3ow8NPnXzYaBWZkJz1ivnymPa5MdYZFP0LRHV7H508IjU
XyJKCdNveaJm5UmUDeJqNuFjfaDIqAd1m43hb9o01YsfGz0F0EpTRsvX09E2nmtLcVsfowBaVfze
7mYMk9EcLi8Yn2bdsfCEyP3KVSPlqOORMx8ym4j4HPZ5Z/uank7mqVLnyTgX3tQ3Z0/rpuIS4Y44
vwyjazcXzwmLc4KcmCN86iez/kkU1TL9DtmNAqvdzO5LlMVm84QIqxc/T15W/ZtzBn8QwBraeZlS
N3rvlbGZnKXA/ND7s7moyXGq4bN8mmfi9o9hZsbxRUxaC0ajJKJ9r0+uhd0BqCw2sVqZz77Rhd73
qhjY8ASonkrLPw4QflKVxWc7hgB6mGtTz/wKseDyPU/53J4bM10+qXnn/JFpU17xa/M6Ps6LYn53
TcCDkyvKRf9sj4bVPyUY4uoHWr8U3UcdokHc2AlrWz/ZMBjqf7piyD7CFNE0ZEAIvc5lb2GVW7Q4
aF1TDZ2zF9HW03SZO+yWzllKW/hTSHaIAATCaOPHKdHGPxRQXrgyvIVWfvBiJTR/AD9G6sFe5lz8
i1Gbox9SrEj6QzkXdXfI7TR0Pi2EWN65Gc16PJTFuIwXSyut9Km3nZl2/KISk/LKk0g/o9ma0YeK
JUr+8pwpzE4qqFl8btzM+D22StM40NyX1ydvygrno5qJnG7vMYw/RZPi5Yfa7moF2SW1aY6jk04q
G2MY9eM0xzFeovRum++ybMy0l2IKRUKiKLz0Q0+Xsngy2zJbfD6GQhm+cxr3UNDgLw4U+9P430VE
vXvworb4O4y68pMd4TrmW8Ra3aGOpvTTIIxZ/ZIvg/Eq1DnH+ZidpnnokdlqehClpVRH7FSr5bnv
1aI/2h0AyUdrMfP02Memklw1M1fSS0puGV1gidjxaVEqVz+JuB9gZcjP8FtTa51+BiDQrYOaplN9
nqu0Vi9wRAb9oGVO3PgUvL35Qn0oFX6c5Mt3RPzsUVp+cJ58swnN/JigM/N91HArOnZwImqfpv1Z
P7pGo1nHGkt469T2nWr/0LSmUA+x0eoZ/AxP/9AYamJ/0NSqqzKfjqzu94xzqx1sK4t02GO51p+r
zlT/fvwybi92rheYYpSW6Z7b4JNDEyWAqxqV9Kn8hNtr/FVBefPTGwfhFQdE1wCYHMpOa0oM9eUh
GbOlvI4qpeS2Q2nd0ZXp8HiUzctrgyhJVXxaleGKrgELbVKnKVeq9hoBYZ17r06erETRv7U9kr6P
h9qsmgxWsLCAxESYTP54+37gPGLFete1V6vu7ad4nIqDMWrG8Y2jUKyj+ElPI6mb5FDejkLbf0g5
YOyvmTe61rGYJvWdNXtztxMib58pOqFBqflI0CqATG/H0TtjFjV9XohE0spYZ/FY+BAU06/UEczT
DBvnHNlDGe1MTyZOt68j9S7Ed6ALSiufdbdFnsRz2E9E5o0zhs+O81eqTTiIRR0NsFlJRT7ubV9v
B+XNPTrwA2nFpniNUDFaPKv5RiqSSUtt20FZa/PFlJZp6A59fvzxtrMjKiMx/RmiW7AEbxe1NRaj
kIpdgeGGytlWTONdSi3uaNWuec4z/V2eINzidZPx5tiGeJDUENVJAgTinNuBjaHhZTF6L5ga1i+C
cfWuwxBtJ/bcplVQzsl0yHbIqzZOf+QgTTPZihe0Q5h+9DInPWtmrfzWx5St0QhYvj5ezs148sTJ
ei+aB0RT66py2VMCxgy+vTZgAi90d7R035Lx04ZxxgTgn8ejbc83BD7wfG4RclOyn9s1bBQvVPMp
Ha5eNQm0+ezKVyO1OT0eZVtPkUgnerN03krxkzVDl4ZKZ4i4tq5CKcrJ15QSA62mjmg0D1NNH/zM
Ndz41GXFUPyjeULquGZKCKUum6rufZln1XzOGxrHXzMntwYfR/dwr4q3vVb5kcDovIySarXu0dRq
/uI49KYrt69K1NKmx5RQ2I+Hec839s5QJHhUl4j+Wft12TWK2LHxrA7XwhLjEV267Cuqmca7ulKG
ndrk3aFAmGEtUjGk1f/2CytxI7wpNodrm0Szc+CiA9KxomggVlTbxj7vfGp5p9xcdoAosjgnjWJI
Pkz5e34B+0Sd96ounOna8xWLK62bCvZYS26hCOli7XboBv6359JqHd2vjFFtvromnr2wG+vUQf5b
S6InHNGpmExanOxhMZsngJ8HaZt3gG0o7WZvf547KX0PL3+8OoqWHIwpJW6ljPY+0T1KTlZDe+as
7FUY7pwyAEm6gGg5B1jT5Y/6ZU1iA5UPQeH1ygMxxD6ON9aHkDXZWfvtp5ZnmR0l2xi3GbnI0d3M
imW+6gMl4YOhVMsVG1YvOQ5iMaOd0ODOaP/renEk3XgDF4oiWTSws+VKg6R4SpIBEmuYJO/pBfrr
8Z7afjPZKQnMKrNlRKlWL4xXYWxbiHC+clspH9FqjKxnMHP9WBauUZyRg2nEIc+mNj68eWCK7aDI
XF0/9Wxvv1vuRFBOYKpegR/qI5C64seaMh0H1auuWtPkT5OM5x8Pun0AoJkRdAGWy9fbWV3JzoIo
dzVG4lrmwvuUjEv0rlQsD7m+ZHzfFRmK8o8HvPMhASdJ0Lki8Hldq6dq5tCRGZYMyOK/Rk6Kpgma
4F/DsE8uj4faHgQebHBKPiRYv7euU9plqBmLU4hrp7rxOz3NUCEskj2nhHsrSERAvzBqpluorTKN
SCM7E1czjMU3x0q6Y6RZ+UUd0v9j7kua48bVbP/KjdqzmvPQ0XUXJHPSlCnJkmxvGLItgyABAgTA
8de/Q93b3ZUpPeXT7kXUoqo8QCQxfDjfGYq8g0P2GVLbOy8Q8ZHwEHOxEjBTTwoRM4caNhKNvXdY
EiKTVXY4qRFmV6nxXHDOOy8QQ8HmZvFTXyiDxzMSUTy9oLq19x4ZihUszf2t71WfRkQB5GC1AapE
zxB75ckDeZyxsoHh9T4YjL+rh2S6BpZzzufhnWeBxx/wVmzEYAaddneHRmu0p5Wz1xHYEjUzI5Sl
I88/nnKvSWjHBxKeAOguDGCx8aN5ePzKhogSK44Ke9+jZ+jlhfRAnhMAXmAiKEb7hzXGoLQbsI5v
J1W2yRrUf00IUCNpJdtJ2W6duUUyPk7ROM3P7tCwaNXYURdkiAcd4r1yG5tldgiK4UVdKPUzKmho
LkRL+/gBd1Fpw1uMolPpBWVZraeytz4ZD4/rGboXS0wz2HR4nafMCQN3NtY3rbP3OY1uUM/B17+W
dGElOs7Txy/0ndW1iB2xhJcY7jdl96g4NpHKdvZM2NBtOwFYsSm0dd4BQLHSK8UqNzxThL+dKjgT
0VgGGrZk0J12SWMD+7JxbJAbY9Xuxo0peEyzr89MlWVaH88UoNmQUeM1LnJd92Ta167TNzVMGvZJ
KPofLND9GhPXu2tm4FrTqMInH7neO2ey/TPc97c7CIRPIJLiog0fCuwjx3O0KzxQhkrMUZhoyCum
Juexq8HwHyaAmB9/vndeJYZCHxgYBeRPp3RGHDjG0gJDFR4brj1MlQvqdtHu41HeHtmoCIBMQFGK
DQQ+YMcPFBl4ViMG3tsD+FV5EwzBmo9NfD26itzXNGS/EmTHrz8e9O2jwZEbrmrgsEL5Cerv8aBw
WmZKNK63RxcmyUJV08c4KYNPF9QLEwpfCZbwaKOfJqRNsvIngeioPUId6RWSebHU4yG8DtvoHPf3
7bQA7ALSKTZJFNX49+MH4mOUSAtN0H1ilz/UnJid3clpPZT6XD/vnV0SbnQgTKM/BbtCbJjHQ5Uh
AGa/9YI96Om1hUxjCPyqVV3B+Gnn+Mh7zKk/SKiPEKrkXITlPOu8DVuxt5M2ViuXjnJ6onRM4FTa
+0uHa/Ttakuinh7aqSZTPimr/YXMZ0JvI/BEyNaFxQZfhY1NS0iUYgQ+Ox2nSQrOSltA/sT0dK7U
WV7Y8QrHAocODx5xmAO4YB8/JfzZm2KIhbdXmv4WpvWyyO92soAAyKX6eerL3VQrZJpZZ0rYd6bm
ouIBiICSZCGEHQ8cMj0PQL3dvZeI8Gr2LeuZBco5swBeeXgnz4dOOw4BeLJgnFO4rocji5pjFewh
iYoz4P/BDYvDLieVMbdOpPXehovvZgo6kY3TIA+IHaC5CM25nLi3M3eJLcaZjqIS7Uhn2R/+duPB
Ja6jsCGI9xFiJ1KglVamxlYAvZ/r1WdX/aL8WxYjDsDFbet4KBMKwgv00va+FdOVh3ALdEXQGvl4
lHceCJRi3BkBHSKw45R7O821lFbMApREwMB5QMmmd2ckYpeYOx8P9fYYipYuPgrXBRF904+GuVud
dFIHe4dEVj6RzjyETt1nRMVAPpy4hCJwdKYqHz0mz+i/3s5TjA2QHBs3ZiugqOOXOTBbUtvF2BWl
ST5Tj+Gy49L84yd892UizwDCW0Di8Ko+HiXqGRJrdB/s6Sy7DUFo71WJi9gaYfTn7gJvVzweKFqI
4EtUA5hjx0O1yhoRqWoH+wmUTHiH4oy4SyjXTyWmbV57Hv/FVNV9LYBxkpSQMDnnYPrewy4BvZg1
aDu8OS986pc95k6wl1A63I9W2V/Da5E8hTw4h1W+s/5x5MKsDxMUTOw3WSVC+bCqKNxwD0OfPtoW
c29Fad2GCdSRUVVFmUjK4VFoqjiK15H1GzvRtL0OlYPEqRaErObMje+994+CGacYbvCoU08mlF9P
ERxAVbj3iZ6ALTKOtuv0Rep25YswSHXh/NAJWTuCfdroF1x56CZBG3EAQ4GZf/zpZ0SeDEtCzR6l
c5z11C7ASCdqQ5Xpzjzle9948V3BGYrXDxXA8VAajRPAw2W075vRTcFpCveWCeFRUhf+3cdr5y1N
C48F4xpMKFQgQHtOxjIDMtlbMkSYT6a3ckjfhpeKtXBp5BafbwdHT1MazR3bT0NNxxwq26JeG2G6
O13xcNx4tVueQ0qWQY8PnuVKj8ILKAIgxFMeVd8Qo1tRxvvBVv6N6Hl/PYJN9uXjZ39nFNxxYOAI
P9QlIurki4aUSGhIumQfDd0Izkmjxfc+CKczG/A7X3PRMUAIhVs2PtYJ7SgUZdTNFo9xovAatKNp
uhsCZ1g7ZeifeaKl4Dh5b9gGl1eGGhlGyifnZFT5c9T1drxnsekf+qAsLkGvQ/s2YnZq+0X3+Ok3
CCMb0IEhH0G30z/ZeRtLtC4wrXgfRgVLpWFQ9sbmXCD6ey/wtYGx2GziXD55gV2vPZLEdbKvedOt
irjrMkdEHIa89rl4q3emxKtiDaSgxVrs1HM1CEhEopYlez22Uz4YKTM43p2zGXhvlCVtATw+vDV4
YR2v71KpceyA/uwDg+wTA3O9vALMs/30x0GnCXbXC0cWfYiTvXJ0ygbdmpoccCoGm0YMXWp7xTlx
yzvPAjIVZgHmG/aP09IshJ8wbDZgCSUHj2UdjepdjR3yHCb2porBOn01+UXbGMXZaUBqXA1OxBGp
e/B53M35hE1rfnBq3QAXM6MV7zqctU1ewbPJzVrt2hDvhgbMbjbGvr6Fi7k73iE0E+QLAAOKZSjO
kb692ExYVRpgm/tGbZiupC0ybJMccU8J/r3uGmvLCoBV13E8CBA67KhBX4UGAX9QMDI5GOwtFIG7
obHTpBtgwwV3hYn9EEjsVNcigqVC6hDC7pqu7qYvQwOP/Dp1w8r3MzyCpy+lKsAJ8ohF4bCAPM8k
rd2g+jnUyBe9o1VgxFa5wg1WPpyNhssRnlZRajtAir8NyqYzPKucKby0fOpEe5ow0e4oghQKyFAG
OEs17pSgaTrreUqRhtHL1IJFaa1yAr6g/8MxyOJ5+eTEi0AtfgXYsem99dfqUQLALWSK9x0KgDz0
OMkNh438x6O82euWUSDsgUJuKVBOSzFtWY4LSVS8j0VXHULEFaW8J/4l88ZxVQxMf/14vDcTffHc
D9D7BrACvc/pNp74bSLwq86+6qhYty4sa0vlB59+qkVviCITuAOg7fBkawgg2rBhPOHuFYlULqJK
rqFIsy4DOVq7wG3PqY7fvkXcIRd1M9jRDg7dZd39/WZV2VYXKu3tkb/kH5B/l5RpCa72Iyk8i6R2
h0Dnj9/j8gRHZxTgMJCWF9uChYh7Ck5NOjGy9nqUcIrzKA8i2b74w1TKTdhg+920gTUGa4QujOEZ
qOXV7u9kaMhywGgFr3mB1k+OK7AJl0y6JNlzPXbTjRwT9rOOmvqrioaarKPa7b4jbgidPFaPZITD
YwJ3lS4puhdpuLZ2CUN0VOqFzEpyzMkYvEEP3eeHMoy1u8GFUc05pX4EEWU7GvnNiziBkVxXTUEm
a9XRlQDao/KOBsLcJ0UY/i7cPnqCuNTrUzrBoTC1wUR87jVat+uPX/yb2hmdyhCeMhDsL7exUyNk
wgy6tzPcAJSshjtVk+6mSoYAu05oWT/C2X5o4j6fYKv/U4lef/t49DeH+ALdoZoD0gOKN2q644mm
SlC54KmQ7K2qppvBKEehY+ySOptMXZ8BQN+cFjFqICB2izH8ooE++dDF4JlGK53sEwIS44DrUgrd
6vdw5H7aWO2madxbEmP7//gZ32wRuBNCaQ1WDngrkIAti+1vi6n3FCQoAKb2rsvN2miozDiBXOSz
owAIAfMBSCiu9eGbN6kibgc1rQ4DFd3XwRIshY+x+/jxKG+/F0aBWsIB0QJPcgrsBu2MQK+6qQ66
t+pNxB37qhnneg1w69zN6s0ehCs7BgJIALAAQNrpHpQMmsNgDZALS5AjEY7fxppEWQExvun68sz+
8/bBoG9dYC2cUC7sFk5GI2UzCiIlOaihlxmwA/SYmfRuHN59OowQwAeY2YDG8VDAk9zj+cDHEf54
SK84VKNAe6dVfN0z+MF8/KXezjo8BewTAUsAh8R98XgUCzCdcJsWZ6AqWIaKo9yJiiSbj0d557Ut
dyUcTuhgA6hedpe/ze22jERUD2WN11Z7JJcikd/jGULetNJNaecfj/bmkEC7BGcsniiCOzB6Gcej
BQUdQj7gXLcDMqcBh6da0lo/lewvraoXG3BJzzkuvvOAOAPBN4fjzHL2ngzZYUcK59rUBxDc5a4I
DJpek7EYVpcp+jO74TvfLFn6JjjoFw3iKwP+b2+zjEbi20TCLkpocp3AlvpL5XOx+vgtvjcK2q4u
zvfF8On0LfbuBDCKxfwAk1iYammTrPpkOvet3htlabzCsRLLCmj08bcqSeU0sCzgB7eLizWUKeEz
KYPq+2efBTZSPghSiwU5QOCTUUKNOAxvKPghLMYaUSJIT6sNrCk/HuXtwYFRAnwUyMRgZHm6YufI
nl2hm+YgmDdvOPRcq2Sq5zW8pMzOt9wxbeEcfmlaHp4jwLyd8t7iRIANCXeRRcpx/BqLwZFgTpf8
IJyoH+5cxcPqBqoYdzwoXCKbL5Mrux+hLILq0xbvr1kMHvxT0C8EtrX8aH+bjVoy7VSDFgdWhkOc
CZkggg7xup9fYuibox2EoghfEN5Ex+MwOhXRHBNxKHo4tUAnwLOAw/YsYWH06U1xMVvA+YWTC46t
p1WmV3EB7rkRh0bO3Rq4SHgQlRFnKsq3COni6QBxFExuUL2AYXP8RFRXXmdZTBz6qh62Ye3X6zKy
ig1uYXTlDjLMOQcXGMh4nI2InFr18eDfNNjzzmzPb89Q6PWx1NHRXnoXp7MHa5sBoYzEQSJkZzO0
TZjyoWxWnqWK3KnRQft4obxd9BgPan0AhgDd3/DfRTsFbUAqeSgErSDSaiekCTfnStb3ngrXWRzY
ixnImxZs4zIf21cnD9D1kGz2kiprkgJqUreQKz7bevvxU72zBiEQBJkbFxTQG09vQ7i0zGpSkTxg
qXgZjidvRdHYXicM/MZ4BqgAcjB5/njQd14l6oMF7VwUT8DvjucQ9u0C/oqLL1HhJlkBH8wgc1HB
xmc+2TsvE6AWwGvotxDOdEpwdsDVHoPJbg/CNPZvGjbijtdh86iR7bdyJf00KxUiMQi1cJaCywRP
vJO6JHbVgB07lgewc72LxU177Y5+mFWe//XjN7jsG0f3OoyEfQVIJLYvVKwn5b5SLSifBE8GAMZb
acLaPoNZGDRWrVvDwoQybj+EEzTbSV+anaqkOPMTvDNxgCNDqgYWGnbQU0RPd27bz3OlD9jjhLfC
fq3clecMHb9IhCPbHVwNrLtG2IE4cxt4VS4fPzxYM+iN4vBYSsBT8/SypBXoQF1wYC0iNCIcUIGE
fyp8DyS5gPVnS3eJBCfqqoS3ufoto3GONvbAK33fRDPEc2ktwjn87YRatJfW6CXTxoxuqxdlkt3s
Pv5Up5MQegxMBXyjhVqxXNGOJ3s3gGndzw479FGj836uL4hVHBqfPKFt/Nmb0jIYuDdAiZbb4BuL
VdcRnRPNVXMohXYQ9sp6xK/an72+YBS4NmOTWlhMuCudPJJm0jW8MeqA4MIwCwIr2WCqPQSJFBlI
EubMmXM62ZfhQNbDFR43C7Tnljf8t8Na+iBtxvGkD1Ra0cb4OGNY0jsr6ML6bIhHttHTEK+UCknm
Tm15Zhc53a0wPFR5KJJQHuEcP/W7YUZqg8LLHDwLsTMec8jaCiGw+3iavB0F6/jV5AG7Irbkk70j
1HD+9WbSHWBQE1+3kLzx7cjb4VyF/NoR+fvqcaFydwCGwA4BUHl4WieEmllN0nXDAcAQAnRcrxrj
jU5m+wJWs3OzZvFcffMDq3VuSwWviTmHcgnOsSAFGNgkxXanWyAYLtS9TBL6peo9e95AnVeNWdwP
cJeZehjNQCiaVFXa1WE8b0jBwx91ZPMvtAA2kXJVVghZjknydYINLFQNtvXghTqsPlkU4WEBG+De
C67WEjl40kjxaggWx7YZDyKxvru9X25KUYVnVvgbdcYySoxdEO4BGArL/HiCei1xY07lBEy2d5yV
GgPjpy34blM+Ww0Mn5JxBB5mjSaBUS8ZSXNgHlb/pgpIrNeIuK7gxaIAI6YjbG2sHD0mb/jk1WiJ
XcBMxrJFTxcoysltT7bxALhvloc+iVFscye6sXiHnv3rPP6Pn+N/kheBWwB49o3+53/hv38KOUH0
UJqT//znXr4090a9vJjrZ/lfyx/9n996/Af/eU2BrGnx25z+rqM/hL//3+Pnz+b56D9WjaFmuu1e
1HT3ojtmXgfAT7r8zv/XX/zHy+vf8mWSL3/98VN02LrwtxFof//49y/tfv31x8Ky+I+///X//rWb
Z44/lr4wQjt++gdenrX564/wTyAi2L0W4huUgHj1w8vy/90/UfwAL0GkCcBCWELglG0EZIZ//RE4
f+I2hu4fzlfUFK+brBbd8kt+8idIUKjaXg8WNIn8P/77xzr6Pv/7vf7RwIdZ0Mbov/44PshhqQEE
BQw5oMNo1i6U7+PJa/vVyHC5C9IapRLaCE3ORffUMf8SFopm7c7nRISv7JT/3YH+PSKaw7hHgA6E
G8vxiFRAyYHSLEi71n3wnfqZllMKY74vuuju3aS7jWUH6/XBe0q64Cc0eHcVlT8mDotqZA6tVRe8
lEFwVZsmC1v9VXgTW+k+JCtfx2d8BvB58MP8/YdFs9J/3SqBj+AjnuapdxMpYGBUuKkiw5yB2T2m
YPvXNyVNYEWGb9qsQ7+ElDo27heFvPVbRI5vVKmGTTXPDxOk1CkjKE96xI5kfq906o2Jha64i+gv
r/wW0EbCybxA/JfXet/jLrlVvoee3Qy9dAdKNBo+BHlIK+SyrPUwwgzARN6qhw3VQwOCBvoJfMpF
QbegklX9qiDTj9E1NyBWRikIDZAdW47KPaexMldVKdHWiLu29GEt4LWbOdFViqwLcjUs8iEbvZFM
ReI7vGmgmZuZ0yO23GF5E+oYuXuVc9uCNXFL4MG2TtyGrpNGetsOl9y0nSM/Yx1MR5EYBZgwhntx
W/Z5A9r4S1Fb9YsWfrXuCFw7YBg2pnAfXdmx1WZxRO/hr8TWJW+eSuMnO9yRvs6+vA80QHPimEyP
rL6ofQp9dmcDnm3n+QosxQQJfcWjM5I+tSF4xa6LF2RDJZ6D/2BtOkXl2hatXhGkkid9+0Ambt/N
vRxwm+obGOv31nU9MPdH4nfVppjg4o6O5LYVotujwC4z8MKDa8r9HS+rXwO1+AFWOvQqaOzOyRu4
em8orURa87LeVJJu+mnw6ty0drBbovFoCtGNfxlPSJGDFLy8R76Pu4IJnMraslqZyvJT6uKGZ/o4
xQr0H2jNNwD7kl0yu89NonjuINUJAvZkzGDvylcO8w4BTLdXnZmbHLA/CHulEjeBBdCwr0W7EjC4
xb8FJi9ZJ6/Z1I9ZExe/q7Akv8gYPOvJsKzvGcdNNizNVoZc3CJcr8o5ccbMQpM7rWJH5G2kvIw4
PjIK+5KsUZD/RA1Nn93YehxK5u09TeuruXT0xpUQ4JUOeY5mwb62obbv60mNWYk+XJ2SoNC59Ih/
rTrPWqECmus0qMohayLZXKhC3iR2Ib+3YxFtKycq0yYmHA4laK9bMAjNrcmpV76iQ6ZkuC8rx/ti
aFTh5QR8BxuFKJOtqG4gupHrmiXBj4jODLalOHjtDmYO/lge0O42qyiAdrLiSbLF3kceWnu8E5DL
YYEStlZm2jJRbGk5JKkM1ZArx+gcjn1sRUi5VYqPq7gdijsGt4iboJPBxm18cWPZyfxtcqPhG3B9
/5ZNjlpBUMUBqfYlTLuo5GmU3OpGd5coDBQokNNw7SeT36VFGefMjYqNAVfQSz2r+8HGYB86qskk
UyvbwDuhcKdrOkQP/uT98j3twxRjiDZaxN0qqO1Zw9ADHFWEESzCNbn2VOxvbIBb6TBELSzKHFev
ELVM87ob218Q6SUgRPrht6LQj3wydDuVDc0JlUmqA0nDDAIZ8eg33fPscnnj1JDKRCp8qjy3emhJ
qG+1BxNx3DPINbYg0AB67axqgnggDWHjvjGJyJSY3EM8IxdygtvhhmKu3spWyit4vLID9Es9EuoR
fVWEwQQOdF2DZtY4kIvI52rgeiMqYX4XZeugVRiRfQAtSOrTqMsG14ivrSy/T/DjTnln7gxccTfw
BPQvOdSyaWfZezhrfUFG/dMY2I/oM/MwGwpJrmvWltvaV26YwQTFudOePV4EzHV2QVzpnGGDfHHG
JrqE/1OxlUgOGGDd4KgobWDg0KR9RZwdj1rMxL6jl5EpiymPHMW2XiSxrjXvfZpCAra1vWbatBX6
9mlb1DRIxdTKvWwDu8Qp0MpctLL7FgGIp2tWdP6ctiWSF7KmMPYXAYcXvFnV/PZlx7ezcb2V7RS4
10bE2ZgIFO+Csl8udKI5+Afi0peD2I6JX8PBNiqiH4FDxBqWTEXeJ0kJVxLm0BU3nroggXJgCRaa
HEHPwXXsVfK2UKxGP4pNWzL61g7dcNtLSef+nCltx1UQd8UXDX/ajHZl7+RiksNN0Y7lhZl1c0uq
zllhWu+AG4JJV2vppXagJmQsAImDra4LZwCvFyuOa1bOk9lamTJIDkIV7fLG2EVXDXkjkyDlZRCm
oHnH6750q+sa9mK/W+H3B1WEyKdwGjedsWrWdmfNPWb9MKSuD4Z8KuqulKk7s+QKXMLfA5SbjwI9
0ZWFM/7Z9JG4dDt/kGlrzd0lOHy1RPxqCPCQVRxaJoezfOY938uq8H9Yk7bTwhvmLYIe7922KS7K
KeouCczMYVFcIYop6V5KTtiNHtHICKPBWWs2XKhI16sKplEHDX3dWgf8CW34Gka2qKdxGohyO9HG
zghjMm/GuLpmtk3yqelDbBPT0KQBS+xbYbkQdY3WCLgijk3uyXb5htb4LRAkhRx4zjqWIA++3Zd6
pjf1MJhdXxdXMU6ga1QGVSphZtykIMsiiKSq6pwh4fBeglW0tgwd6jzuZ4ScJjVoQv6YYUEUV5ZJ
vCcPdUcmZxglB3Hrb6cu2HKErpZZZUBbWBnLLrdiiOKrFpapu9p3it9dNA4p/CDFJZyH1BYKf7UV
bvWb6tjb0SAUly3EfY9UY5Jiy7ZGxEnqbmrVhV3JfryjtgIIGBPbIDbEj7eTGZHuW3gly1ij/fU8
lwjf0uF47bfImnbD3y5TvpPCziVZMz4epgDmnCmsc6Lc2ORalYgYgSFPAneVvl9bHFYssD7DqSYD
H0dSGMBqKWhhZm3Jr4hDKLbwbxRb7Q/FJdwm1BWBrcUTKErohMi4zWocf5eqH02dtkk3ruNWVRfI
JJY/fEaLywEWLC8WLIF4OnAiVi4Xw/VApnADzZq688Ph1gwIqWgacj9op9n1SOLLZhAbN4nX9Jko
OAEnK7BzkEvNNsb2s+qIafOoEtUlDJu8fTzEYRYbz7+CXE9fNMlkNnMQHWjhJOB8iazy4/olgLvM
OrBqG8aUzRauAHTdIf4DaYYsyRp4S624A4OpDk482dC3zbavqHODnJKnug8oWOTF3dyo6MuADABI
+Flz4ffuL1DpxIX2TRoG3HuUfW9uST9vWYlhIYL/pYjJxayctOgHeNLYS3JSWd1GVu+vqESEQBd3
GgfbHMc3OEmrx77D4QmSo8Du2LaXJqrSyh7IVZNU4UvhaXkN/yX3kVKSPMWmKFApTEk2E6A9yLhp
wkPpNkAwvKmmaU/GMp/ByipTMP76tKGVvAySSqcA6r9GqkDx6A4s9+IWKhWPIRd7gvUEsViFvRut
GYd/8bWlM9dp7HRsq2CD6LsL15rofS3D65ZpBmRcrUxksSvPm75WugxhlpWwXeV0/VrA9SFL7H4d
yOgeOx3NeESTVRDhJOvL6rdU4O/hlver7sJnXpgvk5C3M+5i16yOf8rQe56GsPwCankB5px7DeHa
F4ki+4LT8ivzR6C4+Mlymjh1bg8xzRL0aKOUY/INWpN13fbDrqJFmwUO6JsMNgxbWhgoxqaJw+0N
+suoHeV+5vM99F3xGlf6JdpnDDMbHDJkEaENNoJWOKlrCQHDnXTdMps4TlC/kxLpa8UvIF40lXqc
sx7lJnL5MOxU6lVgkyprcYCBlDixnHgFJN6Nll9Cvy6v6rCwNkFYr4kTpgFp+52tNb9mAeM7IgU8
C7q2ST1EU6IYjd2DTZmfwqPJXw+mZ5k7my1xomFdySFeI3ojuBtG+Qt0RjctJqNxbYoyA/pQOiLz
LBvg99HDPeEG7aIhhVIGsDSJvkeIzNuOio6LuPOiGphZkyqeLxuJWDSQY1R5NbEgbwYfFy6tAjh3
WjmZIueWCeyRIvTzyLf8K+Bz/AA7JxDwDWCTqmLmQo9RF6+tmoknoy07a+h8VY9jDHWeeJpZ88Nu
5yH3WlxwUlCjxnRw7f4HqZfaN/LYvWsIgtlY7GKijgHSOKWKu93UCXhCN26HNCrTT6nxvS4FVazb
dm2yTTprOzUSKVWR3UGswyuYUL0i4HNhfpPaDlawicJ2TAVczWYT4ExECGWutP2t1b8HMo67nscx
6Mt0/DYMfbIfSzf5iYybOTcgjGUCFRIMZ8Cgdhwyrsda8A0N/DvNQ5P50rtVdfKjUfY9g4nLhS+w
GuiMa6SZontaVmaLqATn69iEdNPiSj7y8MEksUiHgH7nrJ1u7GWni5KFaVAV4waMpm7FuR/zDMbF
fEpR6ourhDu7GHYYWeUiWzZxxS/dzfweJld1qpvA3vikhoZWhTlOljkVKqh3A++KVFH8ZG2XXOBn
+hZOj4C0pnXjiD0u6+6disbNAKPZOeXjdBeAVr2Oq0h/Ey4ool5Mwk1X1OXGNpMDCtVy1RwDPFri
IPZrxn0JP1+/toflNcVYsFLC5sSlhmPh4QFWilQXktd8jQm0CsuqhjMYSmB7vBpcVq017uFZVNyh
x15fD02BIyshE9CA8EFEbOsTg49ehPMVnXFzne3EpDH2RehQ/HtPlNYjau7uqvfCaccbXvyMRtzX
w5h1FzCPyWdZ6ydVdxdw5hpTKcolvE54OfJ94twKBnlRhRXsS3xP2g+a9nJTMNu6noFv7EwP27lI
iSBluMu+zN4kf6KZUq1VhVbn50HCL4Ljn1Pc7wgr/L+ig0e/a/MiFghOn/5V/z9CiED+PoAQwbOg
z/94bn79Y/ui5hcicNlBa/Vf6OQrBIk//y9E0Un+BDa4eLouim4Q1wDr/QtTdII/AfGCAojuD+KM
gfj+D6boB3+COAUa6MIUgE2fB0TzvzFFQJHQ+MN3BrpfkEVhWfAJTBHeLMewGbryIIDhLwS0Cfoj
ZD3HGN/YNTLANah6RbzmFDbMOBgKzuJrx56xyQM10t+WGq9OZ3BggzRWcwfyYEsWivpohmpdAfic
c193yKwxg/Ogy6iv8mJCSmcmuFLVapyHiKxMj4vOaowNFC2By9p4J0M2dLnbAxDKR9zGZtTeAFxu
AntsijzRk/3bdqDVwh8Ft2bV9bBrSKHaZY8WqkgUG6FL5gwGiZGfFoBiLyLXYFeliZs8JqCdPylS
1lcq6ZC+5LA4uB+GMsTjBaiRYeQ68l2BZMdhVQTRgP9BXGfr0N6t8hbGiBfxhHDZa5NwNEa4q9Ul
uiaelfaI9FuRqFOXFKzAe5snzjXoIywPgQPgugiq6s0AC60bOnmszbqqB6KAKHbOU5jTthtT2+4K
P339tSBEXTIuLAvUwknXGa0HuCHa80QRhdiCu5RaXtXeIc/P/NYltpFL5uO9521tJXaeQENMc29g
Kl61vU68LZwC7OKqhh68z6bALlZOa6OcLEJVLqaGCf0+gFzUp4OJkr1XwmkeJQEMr2GezMi1Venw
u6V4PKRd1PQ/RW1HPy1fzlMGuwAUfwG8E4Gw0GhLiipOUi/mgAR6VpQPkeUFsCeNmjHKe7uub3jM
zY124VOWunE/gv1XFphlZWyGPq2gXL4Ka1l8d6Emm1LaUPfRRYzIrq6kDFIH7LAtR/SwgrPkjLyk
uW462Jhynz70DBqwFOtCPlTgMP9oQAxC7kQhojhtOZ+feKxwBHBQ2KxVNPmvQ9s29u/6/3B3Zstx
I0m6fiKUYQ/gFkBu3BeRonQDIykRgX0PBPD086WquruknlN1eq7mnItSmUmiMhMJhLv//i9NiYsD
+8O7TeU1k3GHAQN4aSX0PjsPVZe+P9tVxHwxiF2Q+tZlsa5rFnVDDiTQFYUE3gCFe1Sby1vrxWxH
DraYJ3wM2uLUrT14UFEvNwK63luuTcBd34cEC/vfutoAL+1o9vz0kfVS5kcKXxArAv0FtsAdxKlp
ZecFH9LJryRPWFFfT43B+T8J1lTt1i1fxwzziHjT40BWbFOvVrwFo3w0CFraojlfg/e8UMbnAOCc
Ln4u9L3dptbdrE2XhqCwlaQ+89DtfX740MCj6pJagK0kDpRvYIu0cLYLnfnWs9cLf4pKNU6fAjt1
VTy466qTYW2EFbu1BFQ3kDwWCbb+3RBnvQF7Kly0duKVvu6bST5nGYehsd2VZdh8znVlv4dpPXwH
C++tXdHVXLi1BGlblpca2dlLhQPJg7NIZz2o0cRTd9SyWw6QfQMzsq00eEgV5qdRKqzRBdLXWX3W
B/toVKpgCGOcaSbFaJk294u/uk5EgJ4ZCzzzBmfuPhukv73LEaF2NJv5AL3bMjsRtV1jJEBR6iBT
xcQ+sZe9mGCeYfLZN+63pSvdLxNZBXJnr9gkcz8vwqM0D2Giqzp18Xed1qehsBi5i6CUG8ISXn4f
rDNw6GhYzVu11hbdJGNQJE1tqp12Z0b3KW2CcdcNSxNcemloPQ8zbWjUjOcmPmVQeq4dX+cEqZSZ
lxiy8a9EC0ZKd3oergs4Eu/UCaNJPACqNWYv3l0a4dYOMQ8B6h/UPJXcGYypn0eYuEsUerl57v9w
v4+6ReftVUHz4bH4dPR58VmQh1Zs5lTf1NnQvGOkUNjRuizzvQ7RFcclo/2DLXqTYMzSIZ1i26wi
geNJNdimjb3zHG6bl+RjOJQXgqtBbFCXFkYs81Y6UWNuYGxBV7RrHAIicaZnPjnhQg9LnINDNZHM
MvsZyXglDvLMKjk2ThY8GlU5hFHt4123NwLTvOHGqs/eFxOQWJ+nfpGg+s+HGEmT9QFGY1dxzyBS
PG5kyFUXw7oZxhNwOX9dUrDCWBj9ZO2QGU/BZRZ6ZFEsnRUau5mi/TVc8MaJrAUIMypxEhF7Yzbs
G9Mvt4e25TtNQkPOuMwJX7/NTVN99me3nY9tm4rL1LWqiXFtnN8nmS+3Colsf+k1IgOTDG8l04Ai
NEnWCCvGMiuTdJbyb0ip57r9p3UYdR0mNNRaaCYMKHDKf67rbrN4nOQ58+4E96c2MnmibovEEFO2
s4vGS4Cbmsu1AIL9z3vG/7uG8C/Xz/8bu0Iu4l90hd+r12Eef2oD+YHf20DH/o1iQpoXuVRwz/Bn
+kcbaDu/EadGA0a4ADR295xG8Y/Vss8fYcZgnhWsZ9EnzdsfbSBbZ6T+Zw56gCXEmUv6n7SBmNX8
fLuc2ReQy+GI8UqsmH+1sVHaIWcDgh91wGSyWnlahyik9Df7wcvVd9uay691DaS8Z8UpH1QKZth3
JlOc8vCLiuiSSowPJ51rHEqd9RW5pd9HmQzz19QbQ3gTwu6Ds5t5zqMv7TIgpS5wHrfZRAMjN8v9
5M8AKhvUqCGeJqXWnTTCJY8wGgYj4vzqv7JImzUndjYwFW6axPnQ6US36zu7pswabcEs2GMUTJ1V
QX+j06K5KVGSARiXfftJ+/PyJeepeSFssPxEjDVBMPnI34o61YHUWubsXBp+0eRRo/PZiXgznhd5
au5u7QVybGJtvf/FdNvzO7DZbRkDFmyRmj0hD+5M6xY7VSnHeKWxP+DkqfNDkTr+PV7p6CvC2i+r
Q21pKDfe7ObgnFbtEFJru93Rb+Hc79pa1i/eRCcFWliLN52F3WOFiJSF8jBPdiQCnb+H/mbcC8oK
eIU1VZ/bsbBHsoPTAc8MaY6PYhvDDx87uBtvUGMGkijcJsoabMIvWdbSiadubRIyMBTsnspt7drj
7ApwU5Xixx3DxaN1Kpxp0afaXs3rmhJIlnZm2v2tlxrNZ8U2N4inuffsyKzYgsSr7KtLu5btK/CO
fTHVCvwqt8/0pRLj9I9CiiL70qZOrxOs66a7zsUI+dSd33W8KSlSrOTGIIgAasjtQ4aXm5Hw8/Lz
iq9wuivLvsG03NGG2I2T7R2NUoF0YF7o0f74TblG41h0fZROrf1MmoIs42EOgWxtzGLcCH+MycCI
p5sKEKcsXBK0tKCyqSkWO6qMrH4qmSbSKFSkIkUDDbEP00cwdQD6qNvMks7XrcQ0fLcYlnOf95Uf
4PdiNTdU8vRxYV/zMs8458XQ++YisroyWKMSe8nuqHTN/bSB/LFGm0Ht9qYz6hvWZd4aeVjfH4Ky
qNSprDaeEKcaHXkM7Lb2CLcvppovhPwumg8L33oOBFJlJ9GkXzo4WhuhykF1+DHLnWa/HDwAMqv4
hL+5ewXiNsDkAoj6cm5vX7CDr17ybfEPakH3T70drdehGYssVl1u3aEzAO2YKFKwi6cU6VHve6AN
hsccEZ1niZc88Gs/kkPoTZGz9MMUp4Gn+kh2ADf7xli8qzFcfdBegI4nkyTTLkFNWGexLGyYnFZb
DrvUXEIPw9R+elhEzVjmlzNePoNrY5OEdUXzmhqyE3GPLO/BWlovT8ZW4yJt4N70bUu75m4iyBUk
OA+si9Doa6zVjVR1uw1eBPHpKpiCnePQ9QEqmcQjlF0lA15G949BVmxfDVQoHlYonvLi2Wwbl9CV
qWr36eqX/kEL+tIR+vgHKBFH2STq6X5iFcIyyHGY6QppVMdSYulSTN69IvvpHsBzVDE8DHeIJkIq
ujhtreGT3TSqirRJZBNHidbPlZrbOa5Gd14gRjbcX5ay6OlBfre3fFhxBe9R40YtcwZMEFtO19mQ
rnwVc6eZn2Cy3C9F6zxk2obC67nefDcNrMjiJbdNhs72vMxDjrRFGwmnYYQPZ/6RkztyWaRZIGNX
BmZ92GBS6phXlkfqQzHuNDlgVlLLsfnijbPxSVJ4PvwWP7cddpY2H60fa6Bqsg8ex+ksS+uh8w0n
1RUcTHXTrgHjU+4j6VEGijkLbbB3lHMXPKbt3BMsXUqUpmfF2E6SYAucUBp09HYz9O+B9krjYjC4
USKtevfNJR3gu178QB1GoGjukFYWz8uql3kPKMvZMsK+orcLApVHYdtZ+GulQ79EyHgDM84bW1xO
IZFziB1VkB/cpmnzXb8Ew3f2W6Mfq7RtP+yhoj6EjKpmBBdS495SrOyiaqnFALsBTyvWvWuPLqQ3
2wvsc/Ad8cuVf7aX1iyiZWMFF0m/nEgegTEP+dIbKQRc/voSQyWDDi9rnYGjrCqshIk3AIRwxvIy
nP3e3BlnWviuHLeJIz/PxzbqnMb+CFLTfipTq3kqjXlkSCd+652TkqqXssM5n0lmebOmro/tp4/5
OnA/OYJRhlYID+khLHZkPNh1lOmFW6cVYlti5TesS2uu3sQpl3bGoa82/X42rwGtLTk0imzwllhP
DeJ8dvXtflTDOkcVcxMfiVSinomFQL+4DLgvLgwEa4DCWdh8yWRXNgmOABbBJjk00t0YCBaWCP21
jHOVb4fU8Yx8R5zWeUlPpoIT+VPo3gRh1blImUp9nQZFcbbSyIMvVcPii/dqZN91OIQBdMshf8N3
xXsep77K9hUJeW1SMiRbhGm47lXjKNtJ4J1DS9mAR6aImInxFjaNdvZng6SNVUTmLA9nJBrLgzmn
JOq+gg5VcQGSbvEp0o1u7KvOYat9izNbcTOhEK2wUJL2906vsxHjt7B8Wvs1GGNSi52PeaTpiArt
rt+aXDmcMWwdCS3IZsbJoNPgWtlgZmBUS+rvtrlhqVqm9WyxUQAt6hyck7DgZpGwn1h73JFBkX2h
ldyOLLCIUwUn6gcUA6D8R4dVDPRTXw5fzgEfw8mrOu9zmIv+gmDa9ps52hvOPJtBVGs98x4v5qEZ
rvxOhMte2jPKlMLwzzRhK8cJ2kX6o3Z9YIEQWXip3UNsma+GLF36aBAq6PYS9tgQZTQCPO2d1d45
pbGqeCabCyUsKRac+6siSK1eApow2sfC26lRBk6kTH/uOfdanxO9wn461hldRTI5BROQbKfqvcrC
gXo98kniliwVPzLgqT2LtJhtgIOskFEaegyHWw9Zif0m0n9tYm8UBY3Q5wVzztBHY6C2W/Y+532Y
twYlYR8sMU6B6Uisl3Q2PVizB7C3tnPFqE0qcDzWQ3432132RBtKXIyjJ9uN1lwbZeRu3pDFeYvL
ahzUZv8dj7fwMiir/BvWT3yTPnvh7UKxVpkPuebuP0I8AIeDKEi4TK48puyWluVusmx2rnqYpk92
HgZ3Yijc8upsartFUAbsEXLPtlCFnInuoMcyZY3dzPCx42nWxYy8zgG/ITKF2hn4U3BRpGuBXQqi
k0+16Ob3FEBLRsZmNriL1L2+dwYA5J1jjRltKcu1LMrdMbdv5hrKvIwmlRJLA3YnB9bEauS3HBg3
7X7pZsc7+WVIJwrlRjCsYxLyJKyAvZ3IwHejDeqEiLG9KJ5Y00DDy7dyS8doqlEgXORYJvo0fWQI
HzqgFL0vcrCIvV9Z8DEiRbZKtauYYh/6QOH2gVGWfWHjXaVuN5c83MRJ+3qKFJH2V2PhWoTODCr/
8Bq6+INSSrynIUbVkNJFH9KWjVPAHRaQ35MG6zRHIQFgDRTJajviyAJk1qUWBxcJ45zOIF3BQwA5
5nE1jCzbqaVoPlXDkhHAU4rgfibYdQPfhobRdpwvpbZlYmpKft+Qs8ixEbQBS/+l/DqFIcBfsNXj
9ylASUdfocILuFgmRKPB5KSGJuP5EIVcvzja49TdNxn6mr1VLxonA/wME68vaDO54zyfwwJS3uar
ALZU7XV+DPF/DqIZBk6D265tF3vsxKA/rHLQUE0gVlTJAkKt9tAaM+weGDoTpZcu3HE19bbH53E1
YrpGOGLm4px7+nAEIeynoqhPVtmN13CbVb6f1rCpGSv4Jo5WOAnv2DJukFfey26MmtAHsHLsPK+j
fgxb41iXqg4vc9+G9ztUc/7qDsLD4CxvlHNamlKCJMGGfpnJCdagTz0MkxId5WWRT6kfTz8KkYVs
fz+HOWvl2io50qB29O2FGNeNh50m0IhbmVqvKIN4GcWt9Nw3q5oJ1JqwnV7NOTz1oltlwrIP6uAy
B7wHkoGLW2WZYLQ+5sYzrNm27fDYhFc2bfXKIHFm3iczOpTgtRqES+qj23g4ImNfU0azCqcNJCag
JIad9K4E2gsTplOAntbqjMFIpKidBdKeYX+xldPdVsRzZQeGmrxjltWBhvaFyOpcCALQSMft7zWm
PfZRwfMsIpcwQUw4eHqCqHbR80UkF3FrsifpH3rLV26k/BJoNPNC+wHQzTJin9q7xPWUlcvRZKLu
djzEzWUjqjnZpmy6xIoGkAdrIo/zv/a8YzkUZR23y1R/Ot/z6YGiWVIwACXAFDnAp1On3BGK8sgs
cjAKGO/RCDdmOhKbew461rJ/ouGVL3pxx28hFkbncz7MFqiQGPgeOg+uxvVkFZirpXC9Ho0uV8uZ
BOBL6A0q+1R3ZJPynDrdK9QZ48lYXf/RAwYhJNrg31GD5sYKDb+lkWKtqqO0IY4m9qYufTsHCDR7
s1J0h6IySxbQiI+xk3Y0I3DnFNMDjJBCo+o0mZ9Fb0xfYP4ZV6HqnFdoEajj23wJjHgulXNlT277
guijuvJhwBJKnbmlz/teTKz0UXcRt5hV8L38Ni+/l2O2QYpTEhTbaDJzhyqulRdW0VaHDHm/jInI
KL/nNpEP+7DFtzZp3LkSSae2NYTwjWUuFBhzbW/bsRQfmb+xOBM166toQc34P9nP/r+Gop3N7P4C
RZur7HXIf9qmnn/idxjNDn7zEZk5zD4/UK+zYfsfCg37Nzj/YFcYiuJkB9L2TxjNdX/DtAhEFJE+
4o0fso5/bFOB0UjE5qdMdEFgX/8RjIYx388wGnJu3NmwG0N9DGLzbyJ9d0E2NcOtipcs4zSCI5Z4
BumuwPGtCRdeaoXbDgG3bF1c/3tZBeRIltRfK8nNsfjsB71PXGbnlTeDm6egSJDdG7LAayuFXjFt
Lxb5Z+h/EeswXZWK/iHgt0Vcas9u48nWQ3jqqrR/wAE4DJMwz1zIo0HH0CClRZ0zPGFElrY51Zgl
qI9ImcmddcLM+gb1L3stak8/F3JNr6Z042WhbZVwNbpOmCfhVUhXyxQ8EELXXGYQ2UXZyz0rjM9s
OPeYCNzaTn0rvenF2KhwS3BteBCMeF7DekxA3fapmmOvh1qe4YZl1zvZ6WPaYD02Wkf+HsTnwlE7
iNXmCeXZFhsYSUx3GtX+G14yQ4iNWWRK+7oIMNwO85iRbwdQehzN7rWfxE1KcEUTFJddHz6Zpb5f
A8J+DJz3N4ufnMUSGVnHBrbiMgSxqYEY0ZcCHUHI7zMxDBHDMVtKZ+VH2Gyn0og7lg9idl4y0e7X
pj5NQdhZe6OnwAQQT3Mee8NfY7u3jO8rGrvY0vVznhX7qRzuc799y3pTRH63wNaumtOZqejDreos
yJjlJ3fr9/nsyorR+37czP1UVSevU/cu4cdc3pfBfy6AwlrjSxY4+2JsL0BpkopqVE7+NflBXCRC
BcIWFYOzZC9Bnw57bxyZRDPzUYoHlDtPyuaQzuUho5hG+dwlFeN0gmfhvmNDl/ho5NuSnhDj4tzr
Lkx6e4zm7Mt2LU716t65abhLrTYOXEZ4nA4re+Gg9R98s7qkMYyLnI2bIEUwchir8OiMe1qmXCxX
zkh7ZO26wttvxbNZVXuq3Q5wk09tP81ZdzlO7iELK+dhMr76rbhuySw7lP37ECywgQi9ol3O+dZy
Md6N2bDTg/dQ6OZjdofzOvTZFRXg51glATFD0P92EFtvm47kVJaQBTOwRk3o1qHYrbZzqvRNzqLX
sWkJJ/pwEg5U+pAuBnzoBoGNqO5CtthPcmE20SvakrTCQkEdvXqzYHN1O9skBDvN+y9Dfz2bLFtH
nXrRVg7PQJJH22D+XFNSj1oZk/d4JQL3U1UrMzED5sJcHezNj1YjS4ZmNY/KNTv2lv3o7uqFfp0K
n4xVvbfyHBwojZcZXUw6SCiULa51lTh5cEZhKlzDv0+sQAeRmRNJ6rKMz/JrIIOj2VUX7NrhsU3+
nej0aWC6bc0VDkJqTpFJsTL7MSYc8ibFlQfe2VH73oeGVh/Uy15xh9hGfTKXZoohYtr+0t+WcI7v
nA38fYTZVF9oRpsI7XGiVvlY+puIsqC7hxh9CarOTp5QyaNB1BuBZd/9oY+LNY3ZQEdTtSZ4vbRR
ZpRfVsb5aAAqpXJWSeGbTTRCrJ/X9CgdrihjoQXW1g75fim7Q5MxlswLumL3dhnseJI2gANfUoXG
K6/naB5BEkVfPhaW/1jjVMBW48krmxhjwUOV8tGD7EJY9bHwxigHNDwjpfmlMzR3jHE3q96uoW9d
mbPeobxImp4MKT88wVKOR9c92oTIyxJ8a3HUdZ1xMDDE8+B+6K5KDPi7fjAdrckCUMcKtL738oGR
pN9yyJnyZa2WSzddb+2xv/Ab5KYyjQfLRHSUJahjosYtTiA5fD2lfxwA2PJ4ZWcSTGvSVCah6GqO
HBOoIWi9t22AGSgDPlIIvu7j6WhW8M6L/EIY1rVp9RdsqOtYlN8H+sbPnTOAwqfZ3sY4jmngKjWL
ryBsCeTVE40jJurbo5lN19LNYqY/jZBOkxt1saqW26npY3f29hUuCXod7s3K+diCdu+tXp1Q1fRx
9Z3bEWhJj8Eu8PRnUU5w3sFhR7nQS/snx5ySRW4jvamI+QbyeAyDQ2qIi0nM963bX52PI53KxCt7
+6Td70YaxspLAxiZ3/TYJya6F5HfMVqoPeyiKGctNIgefkbBAGx8aLrSWl+4mzjOQXFVOKvkiRlO
MzC16eibxZR7ZdclQU7rV3sEwd1kzcYgv8OyPs4AY3ft9pB3L3Xf6Xch9dFtH4PB2y9hfpmW5nU/
GSid0pqRN7RqoBWhW5jV2LXh+ZQvPceegN/CQqFN22+T9if2TFP32R7E3ByXgfBHdspOeO9UxWJF
UztSWnCqhJgdOsOz3sLqM/1rBStbed7dGQSFegu37GsrcfIe1tp7Q15GmByCX0JZGwyurjynQKXS
l2euK1CFd5umP0z9rCZ8d+plpbrBGn1aw1pZcQ34v0VpJcc3Wt05iOWaLfmuSDHy3Mk+C9G3kO+i
YuRFyxVweLHsNMYE4KVigXnd6eGKPVaKe+k489EVlpB1hM+Akldt5dbf8ZdY3oUzmBLbMpaIb2VR
8uzIZWwOvbmgxigFhrIHGbhVf6YxpsFR9JnlJs1aTm7Cf+lwqcfVeZn8ic9IX4SOpE+9Plo1WUsw
cMpGJ2JRdXtV1XORn0oT0eOpnUQZXFtN7cEI20pYwTPrsgQ5z9gyihqBG0mBLhPrrHI1jqCKZ1JO
EeT+YdF4KEYWR+waywl52802Ti0OOYNpEJcJCJWC4DIiJXZhdw3IxWbLaAazDyEzW/g2nDUjYZIZ
MwrIWuLkBYi4ZPImw9p+SLhUPTDxODrHwunH6sK1OvML6RFmBfRW58WFQJHGqZfnqj+i+UN9qP3R
iqXdjWNstEBOSekFHSDbmFkd2LnZdbtpwQwNgdOQ3vaTLFjOmDQiR8gmEHVo8/x2F7qD6RyDLZ/b
xFom3V8SThK+W9s0KN5WV8vIXVPHPuO9I89nZW065hR2MYhYKmFf4cFpbMduTicrDqumkPtWh+IF
w1HQSakI3U6IBkrHPSFhyjrZZrPB1UEJVqKgabwu8gLPqC+cFYucC8NMm+Wqzlgtwbmbm0M2j8F8
p9l13aztOprx2g3wE6o+z9qjTzrqAsFHWMZ+ALpAz2elnb1j9k6tgyPOzhlNuEkiDH0iTfezXkR3
xRuDFNv76HcN1E3rrfDbGt6Msi1igmGenEw2MCbroRqBk8i6wN05KvS9PUATwv5iKNHnLNprXjHj
VVdpv8BLtPHZuUBC5Ductk7hAoh1ytqvaqwY4PWkLrsOzWyc0r9zpJhTruNpqHvvBFOPNQmcbeFC
X9HQySajdL8OTeFmuyJTZpWY5gqXqGqIhHKw2LwkT8aAhG2U/tUyeqQem6lM54jJwlUR8eZlmWxK
uyza7YGIJ2eGyRJ7GHJR0Gl++Z3aabqk12LSeydYbBEvcgi6xIWG2EYwBcev6ywUznVdumD3DV4+
xUGRludxtrBcVsMrjY7ycwnHyZHtuW3wUR6IFp3pLqu29ls99upthjWUs5Ri90odTb2rPJy772Of
OTBdkNOv7GBUOieM2clo2Y892U47q5ZE2hMVje7Uc2ail6uqPqKR8pxkcOiWkI8sn123zqALTDrZ
rLFok7FY7Deva032GWR5LGD1Vn6hymy8rBSdH2vdtGG13tZ5fgAOIT/Prrd8r7I2++KJ58wDopa1
O39DiLhWN4Fy9VOpBsdJ7KyitwLnCd/dVOQuLfC03q6rwdZVwsh7Ljii06gqBDXaYBWfspRo/EfR
uc6705JXhyuSByG8MZfuPYDTxXazH1rnUKcebv+LmcIbBUg1Tzg7j1tcgyu+rKbBdpN2yQ9Bjywf
a4bA+SCnBNkocogpMXrtfLUXx0N9jK/FjJTvjBGh1wAvzk3LrRPWz9ZHtnQsLZxO2es+9LySpn1r
fWjlAHq0Cl4PxLeVrXggbFpbEXre8V2PZ0Il7vJ8fVPvK7YXrcmXhEMahQl9+rRz7DWXMUoxNp9V
9YBdT1/HZM+mCL0xHO5jKbaUu0mElN9+Lco5tms2I8nY6LMDAIyOCxAZNoJe0+I3ivPysl87gS7G
VynS8sVp+3uZ5kS/Z4RCfeWZDb/hBr0Aj27+WUuEfGWJi0yqAWfbRRV7Ihf1Q2W6zf2UO9arCD3U
FeHWUMIwfKTt0iYLuN1G5bxoq2FAcNIQZAgNudOATG3B3gM0BlXv6Iybu9uQnEPKGDf7jYVT+Tbx
K3yCVECDq9gPyCiEMef+biHzh/XFT9YO//TT+NV64/9PhtTZlf7/jO0k35v6dSj/zJA6/8AfRHnv
Nwt7Wrw3cODzMLv4J1E++A0fShtXLKJ+LIE55b+gHU/8JohkBt+2obi5/O9fDCn3N/45eO2o7Pjl
nADwHxDlQZz+RKfjpML6EFcQ+0zI910eVf78T9ZGbVPCjYQ0wepv4I7rIV6jX+93a963xz9dkz9u
jj/7fJyZef9i7v14KRzlUAQQ52FhU3Zm7P/ppcpcpJs7j8DnDsMTL2fvc8jhV1ooqAZYcx6Woa6e
ChRIB4BXefrrl3d+Njj6/fURBThnMQDpX7+avs0L0E+dbVOcu2Um7yxb4sGmeTD2wDJIN40cvQCX
YJUFhgOEgcVSZtajcFjQZIVI7xDTDgJGyspRXZQQGSC90KbvcZaoLXxKiro5CFwdP/qlxxegAa6H
hx5wSQejqhGvYhq7wC7pGzr6lgJX24Wwomzp5SfunyCDI9Knb5lY1WelPPvJHI3mOlSc1zsyC+XT
X18Q60dQwK/fiMCJBzee8zfyqyPP2pnkRa8FwrWcfLJoBvd7bZSHVGxFPEFJgI/xmeHLeq1Gn/0z
4o0cDkLbnReFm9N/2+oF6jddJNxVWWV+MoJlvI+Whn4Mal2nsdcUeOdXcFGKA02t8w5C51kHitb0
KZ1s9sWyqKo3QnX7am+oYNDHYMIrTs+B02INka4PXl8PZTQEUs+0o0YBpSEYpvdiXvUnsOix3hl8
igVR5SzJ/h17G6Uoi45beoui3Ju1qMcT80NDj0E6Jfh92JGopX17Gnblwi6IRZEr8Zavc7hpYdlM
r2ZlEhzS+KvVnsbZFv41QyFZTnS6wdfU4sg/Yna50LCqwdr2+UBGQGKlbKuTZpunRzwHs+zOaQpt
0zoF8lUQluwfbUIFEH8JXSsYvoIBYBybrd+VU+p0UTd6tKrmloN3yCE3y6Twcrp7sDq2af2m4FYj
wwhnlygFbfbJtGEMfKUYJ8XliI0C/Cv4Uw+5H+bmTmijsRKb1G7alIC90DG3dGi/84F973JNQx8K
OQU5vy/TQCzXaYZPyH7LydLcQ7a3qn3FXVHHDCF2dUodp0IjocrR3k2dHTa3hQVNO2pr0NvEk0vl
JHBAhlvbb7Y2cSqxMEJ4I+YzXqrG9G3eXJnv3ckR0LEYgyAsGL3fJ9sSujIRZehATyEOeEnCshi6
HduHBV1jqvO9uQamSv765v/vDiP8+AJkQrh3mh7H9Z8Po7HwVqz2UGBkrQgPPsQmdNojWJBl0xXP
TBS7TRntXqEOR8Y9px9//fo/m/L9OIxwQ3TZqYf4B0KQ/fn1J8vIcqhtoOZF1uwQPbqX9jjnF7Zb
W4fWCou/sWf/xbPw9xckL+/HLpDK8Ws0CWsvCx6Ryyq2Weh8XOiFg27Q+gxt8Dr3ejim9uYmk6ch
E8A+O1V957y1S9mue72CVNZFWu03D4sVxyiyvzOP/SUU6fz+0Joz1mHHe14xOL8YpZFAyQavr5gy
jRUv4HD1DjPzyG4xSyhmmc7BYdFZHxvGm5D0V9uKncnd9m1tTAd3yMy/qVb/Xi2o1SaWS5i2nVe7
vxTGxhgb03JmEzqFC1amiiUDKV+L+m9s9/6bQ9ijPyCXAWUpPsveuUL/qSzCpPQWM1jNWLaLupNV
MRb4WCxOwS51FGj6W5AOXXg+cUK4Oll4T+SUateXCHAs3B3XpGSX+tJ7m2PtcU/qWSwaZATWBohO
MkO0HP/mPf/7zQs0zT5I2A5Xhibk57cc4KAhINPyltXWvVlOOx5STaJKLhr5mG+Ge/jrh+WHS96/
ChWGXRht2rjHkRxunnkovzythihbTJtsM1ZG5T73KfQVmJT+MmPYsDmJ3y+NhHxcZbdFWJbPyzIA
VCz9aOz/+o38fFPQt9C5mDgw4iNBnMaPVu7P35XcvM7qrALIMDCW+/9i7zyaI2XaLv1fZs8ENkm2
RRl5qdVGUm+ItnjIxMOvn4vumPi6ShpVPPtZvSaiBRRJmvs+5zponBAID/n86f2rnOD8/l4GI8ja
7EMJz6dx/Ps6wmJlzLGgkRsTPM66LChwgUh7TPti/tG7KiLpoFk+IyjhHB9XNmUOs8og02Qiz5nD
EXYecJlhnwMreiZg8HjmXG/OJYRDOkA+Ic0i6ji+OYVxpiWWW4fNWEaX2pPGDq5LcsCE9jnu82wn
XWxXkc6Ta5Mywsf3f5u3rs55kpTdNVeRVJHjq6eN3VLPRA/qLx1Sb1St9GryNZt5Ru+7XaYamhYN
IZhViPh3DdLAMwaUdWb+dyyuz0/x32ToM3FTIz++A8LqEjZ5jIGhyqolpLNPr6vLNIhHbJ+bKCsA
oc3tsHv/wU8myPV3X3F8bPw9ZknqgScrhqNrATRtVNjdHMSeEWLsz0Ws2RrBjcoxOQp/Ry6wde9B
MadUOCXjtE+9NC8owReL2gv0VNP2/bs6ngn+3BTxB+vZBW8FyYgnszZjxHQKcFHhEhWIqXCPX/bm
1H9xC3e5HqjNPL1/vVczAb+CZIPo+3828VBgj399Z2j7tq4dVDBFgElwSY0tO3hrnxuGt8stagRG
I7uPJcdxwNExoAHsl/9tLf3z1KuzmZkIW4nvnUI9kXeLwtPNEBYqKS9iNCa3TuPk1Ius6hOqiebQ
9sb3vrX8vVu28ChSP/4cdLF562IhvGrLOr/MGrf65g2ePPOB0Nk/HZ8UZqUDkpyZymEmPP6Fijpm
HwtnB2JIbhWbqsNVEo5zs6JxvSb/kXoZPmc7y5b7zJ4o6k1+BOlbJbPd0dy0e5rzczUbmz4hDSJc
/KT/CjIF2VSnDRdHXmCmVdiaM5IatgTodd5/xa55fCb98/NayBmYZgRoSlOejHQU5HY7B0KHrRof
Yu3IDykSV4XHDhEwm/xm6xeqw/rQDWwTQaCVuyAvt15mHGSST3koYA1d43XFuRtzEDU3jkNXAfpL
hNwdC5v4Udp1R58mcY16q2IoHtskt5JnAREq2xUtm3QVKaQxulkeXBAwWWzGNysHHq+GIROHs1Lq
s1iDc9uwue5/e0mQPLvGRMmowhu3ILBRbUxV22yqfTWp+YeRRBp00SjtS6pTJeW/shsmyvh2RLdU
UAwDMaxeXD2a94ayZAmHSgzI8ysufp0P6PJC9B4DiMQuSu9tY0RC2irLvjQp0beX7MxVTT2Xliat
d4UnvA7GKOxHjXeocdd3XM2o1zemL+AOcgZxmkOVApe7wv/a7WlqQFlkky5/S20Y80ZOQn8RVh+M
G83xcNrGiAfbjdfp5heFcL8MHa/0oPMWRnpFx4Y9e2xUC/67vvs0eU79XERp+0vGjl7CFQTlbfHn
ZL+oWwURClY+MGqr8wCvt5nG72wO02azsO/6ZLpxOe0FXaPmgukFG09m4hTdZxh20XjU1nxf9YX1
C8nb9B2Fb3LHEXxwPvEwwZehrXIOGoCebnssqhy+a5sqaJrWEDOaCREHW0xUenhpSnBvNtaZHHZW
XVkbFTNTbka1cGesP1rekVKTPpeFCOatbc280M4E2rXBPdLoLUrKAH2jX4GeU3RJsMvMSxhZnnNZ
NQWpycjLURqMnBZ/zn2+fHHBXJibAS/8JZVEi+beONN+yNU8ILmHYs37K9rsi0S+8i0bEJCH9MDM
F5vd708OK7Pe9la5/Ba5Hz8nedJV29ycrOlyLmbP2SRG5XxqjFy/1Cj8PiBXDz4YxbgW4mcnuyqJ
qEHTWfGbh3YwgiaoxDLddcNS04qhoOlf8lz+D0uC/0LUQqNzY9euc+XlUkQHTkbUCCj+9g3oei8e
rmN34BBqwOW0D+1E22k/cN5q0XqA3dkOZEwNm9lLa463IGkuM5lggS9mw+ExemmmVw6OnnyLDQ7S
FiQSrNxLlHD4tUStv4ky79rQ8yO0JdQdbLTmFMkBGqlJ/3YR832TtYNB25vWdt+c5nLYlWaPNDLG
em7xS/ZNjvkg7uUV8bUuIu88Ny6H2aY3mSfFjF2Y3cT3iHz2ibhVLdQVT66mu3724Nvlycz2rodq
Qs1HTZm57SIronmwoMbt0CixUz9gtlgbbB4a2VWx4hJdRphcBWeQcbLJjTZ29oVdBwxsnFvPlAXG
LJQEHNzlDFZa0WYnygtbDPSQEdkhg4wWM7K3biWdT0GPPpKGTB7c1bwjiSA2NhGO8nEr3mDa3Wij
zlePBCrVjc5cyR8sY/sZWisqJg0OXXNiy8SXsS1sQOxY2pB8VFH27Dr42uCyyt64zGHrf1V1Z0S4
xmrrB91d9cEYNN3FHie8OBipATYaj3h13SysLhCkFUV30aT0fyRKpU3ROcGLbTjyNxriCNN7tYBe
KbA0+uzI+OycoP00z4vNfS8KQKOFBgH3YRqzRLa+NF4sL2ZT1zk5GZBR4jkPsYU4bK8zBFcXQNHt
2y52ldyJhZ9m56mC1o8aNKUKRJ+PgYeqaus3sl3w8GidbOy8Hz+qmeVlU8OVmXcu6nIaeLbXMECW
obxJU8tTjNgOZB/PbV4jQFgehiktPprIQ+aNKpwIb1XXeBSLioTGHd0DsOs9TgJadp6i19pVSCfb
SVh3qs6caU+tKb6wlnXkr8azn57lxkU45ZN5lTIi1pTLxnJvrdnl8BZ0JXJePxoMYy87wXauJXxj
E2OY+WCMdvXLXJzsib/g/m4NlKDbDJL4iyybMcD+kaf0kKMUXUns0CLbztKttyYdKDpWiemkZLY3
6SNeCLFcw19GIOzYTnUvbdVFYa0dCpJmE4jHKdLzl6yaBsQLtpyehqKe1BXpJr2+QBs/5zsPC9gA
+Y3ywpbGY1FcTNYCuhG0dE2c+Tguv5k5rbsgi6gT6BZeEKrjJE63CzbLZtMrU1z2I6Sq0Gp0RNPN
rLGv7Ec0TOjscKjn9n0/uv14kySihQUWtYLuWC0QWWRFS3emmTQ0QeiXXxGt+wjbIpNSF3TPnF0g
Pi93PqS44p1bC8IJTBSgdR4oUdc3do5NTxEHpydXPLyKon1t9sOKkbIS5g0raa/4coSzLQMxfMhr
r9+jARRftD0bjwvg2+5yKcr81p5aVsLETkwquU7f9wcDQVkx1sYNDUyVXrhRrrOwbR4x7dMm1EOM
8l63+Eur9lcJa/HJ0uNDg1Fpw57mSsUl/bX3905vHBJWxjrbPkqxq5705KCsJzRFxSSmMNBmixfC
yQ5qhjS77amu/DR9/dFNPYBfCMObSyo/5g/ludOn1Jko6RI9cTY5j6u+3o86hN66uCdce93cHe9H
ETJBvcppogUBk9rVAGeRATTWzjchBeXRQKUBkj3bSL8Q7xgje2xyLUMQBdmX0nT6NBylNXwISPJY
VpcuRU2+AyHxwlEdvYdnlfzybJGU2wBWGebuRDYzxzB7wI4dVDO7RcRaP9GLrWzqZHSr0O5thlPs
qOI7brLIuloq4uzBNPjGRY/CjDnWMujeDcMcfUTDOtS0R+b4U8Ro+QaJZnK2YNOc35RSzZdiiYGt
5oGG5ZbTqkW0Dsht2tJwQQqE05zwWZKmAvMCWBCKLBFDIyvSCUxGEjnNS0KL56ODm8ALS3xhSD+X
tDoUMrbZHnWdjwuBCrhx7dQZmk0YbFiChYA2WqA1B2+ZaQFHjaV0M7Ice1tCW3ArtZEpblb0+lc5
NMs3wtuyYtfUTVlv/DYwjW0Ve2B4ytEY8lCif4i23px2gCD7EfVTBQwN0U0d7Yq41099gK96ixVc
OWj2KZyGVRsUX5GFxHyKXo131fYG6yAhj/4WbHPci6IfXDLL65EvecGGtHG4tgrTDDpOWJAMcx8s
q7+A2k2BjNDAcqbRfrTbKSfebMNZU92yvfMsNEdGjj87SOpg8/7n8vqo5NENEpZP2c32X9Uc+xor
ZxHVXZhb9NljBIcc5Bc2eco3rinOVju7K0xku5l5J6rOPlNNeuPwDDaLALAA4Tclz/XL+bfyN9uF
GVGlC5skmO+WJMK1MDfuVvS9uRcizc6UNF9XLjwyiGAymP4qM/dPvkTsenLMW1Yw+thIadXskrS9
okRZEz/T7IYXxTH+w/u/sbVOOcf1Er58ekswWkB2EDZw/JQ0OJoB8UeLKi5VNwW2i6esNYermQb0
ZqK3DRO5zYDA9BG9v4r6vwFnNAlUcwal/8bjkxsW2MjK7DUh8qR0YGAC5KSOlqQlP52ybid2wTgO
qFQ9KHUJYi7kiebl+4//J2Dt5PEp7q45kWtOEcWC48fP3cEvgE61q/F9+Ak1EPqrNTRMySNQcSJL
jS7PQoMyfHSoxNThig+S+VvS2XC0NRuOCqie3VS7qVvivba81Aujou9vcS8KCJV+wx7YHeXY7XNl
GS+m07ILs1XxCfJBvo2TDM4+1v5dXgfObeANNdB49BMImRGpEZ7TDjXC5kpOajOXbrFbKruKt5I2
LJwiDQpwG9MNaw8BDAdaS6aB9taEV7tDlxY5Z77I9R2c/Fq+Y+P98gV5stTDj3+trBwSFL/5iMmp
ip4oMeQeDtYKI837r2X9O6fXoYDoE7cQgCFxTkoMBleGrxP1YdpZ+MfYO7FrtbAoYDD/gJuVmYpN
YwOutRnPPePrz17wQWDKoKwtBd6M42dc4gBz3IQUUdiJdQi8adzFbiZDFcj5yiAf+ExB5Y3ruWgJ
XMq1xMO4p50Mc2jqBeIELIM4WO5Y9cjJG/Ee3nd8/KBi6S8YZ37e16+RphaxHsKhnSPEKaTH72v+
f9X9IaI2KA8l7XXGM5LW91/j6wmcIoFPK4I1Eu3Cn1rYvzNoX7dt4zKB+zNiV775NdyB40VsNcZz
X3Ke9tj2XVLGG3ZOaWQP71/+daGKAxulSGqy7FU4hRy/SRP52mIOKAqGqZP7vneCB6tXU1ia5rm0
szdeIrH2RHCzlcHo45zMoqYkYo0Zmif1l/lj0sd2BNfPr3ekXTUbL8nbL+8/21sXlLa7vjw6LyhO
jp+N5GrTaGpUnzL3sj16pfIi4qz6CXrafKPFmJ25nr2uPsefpEAlY9NioeXB93fySdbVLFphMmaa
ki087pDKoR5ZlhXueOkfrNYKlkM+9vMnJTyjxVYQuJgSCKqAZKvNLBR5lqh9BNIGHnpAsx4mCy4K
NNv9Y9YZHnJDNVMgnsnRNbcjdJBzNfo3hiOEIYY+MwUBWqfDvuyT1podyhgx9carpp/ye9BCnDq1
ZwJJ8OL4ahoNB4tOhlfDnhbvzPfweoljUiMZDV4PNXJq5ccvLaZw01cuvGm/JdCjkaVzAM6hfncR
ununi6eNMJEYvD9S3vjYmUnBYZCHR4PudM5WgT/3bQP+eLIZlAvdmCsnyZYzbae3roJ6iMYj3/pa
ej95tNrHcV5wFVw0y4eGzVKI7EFdv/8sb4x6whqFh7uU5i9L9vFVGvaAgASiIZwaTADWXMJ3yRwO
19BzOH/iNHj/em/MID7bA+Jvide1GTXH18MVbXpjIznn2pV3HXRG+rQ6XPeWW3OIfv9a1hsnMZ/Y
Jp+mIiQo+ScW6Z/ZkjnDpzxR4vS1na8UZZtr1WrKyRw7LlPV6dCxDP+BSiql507PuyxN7Duc9vM+
N0UUU1crGvPcTb3x2UtLMLNxuEOH5NnHv8CwNIFO86kPO1IJ76VbqQs5Z/WXzlJzHwpzFDupotIE
U5lmLwzwlbGKSevMb7Ne5mT2oaVDe419B/qX00TvqoudJB1KTqm9JrZI0f783OYlyl5Q7cQYNa3x
4uephGJaT9Mv2ZDqTPJkYv3giIBmviYiId69f1NvfM2SFvCasMl9vcpfbodWltD6kGwY0TccvfOl
0wrnCpn3sgtSDol4D8wzP8TrjdGqDaHpQiWMHttp0r0sDFlMcdJD4Vzw7ERxsbVgWW2osurQZ53b
Ldlg3iTD0P74z0+Lx5Utg8MJhTs4+fTiifUmCwICFeGzPiR0Q+/hGCGKHkV8MXtN951Tav3t/Yva
r39jSMW+xZMCdZG0lI+HX52W8VptYloRdSNDw+tJrmLPlqpty94hAh3T9QtB8gGtD2wIU7/LTAzm
N6QodU8+pDaOzMpNqnDGuknITwy+EL1VT0wXdeIxozCorDtkYmTI5dL9lXQeU7NjRdRnYm/COKjd
0tjM7ObFIYFyhA0tbufbEv7E8/sP+3qyQZDAhsVEuMKnflqJgdkvVS2pwhn94B2ICit2bBqx/ERp
ffkfL/XnVI220A78Nar5ZB+fR1mZJbVEEW53nxZtTAeM6R5NRkAK71/p1YBlh0JVae0004CQpyHl
qSxhxY1UvKiNp9vR0tEl/mD4EoalYC9b0VY7qn107Krdv3/l1zINBqu0VvWWR5gw93A8dlgYHC/C
+oTTqTA/VlaCQWGmstzgy71Y5kU8FBWKPWOhKUZLwrlrMbh+sBLtbvou9mEC6/aurdfp4/07e7VW
Cu6MKjTf8CoUFieD2gxKB5IVkV0Z2OnbRPbi2gPSeiYVFa/56aTJ6QX58qof9qmkuyerF4lGdqlr
ewonHJhyn0IZhf3qQ5jdYReTz+jr62dz8lYVlTc16AerbKTp6NSwEnAvQ6QaafgV+AVZk6EMJM3X
YMrld1KXJmuXVPBjsYIuUbUbc9P8aBh6uC9l2+n9insllyabNT5mO6sjKoirucfSBrAGd9Q2ZKc6
7lYDMS0VpJKLk+xgcetmbw29vA0yHVV0t6kXb8w8obY4u6nZb1rcbM6Kg6VumOb9S2tZyDTtskF9
REWvB7TQU4/E8af8T3VSJOZ1k4BIvYo1KQWbsenbgSO8abaXZLIMGBiDIpsvVWDgoy2Y6w0MHk7f
XvQ0GP3HUs6khQNU6uLfjh69z4Gehp+erJfqIinLLNgwfyl0gU2D6Y/5Rzl7DuW0nho0xEQlDkP3
PSoi+ys9GQgtgxGDmin7iQq3N5T6oSs7jA28qAhxsg9xyvPjee3fY0WiyandH6l27RrzmO5f8jpy
f9O6ta+XyUbdaTQ57BVRB1UVlnNR3dJKsbKrJcuxXgi0UihunLj7SAvNgyrDCRZlAYxr7InoUaD5
iLkghqlqOfn5qRDGdhod4C+tq5qP5Ek05kHVCIW33tAhOx27avlSqcr8LNtEv9AWBQy4MBYkYSe0
1TaIQnW07dtR3cfuNP6QdjWZOyLq5q/dEqWEXGlVfjZ6LbxdkncSOq/IHb3JOa2WGz4WM0KzNhK9
MCLIBQ63WHl+IIO0ujDRCzUX1EVkQZ6Jsswt2Qs4Un2Ds8QWJfdqBslnrIHoS+zfbto15NNQpeg5
/THDbSaEAQ2rgAVarcKTswlGu75FQ1cGkDgMOodlmY/QjspqFV1AR1eXulMqhnwiCcNxs7538eRX
JgjoKPadQ1KM03dF29S5Sewo2Ju9wEndz43ObmpDALjNUrd5bpjkHiBRyTosEt3fog+qnrJE2596
2tz1ri0mnEo96KUYvnITPAbQpD5lwQQDCutx9B3LvfreLsNoU5EOxHPJVg0Xt7YWdO5oQdHUpCPG
ai21521hLiPfn9rI2DYWBWCEoYb9GRiF2jXNon9wtukvy9xxsIuRVJFvCRQLfrCTxkTcDrrbV+5C
5bnzXH6Yoe1QdTdEOel9QluVVzwbdRFWbM6RkEvUy5sq54vcJKUOfnq10M9g3TjzdYnjIgmxLXVt
gc/5NY9DzFQgkoHvGfgTrvBeauhMaZXQp3WFMrYOAqZq24F0NPdtjLj6GkNefsfJBrNxY9To6DgT
xPaZJer1dLy2PYDkYrbD/RCclAnSLi8LuC0D/Cs9rEZQ/A2GWs4tR69XQp85HzUm2xgKBaezMSFF
BPiImG5rP9J/bBguX7E9ElEVGfKKsdQ+2IXE0Oeq+VAktX6hac+YqQsZEsKBhmux9cU0ozyBtpEd
aMm+KBj+n0n4i5szS9Rbi6cPAxj3iaQ39Kq+QLZLO9AmNXG6u361j+3K/1yJFbSWIVa6poOWLRtf
TNMj8070qOnTXlY6Tz+MVZz316uASACxtZonGiKAw95fQV9tlTgKSBuoB3dnBSzzx0s7W9CiwsMB
V6LMnO8gA5F4uBUZLXVyZgf6WtFGIZD9LjJjyeEW6dbxpZAj1IURtSMYtDHe2hEaezadMvtFwUfc
9+DJD3U/y5C+UXybpFN9PdAq/a/nXm6Cijj1aXYyFuKx45vAfuiwZiIaK0tCS8eZuFmppxfH69w7
EMHWmZPN640Dl+PYS8vFYsSePvM0UGCVPmXeIRmcu9gsy++Tu+SXeAdwIgVpdObbeFWY4fE4Y/NO
2a1h0znpfOQsMoaZUpmzDZgKMi8VkP+ymm8rM4EXHET+Bdw6+UgKub9rZMTS9/54enXMWG+A0h3C
UZvQlNPeQy3jeQTnMYVmDdiRGGcfiMHif/Oy7NdAssLzlLje0/vXfD2GuSa7MkoLro1M5eShYUMn
pHvUEylqeUYvLVWXE/oKlKOxf2aG8954oZZls7x7nN1821/v5Z/SQhTMRuLSfg0pZqRpmKICgWPV
uOJlHAMyC/1kaF8oOxTxwc08CtDCTNMbYn9Y2vmy3UcFcPApBdr1sTNi5DUYRJb+MHjK+iwMC27v
lHp3uJWiDyZ6RbgZXondyKkb6gHGoszvS+W4GDAR6x0KqoifSXJMvgEajZE5cUy+HocquF3SQSZ7
2x3g5cxdVj5IkALDRuAaBXVl6eUweUGRbrMCNP8O1mX1jRQlyK6l4ajvXsv+lrYrdGE2i0hNOiPD
HUIir2mHo2kk3sF34uE3ZfVx3tjtAmqxG4nEuB2QwmiiURMCpuYlS+s9ZMZBhxrv37mqwVuvglFG
eptl8zJOTyV0VTrhOZoD0VS8lKWwb6aSpzOGEU0TUonqzNB+43rMGdRsOefRX/vTAPvn1UPzTBdE
PmxgAgtC2UzODgonX5Whwcy2ZWCb56bMN0Y2fl2I8jxgANzuZLbCZuUZFt8T+ttluZtY0Daxcuo7
JCftt7pL8n2Ch36LZjW7abIJsRZHajxG4lkF5nyBAEzuhsx0thmxjM2Zue3Nm2OhB9bFYVvKkzqG
oUcZVC6HIm1N6ZOTBDnJdINPAUuI5cwx+41pBfkq3zaCDzrIp0aBri/HxHB8rhXAsky11jeqX8xr
5Jqa/1knh4gUjDMPaL/1xjloEwq/NiT+Mvf/eeN9nSWp4fGEQxLgYNKzENF1lQtS85RrD4INOlCJ
vU8uzFOiDdyOQURsrgXHgjxoUBDzDV8ky9ycUc8Cx1LmP5SMnIIeZ6af0Dp1H8GDQhdrWldP+6XU
8p6/6fo7ynL9bvCyXB8gD9a/0djS/uyNoZNnprTXUhrO9TY5VLi0XOHwKo+ntIEPd4oo8IVS9M2X
lIIUcCeXaAtY4MEujhoQNK5jhPGABIwgagrEgIRcnDCivWl00Fy8P52/sYvkfiQoN47cpnnqGGss
FQWokJE7VSpP2cXSetrQFYvPHOvxD5+UQjnKw3jDf8zkwX+efF0NdtFAteNINuOcXvSWWXe7GcXp
h9mv8NDD92EhHYGpfAP9QMK3JaYRhklfglibKFxvClJTL9MmApLh1qJ8NNlb+FfaZfvNmby1wHj7
8/SBwtH0lBaGCekqHUmZdaHGpMjWk4jgVfqn10SILC68QlH/5OBr/crtyecsbnrVI45bYojnIHnI
CVwkPMvo2mgvTROxM4Hs+slaFOr33EcQFiIoEr9hxxXLHpJ/zKdhZ965nuef8vlRCRl5HF1W1njq
+e5fht4/n0Xc+ZAmUuWFyIIJLhcGNlZQcc6IOGYZkPD51hO1OftRGqDrmZ2mqbxSpXS/pF7kfMgH
t4o/sPUgbBb2bd3fGNFUfqtmjMtblfvUKQLuvt/5LZSCj76faX/Hipo2f+0N/9/F/78Ee+v/t4v/
siHopPp55OLnH/x18Rve/16PVBysqI8L1Bwu8/5fQqNhmUThSeZBUvBW68U6Df/fpBPvf7NKIbuR
6zYMMxf/6n+STmjHr+77VQvAv/f+i4//eE722NauHXebNjj9cHoF3MK/GzBoPG2LYEGxpbBfhOUt
+0DV9i5bSvJPK7/c/vPLPPwd1f96+U9ci3+vx52vTnpEZH8SXP69Xg4lGgIF10NtH8cbI8KdoOzY
3g/oUvYd4I0DwjrEZo6HsToR3jPbPiA0QEuJxajmq26cHidP5Vdp0Vtbo7eJrC5ojJ7ZnRyvxn/u
06OjTEcUfCU67PV3++ejDIIahn1WIDzzm6+6HpOrxNEBdBKtz8ybr98Ap0VO+CYvGsPon1XznytZ
fUuwYMtqNASJPozTRJg23nc2GrL+6k/Ind9/Bcdr//pkPn2qVfXA6KIzevLG4fylFCVJxLJzCjdz
xkxJBYWUliSfb/sRtHnqGPLMe3/jIansczULHC8LxMnmhoi6Eo0yYPLK8Y0QqsHqWgfb0xAfceHU
xu/3n3HFXPzTlvv7kAwRmw/L59h2em7C5Rgzw+UYLpcKEweg2+Ez2lXktTVVxeeMMx878t4yPjq+
soIt+QHioyYR8adv1rgYRkexMYrnxqp2AiaAT/ROrzKSUtMF703mik+FNTg/krEyv+rUI0lMEany
MStrS1+8/zBv/XYMEIdiEGKRv7anfwZIk0Ih9RKlwwm4903VNPmhJM8YbFRe76reFmf2aa+HPoUg
1tR1gFBi+LPB+ed6XkYOoJnQCvHMlGwSArwuCYA1d40GFPD+ox3vTdbXhO2RTSjbXoLL2SCcfGVW
MUlcbaR0zBkI9iDILmiHVmeuciIl5DJMsTR52OStdmnkhMeXoR9n2EXDZTDmTQTtBQTRZJH8Pg2O
hb4N+5AHMGBbJd6y88g9OPSKoBCUdOI/SQn/3AhbQ5QItH/kihQ5vpHYFw1sTRJ3jYHSpBwYoIqi
73UxNfQNU/TBThxYZzb76wf9P/uLvxelpQMieD1iY5Q/vqg/NvgdqFKGVeFkocPXD/baIEsXiPam
hXt7GEy4kEWqzsrKj7eEfy/NaQYRJwIC3Lcnz4sOYo234HkT1/E3uOCggGeJvYmM0r6BfI2GE3nD
XSYa+7oHkI980CfIILLP+U1fTXqoAhljJjO5QyrEn73rP2Pa6iPkknWmwrxMMS0R81eiUtgkbQvb
PQ6Mq8WU5zber3/3VaZHd4u53WRxd45/d1FxAqs03i8gweowD7Ym09r0sLzFABGhtYUYkWgRD3F1
5o2/MeDX7FpWc4/nRhl1MuA7IJKaZFcy7oWfhUHZqOuux2vtVHH6ZeowTyFoqlbwWrJLRQPBrAee
1Td2fHj/A381l0huhPYI+mGaubT8jn+DifjHktg9dPCUMzYNMH66S3BWM6Ixzqxrr+YSLuVYglYu
0GnU0SfrWjHqwe48vw7zCsqKhsu1Q3l07hD7+iqMopV6BNyB7ddpLhxC/sSlTFMhOjebg52W6eME
j2T7X382LKGEgqLfQBRmnu7KOmucABS0VQhkWnJcLvND4hLmZQ6VfWa2f/1lsKZ4AYUAevZr2t3x
G4oyPSS9w6WIk8f4PirX2HepFLsyw0YTLNC7wwIH5xlZ1uuPgwWN4jVJMXiZQI0fXzbVDYZNG4NE
6xN+MK94kKmIqpvBGjnld9gdy7qHvdydmw2pEvOnj+ZDqCkm2+3V6kIL3j4ZKIsnOkcXKg85WbVX
UZzVFUVru39IUxM/FJr+lMo5cV8bMJXxpcBJ+jzQy7yudQyczyQrJbtzZ4kBNVvWYDxXVmqgRCxS
ZLixmIEyCzYdGhPJLwfk4bPuyRW7jN04uU3aMm7p+dlue1AJkaAYDTNn18xW9YXvr8Mp5EEsAgdK
zj0IVs+7pY9FCp6Pj+BKOU38IYsCWngtMXAVPIkE6C2OTWRWkszdx6lf1L1qB/OblrPLrsQqGqqO
QUMMIdSs4LFbPMYQBrR52WFmpmc2mBOWkcnt9JcgrWAbwZqmfWbV6bCn0EiYimhA59FQjbR34fbK
+BGlk/eFHTvGYbZStNbU0j7kfevVhACnPgBT0/2wZOBNyRUBsdKyz4CFOJUFnRAwQBuZmpr2cyM/
u03gL1g/Y4TtDkF2yMsjsKdTj/xyO46R+YN0XPvFxXFSPGg7WS3XczvRMa+hlkKlmWizlxEZxZsY
0iFzumhM8NVU9HGdWp4FwxYns95ZKtH1plJjcutXvv25wesPpJykhnlTk3pHBaFy0LvP84hzjCA0
QO32Gn61kOVDKm4RS6oagzL8berlabNzM4rAsPL8/vNI6FgQJlNiELTYpe5LC5oFY5QyZ1zxrRq8
HWSH5mtpYhsLYXm2HF8mLOPJ4NfAkwD+EAhETFQSLolWdwpkIr+EDRMzZCYfTXIKF5dAKIw94z7r
IP7Q5PTjAketQwedzKkUuji71S+QIIdVhk+wyVaogDxKGIQO/901q6dAqWXcNkFjvBTwoEB3TTEu
aafq6Z8EPlAoMsyQnkgzm56ARpAKW0scSuhTzPEF7iejiBit6ZtP5oXaAMPWD4nXzmLN+1ASAJLE
6Ll3Xb3czaTKip3ZUTTdZqREHJJegOXUUQ8DeQD122/FHEcXAjy82PcZNNhQeRrwJh5si5ZjEKe7
nMDEYBNFUHl3PdGxt+lY5L+hx+g4dKyheCqENz6IxezJA8RhK4Fq5/GdjYCGOGPG9biPMQ7Sw4cR
dK9K2/lsUvrsd3h01WVSOtC64hb5RkndbtgHlKSy7dj54vtYDdWdpCtBlraqrDWRs2Xgxug0WtzJ
VfrTH3pr2QQET2FV4v18JJMP6pZJHHq8kwUBaQSkGApPFS2xyz5eAL/JGY7qLs0kbggouiasSrhZ
YdcpDPHLPJLUSyCcifGVjNxdB7Yl2C7+0tQ7L3cEKkPPMq7RxVvVFuhwXG4nAoRRSyWpR2jcUPHF
J/AZb4RHZsdm6Ku+3RquILiyKwsc0kSEGN22nDsT57RnjPGuMgpv3LSdmr9njodpoTF0+tAZKyu9
QzHREclbgp0VshbPNq6vBoZd0VTbCijdzi+0dol3osfeWz03G1Hi/VQBFP5QjhwjDoMScRKOqrxQ
yN4f12/bPYi50iJklhpeiFMPntqFD2pjxZAENv0MvBJzazBU0OTK4FdAn4c8x94cr7EpevEmkbMN
ujjRuMDG0aaA0MZx/THt+mHF+Ne1wXC12xsKfN5MhcAsECWIRqzB2swMYqpyrFNtUn8mKCJHqkBg
1E+vW7qvHefi+jAOrdddEs4eba3YRHjWgcPF9E3t0QkziEKPokorFcZEkmJGHbKKqEwJPTYcx8kc
LpNWR/e5m4KqJgYQSTpJqCapKt46VVvJmBHjHDlkYBWx82TT+PqkZhj0B2+2+680EnVxSbaYznfW
aLhkHNU20ZLY/Jod+apQvlFZ6ttubsDtVUub/0r8JLjlq1RfwQ/XPwScnRFiQo2SSVkU01E4lcM1
vVNjvuZEltybUhOWaVKQtYEKxP+HvTNZjhuJsuy/9LqQhnlos94AiAgGSZEURUqUNjBRA2Y4HI75
6/tAadWVDLIYlrXubaYkBACHD+/dey7ZkQ4SyijXWvPbUHYZWhMVtLdFLy10EM0m+zEoZn0wBrxt
wGlrVe5H11EW9gl79n/zOqfmfupLB34P/JM+Lsm8Ij+CrKGfxCsC2O4YNzEsB+9RaVr1bc08fY0z
zQC6MVfToF8KKmGQ9fut7dHXxfTEObBMWE1W53ZtOsgZTevV4iIZc7gcOYSgCvubBV+divl8Tazo
VAPGT5wfox9gWUwWPoaQ+i2m+Lw1Rx836MwpvSZ00zv6tehg6Rca0haE7tpRjgKv0CRnYgikIUAI
Zq2Gvi4p1ua6cCel7yiV4VuXHjj4cPTWbA0V4avawbRFeStLEOqxxNmuUW1NkseFGoyK5kaKAuKs
VX1hAeuZhSen3bWUQ/ACt8n6DLpbZTtG6PKpHnTJ06iBooeLMbbpfnUF1HkpwFrEQ18FHf/XFVsg
WCmRmvVkEiEw9/Ij/HWCNL269J59Lykt1gNC2rd0PaZ4I+vIHuLdmteIfcwuUtV2C9RHus/SptcT
50QZlmGeJYiUAm3ho0zpi4S9EuuT5a6E3Fo2XEMkNp71ux6TGu45yYYatZSVqXXQquYr1iytiMpK
+ASwp1l2jWm1/TYag6yZHBf73gZvWIVQagsc9DoeMZPs+h+e9PRfLvyJ2NPZTKHAGZPf6QgzMSx5
VOXe7VZx1+km7wIjZOvEU10m17k/WD+tdep3FdTAbzXkhdskQ/IA19fq7qpSMz/AwCo6lr3qq+dq
852fExcPFDrpKePD7tgxwZR72ngsMoTi7WlUiGMuSHcPPIGAQ1oNEOBUaMMv0ebrV8fJ7AdN2NOV
6SGBo16qumzXeIP6Oik49ERf1kNck+fofrCtxiZVcHWmL9NqcOrkwekfBE2IJTIKf8Ar367f5yFQ
BgDktXxAkWcyr5osNzSEqwXedNXLa+l4IBechMpFINGhmnJj2vUNsXuI6tnzEvlEhFOsl8C4u9YD
2CMG6lCxv/2ZiAV4+Z0MSDPC2rBaQHijBGPZF6PxaRVQzmNZL+sXAFHQbNTsLDcFIGM37MC1pABg
WvTbRU/S5P1sT40gB1l4D3JqmZkxtbvYML3MIdBDGakK9kWTwKamPpZ8H0yr+6kmVT64BA21yBcH
syVEVKhHWPAUeRLVOU8MWu8hg0x1yToHGBByyKzFRNBg3WFrKIPY1nPXC2Ulchl7kw/OWDcBu++T
om2TXQG3zcG2jZr+Uic46CiVTri0VmhADMzKNJ+gULAguqTtYonEde+xopjZNVb8LXvUKc1nigUt
KAKdNMNdHtTFs/RnhVatW8C9oAbE3JnXMr+yF33GB11Vwb2OSjCAcGAKwj50R33qE/4ilvFsejSg
ZuAEH2GEKLuovy7CMe+3Xu/PttaXB8PrFyS9JNfMQInykq1Yiy2Lg4iefAWEBUaWhaCSoVVpZnpB
HGXzUeUCfXLl1eAyyDWwbmWmbMzNKBAA+02k58T+mE6POYFhW9L1wp6tLwbJj2MjICPhBNpdB3hx
s0ybzXEUpEOHZLaVP+1SZ/MH2rv9uBiJCW4ViOVl27UL2XDD6NOAJiU3OMxesW3ZatpjRG7YPikg
JKHfFcTskJqpvPYnQCZEzMIwkxzViFqBYKTA7/3UdS9cUakD4lwTzM/SlNFoLO6FoBzBmxmG8Y44
GXbqsD7JEUB9bJexbqrlVnOncYwWk+LMR9w9mC2TNZvI5htX4xchUPRYMtJOwxYAICylVFJBn+uk
JgXDxq0cO5PIpgtRTvNO2dDnd25V0XbwBuSqXectVqSP+kbzYTL9RaySh9SaKFfsIuXaxD4efI3k
cSN39+44ZF6cNgn9CoJTFsLYCWlkLHUJud5shgiDSkqOyYHFzBw1nTF1EVpW7wM67dLae+M8Mw+4
OUplT5+XSDO6mQTcdSvHaYuufyTZaiHbjca7Fa3+QDOjWvrFjicp+w+etRCdkgYdy2iJRri0WO/Z
ofOnCaxyyFpPNGv8RYwb6Me0BprAzniL95u7tbuAooJ+OuusJA+dEW1/OLrj/FD49XRNBldphchU
y2NpYHELRw7NR9mMDLiE/Nn7YZyny4D+CNHmOnCUgU8T2HMv52+JSYaQSYkLUoxkP0gjoTX3ypF9
x2GOpXrXavb8MQEcniDCLb0Huv0a+HEBQJ3C17AmO4O2CqQeBJpupLEvgIBQjPO9vTTMbNBsjbtU
rM6v3ujZ4sskK8LOquvfgdWrH5j9/fmmUGv7FVTwsEVZwEU/cJtIt4UUbf1xULX1NADw8khoytDe
+AhNmijvAmgjma74ckihHMpdxpqbkWFdQCVKVLt+UX1nz1dmRxzpXhWzdWNUjVNF5BwwE1eeJi/W
buFkNzPsXbICPTvZKfa8JJjkZH4Rp2yWUTCvxUyk6dJ91hYzGGNevnELxoVoFMgoY1wNqoCCpSvn
ktafa8NWGzNuvAmy60ABRokz4SL85Z8r2ZsYonkoncwlKq2fyx+SnPYPc9H012CPCeeSsnNXEmPb
6isa5fnjlCbar8KX0NYWksrLS2ssyZmZ6hHRtmDn+mFNtzllSorJ2LFPCoAKYzQhQke2/sGUnvoa
eE2lLhBQ58feUvNP8gus5YDyfIDY7Gt5GtMsp7wQWE76bA+WzgsTSL5ddkdWNEsfLCt5uFO5Q0vP
A5X4xDg2b6ZLuySrPOI3ATpiRQz0mCKiRjwYGMOLDJy1YMNsl99XvmInXrShviaOnqedEdN5gxLL
/l10i/2LINfuCtmQN16weeM0NyMD/GyunvOIHZ35wiWdJsFA0hS3CELXAEidqogplk1GBlQuENpD
q/4tS1XAO/b6Of2Kac+mFG2SrBePqtMvqVM4PgirdEURb9RsHWccBEchZ4IkUwUgcT8WROREAqxG
dWBlhXncI6YFmLKCGSTipdOuZrTf3BXOeuaefOTMTARLvrKFa3/0ZlbI2MHfcFNa5fpt7vv+WuWL
9k3OtfYNwj91QHsWJqv6QoA3rgFJmHrAytlH2tR28rIshiXdc2Jsv3dNn3jb97+YUdsLSEIEm6T+
jW00+E0It1h2oz/B1qAXoBPL49t1SCw4R2ZhZcl9pZRIo8qoCKktO6N4dPrJflJ8xPMRg5/9a8mn
9V4iZUiJQLHBnndqozCJwnB6FHaJTy1GcgIJK0o0VyWTMP+5FP4jiqQ6OOS2jc7BIv+cag1fAdG+
BheLJoJyy+Nkjf51AIuNJz5m2dHq8D9Gtp0R/NQ3g/XsuQUtDAhjqiF/z3PINyPw6FKVzdAy+wrC
iBpRebS0k1mHq90D6kVURPktVEVBc6cK3Doa8BnUcUdA0A2NMNBehPXADpb9qj4nnupuZW5RqNbL
lkyqpXIbe19LqjVRU5vdz5wUcytc2eyB25314SOxwloWu2lZPtH94WSaT31gHTs+ZtYYAbpgpw9t
KS+zAn8Ym9mO82XoKMOR7A5r4jv4v35/S4i985wbtGzCtl8IStebofhC3j3aIVq1cOTdOsHdkKbo
3RmSgLwOBkW/33TQ/OuVrT0hskFeP7PEzdfKqN0s3sqTGRuOyckY90XixHS/nF0KK7WJ7V6gp2da
SsjeAMFyJzv8LxQnTF9eUkspCHqyFrJjBg6UEZFs7nqtAf63YIlTUwjLsVU9MB6wYhUp9YFRfpq5
t2Y/DdpGrPBIvugtl8OR5QMgT60xm+AUm+Mz6+9AJJZnZh8IVEydI6A5rzkSLeqwAyKlBi9Gug3K
wgXQW4lifvoPaICG3vQaL5eK4h1ayPV+8tP+5j+apMQ5VU+0fCvA47HOon3RVdRI9u/X5l8VzDHC
GpZFG/2PLvcUfk+Er0rWaYv7KAEWT9RYrjXNGshj8cobWWvJp6Rw1Znmxonam04aVwWE5Oh0tPFo
eSf1clvWwKJq6LGB3WMR9PVlCqei6rDjyWKHZjc5GiZYs4qycJw3s7nvFPDB92/9VTeHH0HncgNf
2LQM3JOOlub4SlgpELl1HszLXA4GdWrLuamcubl9/1Kv+izbpTb2CchWmtGnjSNz6Fyts5niiOjx
r4h4EaHMhvZMo+zNq2zGe0Sv9HJOcR7KwXgvPTb5Vmqsu6oX2qdGlN0Zhcfrq7AHDThKYD/ftBfb
Y/1H87EbgqLBEEE42DjmuNgScHZOXZT/umsEj4j3YmBMtV3TP7VENxkCuinrRYQY2biQ242IFDVk
vcWGvf963vgI2K1YwHk21Dm39vKWljKh4CG39rXuppfrig1BS6viyvBqyqprH+wGjFJn+vivekY0
bizq1CgZt9abfdJNJrstaw3WAQrdnN+Gkb35BMXq0DnNsyTaPFZ0Wsk19KozPbITTeefr4+HinDG
QqqHc/PkDepaslUU+fosENEkb1RTlYV0VfsjYvByO4x5F9psUiJzEXZ3bTdcCRo0eiQJ2IpX4lXP
PIo/+SqnTSwY2gafoUMYzGkTywFDJDhjyIgQ7Pa+VHMVmyM1NdLOfw3jNF6jPIdYhOMONGo/Hke7
qy4CGydBmW0HuDFv943m/SaCu71aiL2iy5NU1A/IcTozYb4a/kDw/nxcyFDpvm9iun8OfwOSaOL3
gwATOM8PgJzAIlh6efH+iHzrKpvmFpXBH/PCyeBwEki/bluLyK5N/0MjvKe50NqP/4OLeMZ2F4i2
TO9kAhwHPizSyzjAWKV9gWm4uoOC6p8bbttwevFyeWI+uiWM5Rvc/3SgD9bcjTVIOJqjg31jbRnB
IzPMNVtsLVR0AkIj6EB9KTv7CFUS2DIRoZBynMIkFqVoLmrHzK98bFqPZAP7399/CCcWrE3V4SLF
cTDvgjLXzVPmgQnrEihPIaK2dn7reSq/Dq28d6dVXFngwC4rtYhodQaqIN7kDR/gC0Hu9Ibpxk0x
owp7pmpK3s2X93/Xq+nhz89CcoFSCsGPfqJz6YJhsSm1i6hujXqfipyi1gh+Lqjd8nKVI8aoBkLG
Evx8/7pvvC17GxKbXpMyp38yOXAAwW9gMCig11LyT3z2jgkl10mvz83wr7cBjAgcaqj3HIxQNNBe
fksUd0dtlQTcy7Kmt9pCmaurxdrVFU3kHgzZFngL9hVfyo0T4MOsgvVcmIG5jfKT4bkBW8BNISPc
dkMvf0QVLOy0e7oCo20CijZLc1ch9Qk9HfNzxWs/GsscXFLSmb+3Wm9+s4L5d9e7BpIfKkbS1LLb
0lcN+ZrSu0N/CkcXQ7j7KVsoYSHM14x4MqbGIJ3ADvZEzXUicqV+Toz6xoABw4/X3fd1RCOnL45a
6qK3xoCWw7CHXw7023ssIvXO6RGKr16iIQZH+DBbnG3eHzLbazp5go4HTGFbShg1p/ocrC19q1NM
iWqu/ExcpH7AcWTeI9zR7+USnPs03pgcYTFh78QqyFfyRy75jx1IQ+MVCLNZRxViwnt0bcPt0tjW
mbt640PAzm9CL3AQtENHfDku0HTkhQF8OGp4sZ+AgkpmrDS/hSpunNkenjBp/sxB2CywV6BcAcp3
isebsQEzw+Cl6HojiwyrBgYA+OXKwMgOOAwSZD/pBgV9nW8lN9sDIKrPRp5cs1VJrsxRnpl8Xj9h
z2DKYXfwZ+d1yj9pK4m7lMD3yNaM4mArhF0gntMzS+nrcYNKB+EKm0imAQRCL59wYKb44vmGorTC
I9RglYhBAk4XDZLdG9FQNHl/nL5+o1wPdykTjYUI/Q976x/jxtZKsIMm17PNJt8rnKwAh41ks0md
A8i8eSkifFjvsAEim3t5aznl0EoSGh15w9AdnU2RtJYw2GC1FmfG6RvvahOlIa3fZJHI415eKijp
ZnkVI2ascNQRe2EfMsCtZ67y5rsCccEwRVZF2/PlVcDL6+U8cUMJzUVek9NdNdSCon62ac1t4en/
g3f1j+udLEPeLCEgdpK76ob1k3T9MURZXuyzuT4n233rXVmsdSy0Frww92Sv1QWKaHiDW2Ou9kMb
M1Gk+qq7wtVvnzmhvXUpFjqHc2eAVfAUSZKaUzsbI82sou3tI2z4JLTm2rgReq/F7z/AEyzJNqeg
h+dYQQ4RJSUcTC/fGPRxusY9eoLGMI1n6QqUsQAW71oQfsVeiM6NBvJSH0tzpcWtugVjV9HeEdeX
RIXTSvLKZeLHPWJz+iJ9S8QrAvIzn+Trwbv9SAaVgYiNBFjr5Y/Ue/aN7cAk684loBoDLnVKefnM
RPP6seNix/0ABYZNNSlbL69CwR6xNgRSqBxtfciSujpK6a6xTXzhmUu9Okr6mxmT/S7r8HZuPRlM
Ih/cCitCRW92bcqYdor3efZpPS6A7ptQr7CqRaO/nNvFvnGLNv051kXwlmgsT66L9XhdbDbT0Uji
bBI2aaqo7Rv9xWyWVx6aoHtevrpkqK835miPV3jZxKElhzWmaq1TlhKN+KnTVHkw5LSeec2vf93G
dXP5hZuJ0Dh9KmnQzy2hyYgcTH/4pOmp+DDolBAyojLOTFSvt0EbvYzxhOafF+CdvOt5zWkJCiIt
Eq8bkepZ4PN79ZFFt7sxzdIPR9rXpNPq9rkv7vVYxpOIz8AxmCXhCJzs2AsQVyTLo1AmdFY9+pO1
3Pvd6nZnbnC7gZe7LXZ3f3sSGWmvnMatA2naL2e079RbL9e5Rs82UPZEaAa5GeEabcQREu6RpDA3
DCp65O/PLG/cJ3UZtsu2B78UpOrLrwkuP3hhjIcRe+lgF4ih2JXZnH56/ypvDBm2k9SAtoPIhgx+
eRUmyg5RQl9Q97bG+34ZP2KIqJ+civXm/Su9dT8BbhQDIw8rtXsyUS4yBeyijeg9dKIfk7Yenz09
aB/ev8ob50wE4/gWkO1T7zFPudNDRXzH4HFDHSr3CsGLT8w9DKM4L4N056pqiQFWZ9QsgA3P7vSj
dxSIFNRNeyoyyAaLpUdv0Rfx+z/srfHEiNoOYBD2ODy8fNClMdGjoHkXyVk61wrFVNSUdDRWNdNa
44vmKO4mzZ5YLwkYRsoz13/1+HkkDBhmZdcDJHY6NzA5dskAeyYsirF8zLSg/AC382zA4BuXgY62
GRc37wYbzpPbJDhdsSAT94CKYUGKnWUHLLJo9JqKqj6JcT7JFj4iGQN52q7O1u+2kY2HEiXeTsuH
fkd8rfeY0X/5+wH8f6fp/9rG+H/vNKWJLJqche5XQ2DIcvz5f/78hb+dpqb/F8sYsHScVFuDYLNe
/m00NY2/vK2axFaXHcNWhv4vn2nw1+ZLZRRTUmDT47EK/qfP1PsL8hCebaqLTNJ0GP+Nz/TkY2av
wmkNG3Ww0Uw26sDJR7Oardlv58O4oWJ15a3qqU1dddCQzFz36xJc5kbdXG3rxYFiineAhEs310Ng
2tJE9QKao8lw2TRp8fiPR3j39zrwT0vqy336nx/mU2Ljh7G95FRw8sO8pNCKqbL1mNOHvGpgIyCd
URM/lM8scuBa/qvZc7sgM5rHoQqoO8aozRD8z3qorU9dTr3WpG0JBEzv/O6ys7T+8/u39XJVZ2MO
uIZrOSwHTJ2viuU23aLUZ3se59agX8/JavWgj3M9DzXLfCT6MX0kocG8a5cpO7PenhzOt2tz7HHx
JtC42e705A4T3+LI483pzlrd8ht5JdWlWjxKOyOMg7CrrOYARX9Cbl0QFq18uC1rNpiH2tbdG+YW
97YHLP/1/QdibFf9r23A37+KDTPlFqqD7Kysl8/da2G8WEmaxORwaHvQUt4FUk/Vh422pfYEa3Zf
zNMtbS111S5eGWa4fS5cd9S/lA0RPJzHP6JDQCrSWR4d6DM/jy/t9c+j7vsnHpUDxvb//3HW9lcP
7TxcuHhOA3/fE2wc64XdfZ/FMF94S2kgIdVEHrrUNA4Gy1oUdA6gjtkV8HjT/l+SnXiHW60IOgs2
HXaHJ0/LXaEsZpvE0UErhBIMdeOu7Yg+91pde8qcYPl3JZ0/74eiGJMQeBATmvLJqEFWWeHJg/ET
SEFi8DzAbChFp3/qiKmNsibHqtdMpKTzCkLa6P0NaePlDvNLe6klmYayfz63c3t5OPnzmxjK2/bY
YWag3PTypcwKRZNZucRmeq73seuTeYcYdYztNJmpuhDP4HV1cObRv1x4uaihb1kTxCCxVdzwTy8v
ag6tNcBWLXbCS9KDb6nxsGJLPfO837iKvc17oCMpf1JyeXmVhv5qkNPH280l0G+W98KNqsGq798f
16+eIAYvABe0CugBYXM/2Ss2OdMEQShuXMJ0/ECknn1s6DShLBn65LAOuXuApuPevX/VP2mqLz52
Lst6x61R5YHzf3J3vd0EDgUROxb1qiUXMJa037YxZ81eLDLb15OBxHWxKgeiu9Yt3Y4AHnTN3TqZ
xMb5IOxjjbVx3Dot/adSk2x+hIWAanNZOWBJiaAPO3tp7zvcRFAqCYO7Lwonvd5257fFVBgfJVUs
Z9f2tCtC2JvqmsxhY46KwVmqEEHohlhNxHwY8GAflF6Y4obH6DghZJh51zdWu8enO2K5mU00m2mg
iAoicrz/nLWze6Nr9dTsx8wUl4wTqKazF0wqKm1IBVGZlyTcmoNXfVJ4WPTQN2Rqxs00tCMIecKk
Ps5I+y9a5Jn+wTLI2wNeOlbfesdBmhdYS/WZ1Pc8geOvaSOKkcxAFaj36GItbfKe8UZ1XQzCqkDG
KY+qDZJPU57Iz5VdoCSpu0b9vev7Mf/v9Jd4Y6F+ayQxHVnoH9itMDm9HLAEHK5Urk3y2sxaiwUJ
PAdcoO7OlQh5rLUab7KKDIf3B9KrRWMbR5gwoUbxb8HFennRCU7vYKXozkm9dHcrUM6dbNo2NqHL
hO9f6o37Y0/Axcjh2noDJ0NWqbRk6xRwKb4K4JR0+JIsK6PWau1LxvlCto9WnVmr37qoAX9EB4fF
Tv+VazZNx2RekSIYIug/wClFR+8R52kkyMo99idu3+n//plSXgNzRasOH611MqkSDZlpWAK40Ty3
9zS58QLlfrO3ZOpdvP9Mt2d2Mg2w72QL4m7nfzZCL1+fKmyADKSKxMqd65hVqzvqTZ7D4g7WD0Zd
z2eud9KX3+Zuen0U6DcGEvtq52S8VJ4jxYBfMK5dnHpB7Qe//XWqnvNszR8GwPBPuEWH6aCLzsD2
2KFf0jJVfnGCjPlXLx3Li9bWFwd3kw/GfGT6nUzxLhLtqJajajBmnfmu3hjiEPRhHDq0hliAt4Xi
HxuPBK/PpPUCpRxM4+th2JyEbaJHbqvO2fDfuhSbUoS2BsVWtEwvL4X+RWFkQGttZAi1JySkx0LT
wIgyNZ95E28MbEog22e7yTboU7+81JKZyi/GwosxlyXXyI1VuLJxbUNf5WS894hVyMH7d0X4P68f
wMIWdE5ZZNMhvLyqCIIcE+jqxYNXNhR5QAt2qNnxaczm4d8ObY4RKH0oQUCGRCv18lLZvHoVplIX
4TLk+IL0jp1chw5OIk1ho+yrM47t7ae//JSoOiCwQID2B/V5MrKTzCpJOqSlDUvX2Stt6a8Dltkz
g/H1B2tBNaXJTdOAxtOprkXmaPuQqThx7i4BSvl8OJA4OdxYbkAPmIC/M9fjn3x9X0wPLnMg7wtu
28mYrMog4DDWgPp2Rw20Xz43JJ0Z9kjnGfNLg5gUUSyl/Ky9VLNcyaiceuxWiTJAQPp+W+Bq9Ak6
VWBV4Ba6bv2AdbpoUC1bSRlNyBkjQbLMGI6yty6CtV8f2LrLJkyWtvqRJ2I5ZLk1/VZEKd+m2KTM
vSQKaQoriyjtPVF4g8RESgzMzitlfoPOuftGsCx7FwKp6jvRdkEaNo6qvsoCflBo6yl85ULvhl+Z
2PAmuMmwDE2WOT0ngj1YFGDl6TlXF/KKk5r+w4bNNke8+vpRDYN8LHnbv8tMJTewOFCJj+OalKHf
9frGB9Sampwdr874mAy7CB19Fs+OsPvkMvAqZ3uIyXLnaDnIbhvfRbJXZY6/YKmz7sbWuhlYrzZ4
yOVLIjJDrc+9K2tAJxwGczr/MnuJWyVL3fq72/ay3s2Ymh44MYxfEBQvKTazyUivh8oC/hYQQv2c
jJ2Lz7YlyjSkTYEqG1h3/wV3ddPu+9XiMId2uobQnUu1RkaGfPeQz57D/mm2eivkRzEhgZqvf6yL
0u6xPhVFLGSyuZw3t3eIkcAFsIZRCTpdMDo/NtPAb9ccJ+6rzNNh3+VTel8tVUJYLS6pWxSM7Wf2
b30P5ionfTEf18YHbi3JJEYoqsBql5qVhrnAZ47XHz8zRAHVa+HYz6CKYBnr3jXY6mQ4Dq7fP1YC
OW+Ej7oheU0uzWVv4loIy9UHzg1rJDhIyqBXOnYFYtqQyi1RGwToq4NcKaKssWhd8QZnI2ILOsFu
RzCPyzbVPKK/u54/CAwpB/+fWMPN4GPSwQ/YeQ+F3mhtnG9ZJR8Ad4ij5jTZT1OYQXkoqL4e134C
e0AuQXPMrQZh/2jp6cfRXc0HLqSTZKs68Xmam/WecZ1jXMna8ZeEwjocSjHza82aRS4kOEPekg98
VsH3smS7zcvsIraStU8Jwcei9HKyBFdgVKCpzFjCYzxIyIAx67D5YXC1acfeow4tfZpiL5k66hPn
mpivCyJcHl4IwAngQ5xvT0qp0MalNGthxm2DCzEki1vGXbUZ9RbEp3VPoPBgtym7FK2JW0KRbgNb
eLcmLzz2HfJtSehbzmw3X6/Fm5SYsy1blQ06erJU9VrtT9AQ3Vj6HDGQ5Jd3mo9FXQLn/Pj+UvWq
+Mfj3+r33Pym5/VOtxhBSfo33goLU4U7HWcxLjFZPc311ja/WsDofgex1eCMwwFndDivOIWIaMHM
yudM7IkHJuwKpEOzf/+HvR4W9GVQMnEGRtL8qveYVzh7jQLKrd6J/lofJpJ6Uftoe+G3TI9lw1ks
T4wox20TIaOcdu9f/0RYuo1L+C6oOJF1bfiV0+VuLVo9dzKyTutkTG/anKmfqmB7bKBIIMh0h/1K
NAiUytK78/LeO5J/rOotUEZ9AwVfP73/e+jen66G1I8hEtKnsoxNZXayYcaZNuMms1L2EuNwaWfV
6uxLl1NiKC3CiiP8a7l56BBp3KQADMrIbBlIePN0PCmM5p/jQgkVbkzjHecS82dUV3QHQmslCQUy
MjvNKHHKrj1ygmbWawA+X6atHwykAkBlidrUcj6Xg65fmO4GqGsMCZm/VkZ3YRZZirEiEZUIB5RG
5GWYTJfRtDjul8xJGzbQy2Lg/StNK+GzGvIbbKAZojwTkm9Y+6Wu0Idq7o+2mZlu+lpO89FyAaZj
B+2mR2FLCxuURuZA1NpTejR4D09Wa+GysSawHXEnSd7gDwNF+CFTQe5lvQw6mPxlrljhcs030Nh6
M3pAe2/lnnnrWK16dNdp7ffGasnbgRnYisjEM9K9XSxodvPZ7R6UR2VhN5iIGy4m39SgRDv6B3zq
bnMHpgz+yjx7lhGJTK8+yyG1wI3AnzrQI6f+lbVKEXiHocgKRd5Dx5iXzZRsDbK/m0Xv/CyE32gH
Vsiq/lWPi94/5Cvj83ENMse8kIvIiExaOjhvFk774ZIlXB1XLJ83m7B2vIZqH9hRaQEajZdqFvax
mHrZHZasL2H24mgzPtIsHvYAvS0JS8rXE+DbfgdXBXko7qBKZbcbKYLY4b6YHvR0xlTlZvQfeJvp
5mUfOsKTRd4aEjcYDO59Z+nqR5YkE+k3S/oDGACRySSYO89sf0EAbznNJoJSrX1Cp8KS2eDr+8rx
cqCWVXRJEWV4h5Ojv0w5MCE1jZTuMJAfAKnmRZiXSrN3k8z6B6XcbRGYl+rQL8JXJF3W5LTIyQPM
1lXzvs0xh0fCI8Ebl3pSlrtem8nbXRuGKS7YsiVrAsnEbbHkvhkRflgv+EL7jCAKs1fAfRalh8R0
pn4ourxe4pWvz9h34BgfexCI9S6ZJoeNnja2v4jNENkFgOoBtD5yFAJH3bKqQBZ2eD5klTnXBQlo
FckuqW9il9qu4y2aumhmOxtCRyy07GxbuYc26aHi9CtOlZhBOLfXZHDo0BAbBiBtEe2ZUEbPC5ug
Vl7crUgiLgSGi6eUhNELrQ7IJ8uTYNZjz4CEtJK3+HXoh0UDD5JsrsWS3kK8KDywYT/j7d/Orxqu
pkVfJEOqmb9NGnXF2Jqr+WnVVjhoacBII1PQFgfZzdseJ/WfNKHNeYgdLGhi9JpbBker9McBjATM
HAbV5bzaxS/HU9rHVGGyDtsqH58hOXZ6NHmV/rWUgfaAOhkyBvtL7WPdWwBNcqo2n/jUkz6e3LH6
Wha++zSawfDgGEX5e8IQ+6FLW5z/mmqhQNQg2h+JkU6fq57kmxAUFHKbouxt4GVdZqYh39lQ76Be
EGBdSYMWKAU5SWy47xCq6bszIIUkWTwnnICpB+HWd9qZNuYwcho20pA1VMZtxfYaoAQ+3voApNL6
Bue99KKqlMulP07AZgYHG9ZxSy9qdgOWfhpTKMh+YNVPJ5KN+nK+IiTYHvcrZ8y7ZJbT01w3rk37
ufEfyyHFWSqlYcVmNc7E0GRr+sEYyZ8KDQDHS0Rwg1/F7aRMnFpl7clLCKuWc8HCQk97EhN+cZSG
en5sB09q0Hjq/KZuOjLPu34z0Vk+Pfpd56ZrHTcGkP22FeIzjDR0FHmAuXFnmqP6aWka85mfFtot
mtsypcLfDGPU82CxlHUFHlVtLvXPU68F0Ij4KrtDQN4tr920s896Aq6YJQUzXSRmQkhErguJIKWk
m5X6SFduPbtv3JhM03k5rEFAJtIiia6cxKB94U13kjaBBXRUZhMbbietYJuh+cs3z7MRPIE97UOY
QgUwWb+gSFBBP8t2QTm4j2PSsGalg6h+5saq467WvPJLr6fyo8QYksUoiJtrueRYXkF62A7YMHtO
IkA3WR7rdq91u8lqAIATDTk/p65JbrLJDvopITjgucu0ZLzIRMMq2o9WSWyzqYbrGTIHLScMLXqI
LWnxiF8gPMrrYBv4/bZPGwgxeao71CsXWWO5KbZ52BwxKOkJ9jXRIBSEa3oJfxcM/3/v/X9tgpn/
vvcerb9+ZCe9d/7C3713w/8L1wkuNdCSAOfMDWT6d+/dMP+iFkSDncmMeNo/nrn/ZDwbf9HcoT3r
0YL/oz78f7132//LocCN6AKB5dYKs/5N752G1elGFxAuQj7cYexyWVZeVcPS0teIrtnc78L/JDBD
Q5ANLnCtPRaNpo5ozkGxFxTzO/ZXUTd432VpiZBc+S9do0t2wFZ5rLSgiDv/WbfLjzmNunSmDtDa
6nokB4ZjvP1hFU5zQ3DplVcXTYT+lVkeK4I3ZDpmV3FEIhPZo0Xugpqvqk5dtBlorRVvq1NUYSCY
iMUHDQACKYCEjtff3Fr/Iabkwu6730oL/i9H57UcKbJF0S8iAhL/SgHljVTyL4S6WwIS783Xz6p5
m4g7d7qFIPOYvddG6KIf1Np+TsQYDkaQ5G+J+1PNx9F961d1Z0aHeIKwmZ40DsBGJzpPXbzGwLzP
jjdati6UiUY3/7r1H/52uCXOKgweL8L+V6TFrXdnvqMscDiSUnYZY7lfsjmgrGFzfOxM9n3GspHr
fc3PgqkAetTJM5W/MlNfV2IaJpKyHbf25qbYKe7LxIiEjcVVtp9rSYwhH3PNpbhyGMTJIZ6r82Js
WivdAhwzsEUNb3FRs2fyHuAeN8V6cBH9oVHXTe8AYOnMHyVWXvqG/LRFAU+ldC9t/I0rkOQvNOF3
Uhs2uZA7jfSDhW6XTdttSoDaJgKmiXpOjHq3qrGBRdgwz1Unt2s2/5XtvC3GtvDGGav9PJ1sdbom
S+uxAd6Nafona8M5+wYLqHuZ+mDj5ezMU1+IbRrDDim1nTsqnItXg3D0Da77fs9iUz7F/LEJlWqm
Qx+4teJNMkpi9LCpp1veHx4hKOU4hhTQpZcnbrJPhuo0ZhrlEyp+M2qfGVttbO0WlXiBbd3P2/YW
W+O9dbLBa8xl2+m0aCA7SEtcis8ZISPZT8tTXDlHfVRzmBqOVzprqPY4/3GThPWkPncmT3fFqU25
128Enaaxar+a+mMQNeFzPJ8X+aZ2xZbgWixYeAzG95pmet8DjZQmnmxJydcs4rUjrQaJnDcVgpw7
kCDr3u1Hz+zLI+wVuRm76motZ8htv9KeL52b+2ULXqavthEIPzP7JFHIH4fJJ7L1mA6dZ5THJblz
w5Je3fuD+b0M+Wsbu7sYu3jOostUx1sH/8arHDiZA040DSlciufiX6KtoaHl770Y7lFaQm1m5Lg6
LDLbCz7FwEjNJ2gtYLLyfW4ou0mfzkul/nVz8xOtA+/Bh7vu6H78qAdsV7R7gzzdqj2OpQ/X4fAA
x7ApP45ihi7i4oBUjdtijTsni56isfhNYpNfC27TjTFpGu/3wGVmXoZ17L9t0f512+qQ/P/bIM0t
USGNQ0iYFegDaKgPxPd+chm+uw6fh2Lqv52r/miCtIrUGV0sRhwQURowtDwKJQ+GNvZlXNzQbQTq
7DzNg9KEhbniTs7UMgShegcJ8uma2eqTsWhflYXeTlmdfVJhil3ihSGEo8ThnORXVqeVr43tKyCc
DdyPs6rmO5URWVl+rnWQmuZHlt2yKd01EZuERgc391eLFmhKxeoTP+XNdfJHc5pLAlRSUGszpltT
L8shBqQgzzZqZKzXfDDnZw7Rydfs5aSVfNNIKizPqYC72OIocru5V4lySgndojF1jW2zvA5Qc1ZD
jCyCbIqGovHGyrhnyCPslV2W0UOFcQAmeWrU3RdAPAX++qeiK6/keMZ7J2eIbMX1uotauCyVpljh
mvBN4siTlJHpVya6I5zHYKhIUh7h5ynZyamM5cUs1Pc2X24s8I/SNi9aSXahcRwUIvPqMf3pE+WZ
HtGg2LN+WvI0N4AxHGblMtm5i6C3yh15aI1i9gtzvo2DqXzqvcuck9hBAI0mjLpugfM6trIJLTi6
9sJnZCjRCdl1e0mbhnp8hJhaG/nJNqOGMPkFaFHNlOECiiI9p0WETMQdAifVLU/VlXEvHGCgaq2/
AsQq9jJSrb1DuXpXWnPw7XZOOLHVcwSm7aMfsLRY1py+UUhNocmQ/4kXQ6LEi9MTXIb5GJNH5sed
Ue2svAP/4NRNkMdKA1cTLiEhNhH3oMwwka1nu3VD8rH5pQG9VIZkGxP0wnn211QnMFMQS7whVbN7
zJwzaOmRgzipqz2ZIzlAi391H981RdnpjVKFi3iG/aSfIjjdvmjrIWg5qm5g//hcRtcqL61u9KGe
9OMfNKBIqHJj0fZotUlEQdPDQSvKC9gsTMHr2FyxJIG9tF4UcybQS9ocjDTcm5la+XHhxeLLKFXV
Txzhu5NeHLK6n7e54/OQa3qiJvKWOcv2vV0agTVQ8CdL9tnPiRomkjBgxU3e8zj3FlU/xXM97KHF
3dNsKc+GLbO/PSNkr1YmeYgYV3tVYToblhW1v8Aq8oyGun9Ic207QSMLee4UApb4U0jZwHbSeGEt
VL1K1d1MQxkDs8yjjYG3MDDrogfM8fivoXMDI9UW17IU3zpo+a1JsoTXJcmOIKAXth9XU3VIMa/M
5jSolAb2G8o5dwufTt+0cl43SrX8EbIeOB1mDLTAlTZq5yy7zFoNEm2GZqM052Xekvraputv3Kea
z4Rc3eRW+76W5b/Rip+wSKgBiV0cASI/a4t81dNu38XLOSm0p1WxQ10vd705vIi28DUIZdhF/852
9lWROQOFcdvy2NM03yLz3lrOAK8ujIwTmx229I8qyTyknbl1s3aT0MFIbULlEm2mLjmshZMyXhi2
efTQnDTnyswO7lxcY3fY5NO16cxdWeIVq+ttpFsBPE/wJJRqMMUCJePTMLT6wrOndCCdVbqHOi/t
T5gq43Ed1xjgS8L7n6gj/atC9mNXTHKF2ctgDdK3S/OvGtEedoCzzWIxh205zn6fVIqOIc8o06Bv
Voyc6+QSIr12NaSPbjR3sc2qCCx7KmmxNffQ1Lp9fNAU/mQKJWOiRsQXtlaG/6FXt1W9Jk+IWbkS
Ub/kYTciCCEyR91ace6GojBmNla9GeidwJq0ciGVbrMeRyhQz1riyu0wreZuSDLtNLaV/KJ5a56r
qquIeVgpjzoodneD/h4MsgVKBx6ubsBOmccrqsts39SmupP53Ly3BpozY9KtzFPHFGCZUpagTuvl
Ra6LBpbTHA7wx8zfQsOZXPVT/+SqyrcJTw/KVyP7i9MjH5rjikKmoKG8SKYA4eCU6QvzaHWv86N7
Y6LaT/CwbV+OgFJyza530A7papWRFKRI9Jx8ie5b02xusM4WhzYV3Bp2oy8h54eu7xhi7mbItIfR
TT9E180G603VfNdykW7WUUv8zh7kDQIuYwZGQaA/LciiniRh69UaB3dvKOXKL/Vh0W0j6hPmHxut
6BQivEAor9LV33VZRB+F3uUHXZ+ApBfFSo2ImPJ7ZbjhKY0GQ82wu2E7EYl8nktFfjDFcvazZrLL
E1PBSKvM6/HfCn9sN48gZJSk/wLZrXIg6opvK4NxFpXznLrm1mSyCQkn9VvLCZtW+FhkDk08PjiP
c7HlSYKujJUz2i5QvvObkWFjWaaLYHzJqzTO85GCvfOZr7D0WhT4xVn0pRtTmCPffeSwn1JVO7kJ
N+Di5Ht1qF7gjL7qBELJnggTY+Z4ql64Vw965wQqyEh/Zr0ZMLj5VAaN1CtFCxlI1UGjVmswye4m
gB1uGlzHtglB0eW8RMcfnXNCf2st2bvsQpSVeNVsqgPXit+qbEYsFl07tGBUfuRDEyaaHCDru14m
RshNQMc3RWy8r5MqgmEUPHy73RC188edrZF7gJWTtaTpQS5G/SJEQ6Yao7SXNU+HDWZzcoaR9RMk
rIkQhlPr17J9XfPVfc6yDHlsvOJazK1DgQp7SO04jCLUiA3ZLV6d8eI/SK0eYqE6mGvlENtGKGr3
edG+qpQJdP0IlG63EZMTbpTARmVHbDewJyWo4/4kWANbkoISmrg3EPhOSO8Gy9BvuaRBA5MZFDFs
K1KiW3lutHeGw80/Vxv/QRt/oFX70k9ytQ1zdnwbzVSVia8sJa3Q4gHQDEzZUV2H0Z8BH6Joykg0
ph7l3lAKxN7xAX/FJVY6pOXqcKuTSfNS23S2OZQ5prrJtlZa3+wMBABMhNj6l90c5GPBtjhH+Rdy
W9jnbDSz7SridGemuv6uthwRXWKxktayzgqNQoWRw4AqIASnuSZ6OgYAr1KWPrFz7IiRjunfRBEK
ECphpebGDmRsclDSvHydFcUNyE9MbjkpLKTe6va7jsl+a6ltu+3ZyRAhvc7ue0NiwI3g8PFVorS8
2+YgdrjT+nBgCp1unNw134WJLCQZG3nOS8W9lzm564htDXYeDptAVU7NXlPT4n2ql/blwUv4nu28
/zNSbxz6dVAOKvrDLhwarX+FQj9ch6yUBwWy8RfsKzDTYzaOW6Nsmc6abuFe3MnqP3pTRPcMCOWz
NqRcTCODz9UDFlm8DPqif62WQe4yHiCNHbwgqVt363k3SADAgnzfFxNjU+iU2XzJzFo9rlpKL2bz
olp2od0j0TzkgK1yLiFM7ovWbi4ROwISTqyao59Qzv4R5N5YJy6B9QhInfbNMdvynYTliJdmWTaj
2hp3oBfJBzxEhI06kPn3wTV7EaLsFJBy83nfxtIIUENXgWJKlt7Il+Y4bXs8ZK14njUQozS0g+mL
csl4NCMXtdO5G6a2yVsuDSNorDK+uWJMfgcEJprXxQbo3ahaB14tO0EQazZECURCC9fBpkUEIL4c
sTtxR7iZgwBlZKtSlQHBInogp/KU8Nam7rzXHv62bmWPzQIMOM/kGb31UijtjXu382CItCze8AwN
xl0tEvqYLPLziI6GXG4muQ0RpXq5av/cYrQ8nXB5BkDphrlx8bMMaX8Zc7lPo2IMSjr1YDDB4ETk
YWZu9lFFIt8KOwkn1wikzhluE7gsyT31CCemDMs+y2o26dHFR1sUl/ohfhkwNb44YGk81UR/PJYt
FHYb9W1druMxR15bJL8r0xJMdZDM1fchifbukAeToQ2e6IB9t2JFGIkhs8/1A6xl9m/Tyv8vn06V
yMMR7J7n0oXpdeHTlT76yCfig/H4sQ3ZWdHg+rjkrPVVos5YcsYOTJQcCKTVkLyoac+UQK8qn4p1
r9rVzmxb+ORIT+j6tPos6p9eXNeKyotNiZfLgi67tpmkWybLOcADysRIw24grzq+6x7TJtRFk/MN
sYzq1PhHamUoC/unntP8tSyUczdPbWA/MmPcIjJ2muiougX9VSbrK53Vnkf5TyE5DgNjpARx14dZ
PH9bwrpxyHHm417mp/0H/DpQ649IAS6Lh4yh8Dht0DHFXt88mjQJD9vJM3MLOZ+/PhNsLirljUVL
gDyFxtStj0O7Dkc1s7TwoX3uIssNWodUXJDphJEXzAvNiN9dyxbTOel5GEv52VjaNc7qv0riTj7G
XnILlGzZMIyGWllWxpZbCKxfXmZBWxVDmCRMU5qlBmBSFQ0ER1z4hai6pxhsstd0DkdLAcW8e0El
cooGhyozq97auPHd2vkmP4UtQlmmW03NzmO2cwf7PrCX80SGvLNVSX8vNol0z3Gk6pi3e4JhJMvR
OkKY3ek1cxd3IYdCPSG4ty6c2VMQl93RQKqDEKFyg9IVhEXB1CWC66QyEAoArcrveJW8hFZTva/V
/KtNvUnaKI2o2uYyYCN3YVt0cMm0YKjxnbMUOxmxdRo6pWSCpmnXobSgd076fMVHbm+JtfZFshwr
sMZDClvtcQECaOeSsd2zxXuAE+rutnX1pk9ETRs5o1xW6ROPARjgPMrWU5OaDUI+myeF0dNd13k2
MSlAmx6nRJutWyuNn4qSEl8fxdtC782O373oIuZ5lcWqMprpCEVBZFGMYGyr+BXZRr6FC2kdLYA/
0BeTfbeSQYxKJmiT+ablhflSMGdMHRw1cUESgZEn9raqGjsU1SK3aCtyMjYq50lJYJZO8U2sxoG/
yRt34vkhgSps59sljGKHi52jUHI3EgIL9oHNooZ8cq5LNTCV6tZEQM0AxhF0kqVb9mhok8mfCBbD
ObpUQE05L19cVhq1fhqMjIROQ6YxRhUqkQ7q0t7GVKuvlAZnre+O1uO7GCcDTcoknzJXsbF6xz/a
mGQBwqW/4K2Fx47euc/5ymefVU/M0TgkW6D/RKxXT6gRM2qPaniQj0cHjdsqDrVZm6eF7IprpYh0
12luGqbTwGxmKSGRwFzh4rrlFiKxtLbeUL1tpwVJr7Dr+sbFsy0b1d1p7IavvcnetuQMtk151azi
7pjsyEf931iv/99K/EYiQiZ4RbMNRIvML2XzatpztosNTtSlD1W2UQVQqH5o3nTrKwX2cY1nVb8m
w55cDN8WT2PCDlP9VpjH3Z3KfDQ8gB812MEenZhxZ4+cbZ1+HV/KCKLn6szDVZa6Ar0327foPs5m
MhB5I53PwWkoFFOw8szFGLRz8LIaQ1Ez5TEgIrQdzZLwk7KClioEZDfifxxEkh2TOvJL9ToKcz7I
R9R6C6vbscdAjAoT04awgspATssHIS3dpeRdcgoVprNYDzI32quacp5idIrsLGoHuHz6ShEsYGGg
bWgVGZhmDz+TBpn56ztK/44knsT0jMLGzAHI8IFW3racuZlEGBIZTrMRdP96sWsBCs+1xcbiI2v6
0kPgbR7LR3xJlA7GrjTchAkCZVfVdx1E3sIk2G3hHpT1b6I0/lxlDRIzNWFVssrQEjiHmXYr5oH9
JTsJ01bDri/+kq5+zJryxMhO32dD9tEusXocB6s9ZNm0L4q43km1sL0hIpHGK+rcZ2sBZmrotB9H
zfvtJIZT/njsLO1j+urmMKZ5H2gLuFeh8yzbP64WSbY6EfvJ0pxOk8NLnkb2gUVNGxIpO/o6IWCH
Quv+DhjxXmRk/SQllJnYOAyMkqekVEJ42NxIsTsBUR24JMte1fw5K7o/jWN+ZzVROJk76i+1M73w
GtyGAiZlrcc/VD/iRJTQQZ8s8zibyjEeZUFeMKNgF4lGgOUF1sMckYiQIWKWhpcMyrQnpLvciJWG
sir0cybnG13D1Yrjd2WAnl4YxdZcY7ltpDgUcVp6bUMtkBeg3uV0MAoLOqFAyQs0u0DVRWs7w+A1
cjMoCkkC0+R6ujwnw8Eudnb2UmZntqpX2lb0anbIIt/i7rfy0Ca/BpvQprQVsPQter6CbpgZYojT
8kyGz3U0tCdSpYEotwhE2lWhuHGvwExnbyXaM3TzH8XxoJhOhCdUCuts8IFQg3e62t9Isb6bfRHv
UfxdNZC+7fSIRxfLZchYHDXqv8hKOenTFAlj2scbyb9wtQfCmjKrL0CugbjN9QVa/Jfaqr+U2jtb
cR5CZGQ5i3N3G3mirbr20fCvNFL95HSGi/y0qAMRm9N1UeIjMtfMg0r/3scmrqG64uK+FEr+5Ma9
x+hwk67uQdGXXdkb0l/dbmvB+prczvV5/OkGbhfBGMvT6KhXHL6nSX0lEoryjsSLYtoWWef4Zh4H
Rdvd+bV6FErFJhopkrrIvS2PpWON9XGE0R0XbXY1qvU4LJhl+W3GMQMyMk9iz47QnyaoGTBmQuEX
DITzah+b7rvNtekB8LrYrYrk4GY9hvSa8j6YKQjeRV7HCuq2o/PxD7Jar9iObZTRVeRng23umbF8
4D98qkZ+lnl2UeKxlYq3zUq0UwK4rjDdT4js3sA7PekZW8/h34jEjMgrvzXD3Lq4LvQ5K3mQbc9N
1EAuS8KcrrEe+O61z1zgASsIGEqir5i7zaqnYC0RSmgvS3u2SuVszMOB1fDGURUCp+xrmkbHKnIa
rmIpKQHTTQEyIWiZvd2xb/VboxKOnzQN4zgLfXqurneXHe9Lg1LkTsoVmHkApy96NcmEJWIcEUZu
qtWRZvlgkJZHqwY+IB7o77DlTD6unSdJ/8HE2uh80aBI1lZlTxhGjGXW+XFLjkaCxQAti5V8mSrh
4gaj4smmRaRfaBthLKh3pAMYgSaoHkr4MYX03XG4IqamolIXlzow7+h9lKdsaA9KHj+1EpKCY1wT
Jc8ObVJs4U/B9nf7oxBOcnANZQoJxnuHyXxd2myvxbDt63y2A8Z5tkeW8bCRHdHyhTofyXmxXwm0
+FVVRqwLGv1HXFtCUe7ebU5A9Mw9Q68yN7Y4/eqjIvqdNHK/GtfnQhBRRqfyNBLj8JT0CZs0V+Fn
qlOKKeEqpzrpwiLrr2sj8AlLapwV4djfHv2yaj6XVbQbihHKK0ZWCumLk1eh6MQWtv2z09ae6F36
uX8dYRaU9bveyThZOLr2qZQh2pgtKLcwZfxG6jh7bit0Ee1UWksKDoZFxF/auLGrY1/WfmK8WFl3
JbvpFCfNJRWKP4NitvWpfvzWjE+U4V2ArMrY9EMm3pTeIjvLiulliFeD+rwO/HTwccLUekniZZO1
b0a+hKg0LwTFhHG7l8Dq5xNsxa0R/3Vpw8lbAQX9kAegrWyFZ+a/+Pu5bcGpZC5ZVemH1c+h3v9N
jFDV6w/EeN/RotzU6SEz0P14fCSdMRECHNH2pzwTING/IdhuatpNyTHc9CEY5aAHYIpZ08utz6Ig
shL6O4hLF1diekAc49c2nouGWJeXGuMVe3wmeZmh2RtryNX96tBqe1Ftqc8yt+N7G3fNDSkOfzBA
yH3XKu4WVYfYCL1N/wAzMbZEoeWsbjiHNm0HGZ9dPb6EhtECe8hUdY6ZExkPNQE/6pIs57oeCBHU
y2nbj2T7VEVpvJWpoHmbO456iULVd1sDm21SX+Fia5+mzRds1kvPIDePfzvDjvdqxhEtDbV6H7Qe
dfSk4gBtpVM/k4pobdZcXvNYc7wshTfrScNZDqRykF0lyN2jHHiZKeqxR+e+rnUs9sgcdKMdgUl3
2Sqvdo8YiNHqJ4aToCbzwLdzDlGA3k+dajhcVm8PBNC2WvBPRFNJZhxtQpkqG1CguBR4nQ/kBTd+
FuV/hbRuLO/eYCLtRZL8Yo+gxQAm38OJ6+HiUrI8945zcCPmvPVsXl1QAOwm9SuZFUyakGfhJOdb
ij445VOfRC1mxLpf0L+MJmtBVPjEHql8LRMaSLYahqgmsAX90zLhbnGq4tZO/W519UucG1dScr4U
YT7rk3KQeg8Evd1KEyE/FIeMX+Wq7OJM3nKyUKkL4/usykOh9x8GtyshHis3uJEgesuVkHnp5LlG
cm9m/VaooNMVptSVrm+mmf3jwNpGy85RVBFBZQ9/zOy31QZlo1Lcb+hS0ZIw8tWJz/HoRH97NJY8
Tq42wpaQMdQI1PiHZaY4zUmPTJTkYujDk9Mj9o7WaKvP2dfgZpL0lPpniJI/ulpRXpMriQO4JL1V
2cFJ770pwXyuaFvdaEJ7jQ+uxRoIyBGb7fhIPOQbheFF1whkIt7oNqvw3ZPlAs3GWyKTHMiiOEmd
67TSHb6+NmZG8DiTNfKp0LNF07J4JVrZHTkaqodF/KNe7a2TjAfNmB8LxsirS9dXqzrf1iYtS9R/
LXVxlVHH3e8kdzWxlE0Dr98ao+cBFKKai6/SWPZGP1z7UoYxswosIL/CUNQwFu7LI4dh6hqGvfbD
YK/6xtBsndLRd/ZSLmFfzHqwSkHGIi5PD1zHZaZS7Av9Nhbd3iIQgASR+BtboeOplvJFFh0eoE77
lRo2slI6B7bgCDed4ZbM2hU560Wo8VWZIt/qenLtums5tqFiL8+2+8cdQizTF9aHBMb0WUBydUoD
4/r59EiDQwipjjtgBT8m61HC6huNb1IlAE7gF1e0M3mpntExYinEHnP7BjX48zLcHXuPeH6H2+Rp
Lu4iU/y+tx56ADNmbWa2qNdb2rYo28fufGxAUATJJAibSAgMIGj0QU3Jg0aLrjIls5S0hdVbCb7c
VHS2TJQpbtW+Q6rc2FtpExeGBPJouWSNqY8k+7iw/ilrcUIGcjeHNFBWrfCqYdQ9lWld3+ksaOQC
L5C5OUEkcqPFPcmeywGJ6b+47Q/AIp5Ztfm2dM7MOA60q4unL+w56S+9yoLSGo8F6JYGMFNZbcEz
bMm4ImJItpovewgfD7IeIvmx5pVjI0kZBg+2Gk+Do/4zJMGThv7a1MWfyC6gUo8/Q978U5Roqw5R
TFwk17cY2r+9I58Uk4wO7tZnx6TaHq19WhMoJOKTKzvWUliOBqKYkl8V20Zg2D9km7wSu3PBtfeY
eBXi0ubNiZiNazKt6qYgkKUe3WLjVpyjAyhjgkdgFc/402qZf1Dk7tWm/c6H5GPqIn1L53icJ+1t
GZvfksUuYTiFwvhbeVH5tDUGUNt1+VnNDtJBxSkZC2czONY342NoAakxBLAubtzFB+EsN8fBk0ec
wEOlYedayJJ/QqmeoBIfspV4WvsRD3iSZXFlZGeTPQAQ353qk0KW4yOJADKctvymA3uslkq1n5zB
z1U2tXlX+7ESn9quxuHLxMzrRL+w2sDmaw9M8Cri75xmVMlb4U9qtPmQQmyB7cvkFoGKFtaWewVJ
qJ6iLEk2PCM8gla+qYTyZ+17lFHJy6DYWy0d+S+OMgn0zEmOabLw+Gq2ZLHQK95H7ViyeNi0uCY2
fVsz7+Zb5XrAlIDGZ9tao7GJRPprSve+gK/xcymY2xVbNx6/emvwHeNU1qxglpYHncjUt0lULQn/
M+gTkrA2lsgzaiQalvmGvN9naWoy5ejGYBkVUnDK5JuYw1cTgfyxhG3gZyI3/+iK+ksSImeq9j1N
9FlFXX+KlJQ6HB1sI+LHVupP34nPChmkySZV9uZG4VtAVUSq4/ixusgmppwiShfFCRU2woZ0TzrK
jV/XUXHRpLFSusnc8GtS9GrBTiJHA4FR0FuS69Cd3eQy92+pLQ2/t6y9FPUhJrupacZnJ8/rvVrz
aZla9GL2FmKJAVHMoiFrdKeDpc8fpmygQcwCW3Wv3td6ARVRHLV5vGCsfMF4tiWcILSTNjSYiHlT
YSnbXqHKifXPqHpqSbRlYbeG2FUh1g/ss4rkuWE2zUjOMxL3SUPZ2Mfze2zlX82a6Nt+kvdOyf6O
KA8j+0enbOhY+k4mMY3U+6LfKtO2zvaLSbpayhY2y8+Pz0JWYZ6sGxhOgxhCd3hOmQdMQWb4S0tf
q7LkqKWHLyXUFzSHcOk541NxKE0iIp0pOyU20jBHDV4Td6NdzcfGvSgZOT81hIi9pA3pNa3KD4oo
VT2IpU9/8GGvu2LQlR9yAbIgT8byvqKD/NUThxtG4MrJuImKKU0uaWFOiy8IrGb1uvTvmECnC4Ja
9PkEbqAwGORxUXpnv6yNHjpJ2Z0WSqBTYWbJn6hMWq50+lY9wk+ksdMMi0htdwrIPm9iR/oxWfE3
hOlza8pvu2GXJPqqY9eCUclTbBGgC6xPY7K25xxr1cXWC3WvdeNbV/IY1YgpaKAr5ZtdZ8SgCjHo
By13Yhaa2b82bjecuSSmKOGqPfKTLT8ptWvVJe9EVSNms966FI2plpbNo4m62TCgfKXkfIOdUb80
0lKeBpfBp/5dUViAZCCDcVDPss5uTWZ68QBGhQHEjjmSsmXDXAQN4Ry7dOxvTWo/I2RLnyer9nGV
o58S5Xxo0UwTc9olnp0Pl8rSPtK0P1birxxUQmPpQNjM4MuZevbzMttmC5p1dlTY2z4c9TzB8Bun
k2bFoc3OJbZulT3uWJJ7DYWdrf0oE7vFRNnJQSFSoPnS5R/E/8yQ3/huN8yDXcRD6xcZz0s4KEz7
YlKVH2AALppl/dbthx0W7alpVRa5EVNNtWgfSILEoCAvsXyY1FjiLjHCQZG+t27UP7qXhlOF6CvZ
BQauCvyDyLOUW+XQMXDwidQ3xJ7M4VvzsGY46RDouRp9kBZThHpFYU1wz0yAhD+v1XtSbsc6PVbp
8iQfwyQSvaJgUpxuv3QuHe5MMHQ73vPBPUWj43oxOU04h9J5L1YZB7ndfraF/d1jNM9Fm/2JVMV5
YzaYhPrqUvnXWPTcSQ3H8rEJQMmW1RmqUEO3fQyrgZY9qpY2tTaNw+Waz5bt5Tn2DjM5x9kajrP2
vvbtseuR6ZbmNl1iBMvS/ecKDkkGLMqnreEnXrDfnaVF6qCjrEelmrYYPbaZgk9eSUGI/kfamSzJ
jSRp+l36jhKsBkCkuw7hgId7MMggmdwvEJLJxL7vePr+jFnTHQ7HOCZqLiVJYWWa2wI1NdV/iZNp
INPSIUNBZ76z3eDPSKcH2AF5Vdzhdd1Hj3b3K25VoDomSZJpzcsB1+jvXLp8PCN4uHL6gtmnXxag
XR0udZrl6d3olhW8elKzHDfR5GdTtSDRdff1aPMC6PmDBXj0ziLNzqqmO2C3Rs01yxJCyej4sVFF
b8DW3RGdYRlCg1Lwp/ZDN/wwd2Hpo11r/8LoA0YSFTcPjvIDAIDXTax+oscdHXozGwFfWzns56zN
+RU0an/TDF5EuHiqfhV/dM2vX93r79V/yn/1Z0kHPg6j7p+Xf2z//jOKOt737vvFH/zfooHv+l/N
/P5XizHYP//zb+0d+f/8f/3Lf0kPfpirX//1Hz/LHj94/ms4MxcXqoTQRv/vVIpjXGTfiz/X/8Lf
VApD+wdsWBumMBKGyFlLqva/ZAzVf6CFhe60ivSxA50BksW/qBS2CstChxRm6pohcQL8S/9HxtD9
B547CBjC/DYMHVrrS6gUa9K0ivEH1Vqpl6iahruWlTIMFMrcwop8IKM9HZLMGR/I4aKPbml052eL
8vZvaY3nwoTOioqLswZcDcjJJuQQVGVWghtoSWUpL8PYh7Br/oCD1gpq2gJbyFzDJd1SaCgtmIOD
Iy+ydEftY3NwZDEsllkT6Kfw456Jwqhm2CUFwp7EeCV+VSgpqES3NjwTE1hc0xi6c4L8AergtMNL
v+JE/563A18cRrTJL1hRkMEDKuBfjcivjBiuBRog/tzMCkoD1fgGRXVSADGBk2/DOrqfc7D8IVjo
s16mUp97BDFwex+0NSf69w9yETJUdZaDX3a5FgqN5JRGYOQTm4fHzCxpIyVWd+JILsdgqcu/cldH
CN1R+xYgSpoedSt13zlUAx53fopc9uciLPwUG9FIHcFbjp+urcRKlkBrcl58wChnJXmdFLSRD7wj
3LNQI/qQPe3yt2XQAYVyAd04Euytn60iTM078PJA9m3emI9geFTXSwCUFHtrJWV11j/QcfFogtcu
P7mV7M6EmlM781Dza2eM35vqMFFBkyiExrH8pojae9xhmleYTxdHEG2xx3OgfbOzShsbhla8hj+C
icoQ0eJywxzU3iANO4kfmc30hE+8iT5Yk72BYKGcURS1vdkKoW3MYZM+plFK+jWhqfHdFgBvb/+W
64Bh266BDhGmbRydtY8ZZLHeLVD28os20f9EWiI9gr3u7jswlC8UBJJn49lQ1mrWWDgFIZXQ1NfV
GkbADFTyoVaC4Bu30/wWxqm9o56wMTe5usRqgUS8vRZk6xowcnraJaSxWoena9bfh6IFH9CQo9xe
RvnNr44VnwtKXrYB68GwZLh6Fo4KK9cVtVM5ViOt4i7FGG5ZLN5C1CbuoN1+t1PT3hlT25wf1FwK
wAQizVgtaKLMSoweTeKLPMuPfZ7Ob5OWkJhnSvcNfnJ0tKqJ3h8+PTxrO5LEYgAmwSPSfpui9nGv
oalIog6M7OMyTNTLby/K9e8jDODAg1A/oubomlwuCtEKQVd4qX5bdpRW6soh2Y5H6i9msDOUjCuX
6y+FFAl/BtcBKuiruIPkYTc2pZn49M2GgwIZnlK7rX4I62zwFtsOd8Qpt6aG1hTqXa7NHC3598/2
O59KeOjCRSfdpEVS1MKCMKVOZ1Gprv/yVUSp1mRuXLekD5dD9WlDLMUj1SdPBFnT0Fc3kig7TuO0
Z2D3Ozyvl5ErBIAWopQAKVZXW2q2dqxGNZ9o6hKjc1OZH8oB0PadC2D/kIzVzNMEcYc3WtnMj6UF
+qpsKGYc8nK2z+ANXN5a8/gla3V6DUo3Cd/kcbtjWHj9tfGxqfhMIQai60SvyyWxR11zgdWlflBp
5XHseBRofZgdiW+I0kosdlcA1Hv5PggE1QEm4SqI2cfloMDKAiyO59SP25LmBOEShB89+AhHXEP5
8f812Fr0uXb0BbFs6f2MhtkriQvMokyclGVydr6crZMMxZPwAZGcua2OlyNQ7g34H0hCaellJiJe
ysB71KzpC9ye1EbAkkHyf8daLeFIa7jRcIv20wCYYVRDUgoNUMlaSLvYMQBrHGq7hN3iQIuXtgho
Uk0Tdgg2eg8PapTW75QJBeISldBHSiH229s/cCuKILzMLYX6nwUS9XKLB9iY8xCVAKxIbU9Gj0J0
1Tnijz5yy8/jqAen2+Nd6Q6pJErCQg8dyDYSecbqIJdqhVJboaU+sFr7RwdT+9c82LJTOXWWgDHj
jl+6ISreFqPl0Icx++mMzimN3sxNFxr+eqB+H4cFIKOITWtP0XRrPdDWRx1XhgSSlcv1GEOX8xYN
OI713fjHvIyKgnJHrXwiyKavCjGXO0+KjQ+bJNYWWPeheITk0eWACNcZ9mhPuZ+EGsCbXOPeiCG0
fO5s/qlL3Kk5JEPhvru9D/LcrcIe5lhImmJ9jDHYWn0rjTRtnPMu91MOHRWCOfBrJG2PaJ+XT5YG
JHTRteygGeF0V4a2tnMMNj5Bhucl8Tuk4ZR9OWsdHlTeAjD1dafAo9lVsaivoPIClZleHsQQ0OTM
oXiFrvJa4NIqSYqzbuRKtkvFa8uhfZV0rU1ReezCnc99azMNE21TzrWJ/MBqMyneC2zj08x3A/ru
TqE5xzRDVXXh3UCZL0BYuKdfdXsrN9bS4t2Lar0FeBAC6uVaDkDMAwpWoR81ffS+DezAA3M9vwKh
1BxvDyW3ZXVqkJpkLXGlcbDCWUWLFMFDbYQb4Qd9YsAQAsURZHrvWVGElD19RoSTuvwMlfWvlw9s
yQHJd6TL4SqMclzHgHiueLoIpy+ZFrVfikiP7vEakeIevY5IiJN+zKo22Xs/bUQER7WQ38JOUjUh
+V4ub2aajYkAEncEsMInTOX+WpArPeLsTr8P/emd3GdrOEajpEE0II9fLTGPbB4ogaZ40OYo+Gmz
/TldlupTHRXZe6yl9J2V3RwPfQxVw2kCDuoqo66Fgr6WMipeNXXtY8FlddeaZJXhIEncebfzELw+
QS776Bgqg8n9lD/nWRYJYxmcST9E/oJmmHz6dg9dSgt1ydT+Xomatymg1yKy6p1lvZLbUNFNEtg7
oOasI7Gurko3MbKKU++qkY+6HLItIsvBPQEine7tZHLflQaSh/4U8lUjIAo8+oDkzZy+qsAJnu2E
1O/QWiqlZHUKexjiavNnVmKCCeAscT/ZMCyeIvDygPaDXLR3Zakt811UFyq94tRS387A8dDZQAZS
8eLQUL+hm01TMFB6OiMIn8P/qlxojrc/m430A/i1QNXXkt4T6B5cLndj9jCOF2CcdQc0N6umCtdX
swI7NCVe6sCsHxbqtrCMM2+QKCBESVD/RETtqCOjdFDSfH4lOyi+oit7JlAbVRx+GycdAxRgFpia
Xf46PR6TeHSj2Ic8qh86a9HfIw2twpPTrJOqRbRsdIFtZIbMmT6O/f3cTwr4NYD6t9fpOoS6gpoe
BSWgyjifrT6C3NBmlIEsHIw09OTRUCkOXbmE53yA8nh7qK0t4dVMRZQpGxZlmctJt24HIH7QQr+l
B9reabPRPAwGneAYgpQGNr6jIdpKhEgNb/KnokTQ3sZpdDwhFudB1F1NrzKnf2Bb9hG5BQwobv/E
61tMehYKbhSBOy8ibZe/cID6HlVdGPm0vHSMwPSUxm3cPAKkd3xdCaM7eMV7GcHmoHJVSJZRozRW
g4atMwAKDEK/n/hCKZtV0QkvK1A0DR50X4BFU1qF7riz8zJ6X95osqD9v8OuortQ1HGCB0Gowx/g
nDmGlJUF3vLyFQWhSYancW/yVLtc0RC0FHKABJ+4NMTZWiB+9ek4+E4QWfRukFKZJiSubg+6ciZG
1BuXS4M+MtaEPECc9cevL9GSaaUZ+UPulu/0GbQ6QmNIFVjK8t4FiH50ZIKfFqCGIfMg0MDzeO+4
y31bLzBxhyKRTZsAC5PLqWdxVTZ6R+nYzLX6m2lO4QlAXnPu8nT5xNYOn+1mjB4sIs25A+ZwLjOr
fBzTQqGRruuvcQWN/7q9MNe5r8vNg/gTWTfmM+srVhO8NRubqhHZeOW3U1MACbDHYzw5NsiSqntE
miW/72K6UT2FWe/28BvVdMbHUYSQx01I+fpySXptCgclYPxW1O1x4IV9zOE5PrpNNB4WRZ9elaDq
1EOoZcmPFoX41wCs7cZbgsikwlAZO3fyVvTDrpdkw0Asi6L65e9ByLIe6gZfGQQ25pOG9s1xCp1P
TggZ+vbUN1eeQ/m7Nomq+Oow8MzLjVmd+A7S1DrNjWl+hUZbHbnD2hYKCexSGPbGCSHE6E0wTPrX
2+NvZB80irA31BFTwqVtPVMDgg/AYSKbSelvroNfSCP3H6Zm7E/0ZZOzDpr/MDYoON0eeCvMWLpK
+0RKDvPuuVzifIkmG/UUBlYrieFxs1eQs82dkyWXb/2t0Y5DuVY26jAJuxxFlHSsEDuFCioZWrGK
GkDUWo3nlnb4wWiAvtye1VbMRnierBgvB+j38u+fJXPK0kqEEeMtsT4/WEsDcb4IaiTLKmQfPwaJ
kx3VPMn2jJm2DqxgFQ2hWhZ419VqwjgtBQ+exHfszvIiZVafxBj/Zc7Tv5GuwjrjE+XpyCR/e9o8
m2GkgFEPyfcRxlhGz1kCQYI6272HfK347EYSv6pozrs2b3Y/ls1ZymyZQqjhWOtrOLahV9tuGqN8
VuRen5cGkk9NdMLVx9yJAFsHRzwbanULFkU25UOfA0CUQk+OaKyDFLgF6VN0xxa74Z2DunVw8Eqk
o0zpic7yagOpsCixqyFXF2QQEpoFEfMKRUnQBdB54hSZ2nzOxvvbp3VrPRmKrggZJ0dnFXbrlIuu
mdA7KSHDeCG2X8e2tNu7foBCenuorc+dcEosxZBIc9ZC3ik8eZdsiZ4g9TU0BGhKzhXn9fYoV84m
8oLHn5SiMJo4VO9WaQVqo3VnsoQoOMTNw6w3wZGmtUQuxXV1Aof0OKjo3Gk2oHXbBDfo1lX3F3Iv
/b2OCumJ3A9myQDXN1U0OlPQ/z3TyEff1q1qJ/RubTkdQJr0to5JqbXK72x07THAqBN/gfKFZg8M
tqqxDKDFGHAjVrgA3xTGHzsrJBP3VUQEFaBLHx0sdcz163ae7BLPwCb2c8hmj+CzPhtdvHyaoWEf
lJkTjoBQdmpwyzw4S3cehD7u9Ic35k2XGryAaYB2oAW6ipFtl4X4RkW+Hhe9b6oTjs1TE59cQzFR
GrJjlIvKaWext15WVGh0ymvgFCAjy1/1LG61CCqFUcMjo7eq7rMahLylBjuCg7EU6KFkQyohaTm0
2254o2iFVIup4+QY06Q1di79je+O32K5GKOgtXn14OlNPZ/QQgn9QoTq0dTK+ckeQsMzkFHf6VHJ
A7/ebqnbSRWM3iD8h8tp91nutopRhj51bZC2OVrPX41c5BoqD6p2X4RR+kuJsuShwrtOIRHWgUrf
PnJb+00BkJ0jt8PNTa7Gs5Wf8Azopr6MfBpO5quiL40zZiHxGa7IXzUSeuC4h/54e8yN8E1NjHmT
aOv6FTxDm3gWg06kT4N87r2RhMMZs1fnDPEuO/VVGn26Pd5GGuVy7atQLbka0em/nKM9mUFVWCgG
xEAX/LCMi6Po0AmAu/WzR4HnMUWUd+fK2DhFXBZ8QRTFyJ7d1YlGFHtKpoJGCrcxMsnmaN1nhhof
jclK392e3tVy8lBRufHpa1u2zvPpcno1HbaF1zvCwwqYcF5mLd5QhMvCVNC0CtQ98+Drr5Wzys2E
ezPVWzjQq7wN1rSe1xnkg8jsoU5oo+WHBiAI6SbsPsWpNp87bMr8VkXJCmuZ6DN8K7Ce0K92PqCN
qdO+1lXuR1On1biKVi1q54PaUaMqVVQbTbUtfETe4Fw5ZZMfby/z1SUpZ40TocttTAnIWX0pSU3Y
CtGg87DdA+sOnX4Wh7kCvL4TgLYHAughB8KoTk762SeJr2ljIbioeNDXw3OgAT4sMrS2b09Hu/ry
edBwQDmauJrYlBgvhylVDQl2KX1i9k11bzVO5VmzqT9GQxh8q1s6tkoq+jP6+OEnkGLdk4ldwNdc
raxj2A6gwQsX048gAlGM2BfEslIpfw1D0+8c76uvV/5OciCMaOn86OsI5Ybon0uNIsjyU/GgK0b0
o03D4LMTqG5yqJBU+VrOReXDtlR21ujqI5ZDG1hAygDNe2h10K28xgQICxGvtBP71Eyu+Dh1mnnu
lbT9cHs7NjYdbCFJGHVfh37eatORUk4FglayczqHD32GsQVV9fjTy0ehe/W7d2fLR8Llni/BWJr4
/XC0Ar08u0vdv+qraq8PvzEXmko0XNCMlkrSqzxvgaaMRuEcgIWuxWnm/YNGg5WdXzwXRKuoT/FA
V7msV3OJsUFgb6BfQSt3TkWtJEcHCaCdp8bGEeA1xVPY5SHOdFaj4AEAp1t0skcV52fQtMYRhmHm
gfjVdr77q6EofINWlF0NbLN5eF9ujqhsJ6f8g1ToPDX+ZBrx5zRaCgpuefjz9trJ/9RF4iG1xPme
VOqlBi2y1VCjCYg5C0eGahLtAZGOwG9SKyIHx0mxRdfiCZrfh3zsdO/2wBtzRK+cNw0vez5qHMEv
Yhs8BdBegCC9MXXip6wABW9WvYOwhu7snI+NofCkdLGAk6hdUvnLoapQDZ2w1ZDAR8jlkHQDCjkW
j+FXvZuks397XhsLSj+PRh84PccialwONgiA67jwoNaD9xu0ucSZXjUBWB0cIVr7Oxqx1WcLDqmE
e4d7DpxbM6VChOaICqrmCiCSwh2ucg0xrqZzvsUB5ck8xB3ECQClvHyawuKbI1RhgL2OxYuRQHnF
WcRLJl0gvItZgkc9Lnpv9vhvHOD8mohluMXnMKiSr7fH3polj3BAH9T9eJ/Iv392LcbWgPXJICRO
n5wfjTbbNwbqKYaGV+btoa4CmFB55fNapZNPH95dJYwBKFMDfVjXQ9dDO0/qMjz0imh3JiRD+uoj
xG5HvvMAKhswQC8n5ExaiFqlIYW98uJBZNjSTbNRvAGZpZ/CqRUvvc2oeJHmgxlGO1Vap16OZ4Eg
aChuo6MVw7W2ozbx6Y4rJ/gP1s49szU18PWg4egKXyPiULnWI1XpUTCmrPzQldDxEZ5BU6DUydI9
c+yG+HR7z64c0sCb8WCXzVJKQw7/fDk99LB4zhFXPbujAnQ3zPg232Gmp/nlHA7vc02M0MeyefHm
2nAayIPIQiruoiEuj2qbK0rDF7BHPt7+XRvHlp/lAlXiGUBbcxWGBqUxWubvcLFHxTeVK37wsMyd
72dnWt6+eCx6/nLdKRvrjHm5BFZpBvNUoBmGdTM4gxKKTl7kSNwauX68PdRGwPuN8IMZAXoUA7jL
oZoIw+i8Q5Stgc+LfjNaZsRwrURyBNXYyGiGT06/vGvdvPx1e+SNBWVkbi1pby5j7eXIPVaHlTMz
ySXptLt6QNG7AtyLFP5Q752pq3oMZTeVDJyt44mMEP7lWAhr4EEcSu29HDBlbbbaGSny8T5FQfCM
ylV+nI0huK9NQJe6DfU5dM3i5feYw0NZYh6ISvh8XP6GZMEMp+o0x5uxhUKNfzQfskLTPKsYzC+3
l3ZrU4HLUJrjZYeV82q6IeZ1iBzikKqbNkY78QzhmD4z0tEJyqd4k/OahXNlJkjovTz5AToL2g6y
Cp/JmhZDzw1gmds4XpBXv/LFHhE+Z2R6KstOhWvr/JDLU1gFGARMVAb/Z/dIbbr1jEWqQ+KBzOSC
Lt1pSMsfYhzdnZ27joL0+3FtJNehzYGvweVII0A8ePuo2Sc5gMESL1PPGhsTpf1SPHbzsJcRX8+M
8UwbbAyvYWwS5fY+m1kvynSuJBe3G9tfTeBkp6GPn6banO5vn5OtgSilCJNVpIjzG7zybCBExm2r
qyzExEG+nNSQmFpI5ffa3rtINkfi7fX7Y1dpLlxOqZhdA6IjwrIi05DJiS2Evut8OowFDNKXT4o7
i0e+TbqIzeTlUIi2JTOKRJBeIR6eaS+kwBkhpMcdMgMvH4qEVF4I3MeUbS6HgoIlS6GV8IwAWeK0
NaMDIr0tsAVd+C8eCvIArzGdZJjO1+pMVEpNpXnJhGfV0Prv+j7QTpVelE8I8Iw/bo+1cd5lmY3e
vZwWELTLafXwi9FIwEWrGuwvQGWnpyHUMPBQpJYo4JLT7eGuszTQoGD7mJfsUlqrs5HZBWJeGs6X
rt0G+LHj8JHYWfzSEhOBn636G4nFl7WalJubxkzVWVB+oD+Z49vHNjXtOUi68gT8j/bF7Wld1WVW
A66mZeLSzj5yDrUU/QPNRCGXIkeNTNhivolHI/Zbt6h21lImR5e5KGGX6wUqDncrRMjLrYNRG0wN
SsteX+TiNX7WGKiac3Zypig+IjNQHOplss9QjsxzXszjp9tz3jo50DKpe5BK/G1+9Txy8QzsUTww
hadMi9TWSBGHMLv8mLOrJzC+2g6MRm7a1XQxS6XFQTUExPvldMdy4MszZj5AtbG+JkGnCKTlR+vB
yZ1yr563OZgL7VPAg4DCtTpBNQ/U1GiZ3FRktHHGcDrj6TKfgE0mL+1wc3b4JmzaZoLpqascuLB7
/KIWTFBGtIdhGUEoImFoPTVzmvdc4GgYYQr38mtO0mzkxcO9Q4H0cjG7UBlaJ+ELqec2PdEe6jxM
uNGsmhrtMHSJ+vLoyeuPKgk9RMoy6yzXdIjNeswkqy6vjoOwa7COpnJ21TJ6d/tcXpe65YJKghQl
X6oz6xhTGBgcNjEHRZiKOx0Grc9gr2Nl/mDS0X9j42n4cWpIjFQQGqdJazofKjwqxbwwdqa9Fe44
PPwcYG4OScXlMvNeTYNhMJh2NSc0aVHZK+3I2MmOtqKPxTchEY48W9zVl6HUbQQwYrBQgAwdjxdV
eoeT+4Cr1DwcRWANXhsX9s7VKy+h9edI6YTKBdk2tfzVCTJrBO2sQPCWrzBdMBMdRDo6XUckkpVD
NyOyHCIKf3YjrEZub/BW4JEvCRtMHfjDdZt3zrkbm9qwPMuJcvSxixrRp1naf9JYHhCWoMqY7oy5
tZE8Uenz8lYTHLDLjcQVScEcY7Y8wEXhcdYR8UR0WN1hYG1FneejrKJOABI7xmGGEh+2BD6+rgPm
kO5yiMNhD8ezNRTlebADJBo6Hb3LCY1GrTpLrFme2hnAvtRgwWQFgH9RWbF/e7+uQYKsF/xlXp3E
N0dbY3iWCcE7B9cRrxFRr3rTJD0aQitwvqA1XyTnGQHGv3TUO9/PwPtQDU3t8asjKY63f8jWJtL5
glwvVQHIEC7nHBdGX2oaFVTLgCExdJ2NN4+zfL49ijz46w9DZoh0S8FDk5lejhJxU6cQ6YU3jNAK
kbNfrNcw6pCVGrsR5wWzjvofyNZnBY6CQfuA20m6hynaigikBZLBD58eJaLL38C1mFXpkgovc7GW
L7ppOQp7GBsPiFV1jz0OgkuiAKd5e+pbXybIIB6jPGUAHq8W2EissgsdquHThLhWQ1/pgO9OTeFq
MBAo0wM0x18+IiA0AMQq1yegj8uJFqU+xQLJea8oVfG2VRX1biwJ4yFSUn4Xw/DcGXDrDEn8MKQx
i9jz+6w/e0YpyhD0TdyxuxOS+rMZlm9Gdwq+3Z7W1tfpyEBDIQOGmL0KN3UWmjbSNsIDvmgcoA86
/pAhao/rrfvh9lBbe0bB0gWdDkOIvPlyBQ0dceVhJI6LKIB4a6EcICoFj5UKqH4z5bs9TJ3/4Pr7
eD6g/PtnK1jqSJZBNrO8rk6HV5jnuZ7Rm/lB9A6+yDUy0qY7pkdVa53XdZV+c8ZG+MIN0CtEMWnn
FrsGytJJAUIhGagmxUix+lpFo+AvLHhrLXVRf4vBw6Ip2GBZhiWXlf8qR2SS/AiXExhWqZYrnOI4
f0SjQqEOUSgYlswLIno7p2xj/y3wPIQKmYJq5nqN8GHSnInUfobJ6E8dpdCuEY/zVNovj4kXI60+
IOSoYIk0jISC4eeqSYv7aVHEzktlezpkKLIbzIRWlw3ae4tqoDLkBXTJT2Yzk21iQuK12KjsZFyb
QwEz1OET84jWV1/OYhXl0Pcq+1kk3V1Kk+WhSusPi4H8/Is/HAI8nRW0OYgI6+fXmLglBHkKAnaD
IV82ohmuAnQ7OQ5WeYaVJDvjbcR08Dd0OIhzdNbN1U71ieJUBkAD7KBh18StbRxmrVBP+PDVaDjh
h/3RRj92r8i3ER8IdLKiyo3G5b0aVhvdzp5wf/escsHxwxDIFmoab8t0Cd6YjbXsfJEb1yfdRjr3
sqADEW+1gUk9N6juLry8tGSkxIJ/ltX0qO7wRRQHp+jz+yacnddjbLaHyEV94va2bi7zs/HlAXsW
npKh76qFgOiNprmckOtM/TbTnYeuAb5vgBo/WHPS7nzvG8k0XV3oE2QndB3WOYOjhlNhThlGb2Vb
nSIbD4O0VIET1G50aoM2OxtaWh0QZtJ3vv+t6ZITkcYTargA5N8/m+6cVE1mE1Y8uOAIPdtoSBh9
bBziuWzeLGlfo2hdvxhoRdAlPaFeRvuTzV6FN/AbKZc0H2niUBfkrYBRT1YkjwTSF6uV/B4KApjB
EdZ5zV/OL5+bzBhmyp6LCCEcD1Z3mBHrOQ40EXaWcutLoRjzP0Ototw8CG2wMlt45cJSOnWinTIt
0O7mykSPjEToePukXtO8JAqAxTLldUoRdJXl2WGktJTueF0GgfKrHgXmM2njYiUUUIwJliivDmqD
wR8ud8PwqjSwJxXpHIfekODlosRm8zkNLdzaAH/8gZCy/eX2L5Tf6uqq51hhZi7FQwCwrL5lx5jr
DMkF2wvzoH9s8uDnGNb1+fYgcgevBpFX+O8iFCX7yx021bqv7LG3UTCGyIdcYnI/pRUiErG9x02+
VhagTko+9j9jrR698dxNbh+gJCTmBotft1lszVNEMf/UI7f9FddAjZ6UWMNwF1R9+lWMrYnvEEbE
GMIij+zc2XQXbD+felx7KkU0L75ppeYQvSDK1FyA60BiuwqauYBiPJEo3cOoNNMha5AJjsba2Xms
Xm8urwtuJMhNFHXI+S/XHYXtVHWSDJcQxdLfjAlqociJdi+OjBSZyRrkY18mKqv0VBHwuhYl4Z1K
knZ0JnxzycYo66TZNMNvrIoP7Tgank7D4aUwIp5PvOBIv+jM0klcfV5NByOFRp6FLzY3QavpFRJE
0mK9y1LvpWeYoeiVEf55tfG4uFzLoA4yI8lqy7PdInudRol6WoI+x1ZH+fRvjMSLQpKTHDno5UgS
gT0htcKuufjoFgLFXcjRpLWTZuykYtdXC/998iNyBjKWK+qAWpYAx7PA9OygSE5hG38lnnVHe0oS
Mv50xAg13eMrXMfgizHN1Z7hwIyER8uYo6UMnuqEeNkJvT7EGHUf43TMd+a49RE8m+P6eOLA2I20
chgP8Tp/sfX6GFIB2PmqN2fFLS0L7bw711J0S2MvRhFYgPmHMT2MLoZLuKWKuzJdppMinPD+9iHZ
HI9SDSw28lq4dJeHZBwzMaC+ZHoREuLvtbl1jo6OXFGNUq4XWu1e3UCG6MsQzq7RlaQmQ44J/Ppy
vL7Ls5gyKScldfKjarXoTEXz9ASZHOlvvXcOiiLwGmyMZOfy2JqpJGqSc9EAu3qZiKZNxjZxTc9K
u/CEGzTvUKUrwI2qzVmbla+3F3ajFAZJlY45VzYRhcfQ5UzrZsAK0KAUpkdKcAZtUz4EVreAwh4R
oLKy3g8QOMQWIFJ+OEbxRaOUtBNrtqYMZlVSZIQUOVvFbW63udHsifd3hdR8bSV2iEWiYp1b9CbO
s5LuoXyuL2jmrIH/smmo80BYzbmvXJwLaiRKsMDCO8iB3N2JavaboPx+e3k3p8ZgVIOk2tD6iVRn
sejriloG+mGVjzNzASMFPa9eTNmrUtPDndOz0WpgNN7pDoVNBKLX2bOhN9NYoppC3JbIrHBA/DkX
CaXUXr/T3bg6Z0ooDto8mk/omrX3uRupB2yj3Z1N3Yq13FQ0jGE/gc+ScepZGq+DDe1oNlpk1HbA
EzTkfzr8uYZa4ntq6Nsn+DpKtzPs9nmWtV0HwBTJ6OowZWmfYfiN92nfdC515KbV34+WkZ07yiQ/
jV5R/rRmBBUytO/f6nbQ30+jMuwV5TZPGOAGSYZDWmHNuRVxa0xLWFF3dNP+lJdp9BWjwD9CLPyO
t0/Y5kiyvAByzYG+sIpUcFGpBgSkI3nnGO+DGYHm3lTa80KBY2dtt4YiqZdfKOVGmuWXW1qrIpwV
laH02ZxPMboBKPfj1zbH2d5NvTmUjL5gREnU1wT6sFLMdoyJSgmvsEMEh/rLkqaJF4gh/nl7AeVB
XId6iT8h9wD3gq7v5ayyrHOaBal1L3Td5rvex9wvZrRH/twIBKjoAHYFDSohSqu1axat03pa8l4y
Ro0v+sb+6kzN8KgI/X3Xh/POpDbWD/UnCeSFgkbFdjWcno3ToCmm6WVzBQUsFVjIwer9rpT9uNf9
2hwL/gd4Xoa80n8y23Y08yLmWEABwY5Rtx86y/xhuEv68fZWbdzK3Mc833igS2DiaqtwWEU1zSaX
yvrKMI+9ZYTvsMbELiLrl8ZAkNiJQS26ygNs3nHn9G9FFhN0tqzKso30ci8PSmuletXO5ASjaifH
MTGb123cmZ7iKN2HLM0QT7ATPBVD4tJDkQxo95dImt1egq3Flh8FpwiZJNqrlz9iKoPZaSay5U4x
O1wS9LjCgh2OCSCEqt2JLVuHVuqq/l3do056ORh9aX1Ug5ynToqPbpjQW7gbrbE7NtCHU89aamXe
eV1tzu/ZkPIIPLs2pmgenG5uLc81h+7cavnkd1rkPAVavKeCuXmaoPQh42qT7K1hmcZUqlFW81zE
xxonLJ5b9f0ERQnbMMdWsC0V6cdgsptPihi1nbRra2w0CxzZIJIX9mqadDjGsiZgeGUea4+uiyxK
qGu4vojG8Kltjn4f5t/jsMp2tnRrfTk8XE20Wamuuav1XbploD5r4mZqq/d2jO/NkBnmfTnNi//y
owqfHFbYbxKyWMWgwkTeZBGUo0XZ/VnYqfU2F1l7D+/F2pnU1jk1NYrrpOou+rCrN5ZCbRvBu1J4
OcHVG9rBfDtMDbTFWZXSOvaP2xPbSrIAyNDnh9lN63Zd4JlADieZBMg4dRBhxdNU56hOcBIN9OKH
S7H2wwwtz1NK+GaxMlrv8hnD6hR/zR1Y2Ub5B7ot4VCW/OXkV+Egdge9Fw35JcZ94Z3SKPNjVYJe
Xxrta1UtFaV5Eb+qzSY8FwGYTlfNVQ6ZqKhxpgiChbgXa5gSHG6vkAwMqzuVEAkZAQ4S2Lo1Dy0o
LasPRq5v7OTGIxgR21PV0MBmnpxhmOCmoTi5J7e9cZFfDLqKVlWGymFAjVdSdYZDaevtfQDwfOca
2DprEsRj4BBFirmuIOaBG8TjGAsvrvRPvY0F6tK52cFSk0ctUIt3txdSfo7rhaReISvhDEh55/Jz
nRV9hCGnCU8NSu1OjUP9rsFG9k2sDfkpVKvJD5NRvTMian9jkMdvbw+/FS0siwMAZAiqxxoLbLnJ
YAOfAZQVo1gZtDHCEfjyHnCELu7/naGAQYAYJ29ZvxcWJL1aU2J0qxJXOYTTC58Xf/2UaJjJ3h5q
cwshlVBxcn/TMi8X1QrSKkdilF72GNPQKUL9qe5HzUOXL/NEhc3i7fE2V/HZeKuDiVpj1Y6o0WOS
ruDDCfnkwBNu8V3sVXaG2pwanXMpsETHcf36cZw5nloKel7YjsEr6hTZhBlqJX2vi3p4bZnxi5VG
UTegmAYRjzAEY0ZO/tmFLXIKdlFHyR8yt33I+1i/qwPsVtwkeDF3ejWUnPyzoerWxZIe7zIPNKK4
i7W+99q6GHaqyFufHAUmuu9UkamKyDDzbJS2HbQGV0LbMxS3RWfcxaUnDTT3IdND9d6KSACzysUJ
N16q77o7tcvOHm7+AImFlHVehEdXt1kbBHMbIbPuIR3i4GWbArgwhsH9lZemgvcD37swBuWoKGHm
aU68pwSwdVzx26AZxlWKCs/qTilNZJBJ8ITHu0TBsVZpe2RdI8f4Y1riJNi5KjZnK4lGrLaE6Kw2
FeZoVlgBo+mtNuGnPPZPC0qaXtQhTyXiOEeTEds4u9LE68Wa9no1W4kYnQJK3fStKAithqcdqBXS
khkCYpQnd+pYfO3VRPlDs4LuqI9sbjpU3aHJ23Yn4G2+J6SqP5UvHk/Azy8P2mS3vdpIfyxX65ef
gzl1Rwrx5ckpBxd744lJK2WDqY9wDghamXdUU6q9bsbWpSm9DNhp9lyseUGG0sKLn2kuU8N6qrMA
Icww2Pcu2YpL9CGReJUqFrBLL+eaJYiDJCpwdEtt/zKzVjtGFQ5rU2Z2PpWKPcr95qx+XySgI+nV
rI9wkTlx0AGObM0mOSwTnSexzHull62jKzMAam3/zdl57MiNNFv4iQjQmy1ZrGqnVsvOSBvilxl6
MunN098vBVxAxSaKkIQZbQaYqExmRoY55wS8boLB60UpMZOx5oHEt9Hj2QiUvl3etAWClucF2bOU
UXRM7Qu56MirkiJrTEhzivkvwIw8z8DdadIg+oOGx/XPQAOYEScalTamrcb/qrw0TCubqgeldpgi
Hc8OQ0UGcVbd2vDNsqjvDDFEB1D4ve/7+2/YOk01a9K8A7yZLnSalTVpn7Su1O/ygZGkKnj4u9tP
6t4HxkM5MNqgKb0iK9vDbNpOTMnYrOvprrZ6/c5jHsGH21b2PCGlBqR7YdlgZ3NDp4SqJQ1H6zSt
Iv0e9Y1Z+m5ZjKnvjdF4hGvZc0WuKWvxkGzQMdrsoTY4/VIxf/WkGFkLyZShdQ8iZUBb4CYGM5d6
LYVVUNl9Fvs9etFHFdvd1RI3oEOKM0Ct8Pocme00FkrXUlqwJvcsym65W8EswWaYp4O8RW7cNqzl
WEo2EbIYIMquTeXTYlcrvZvTaqll7Gt57wWOslSnHixnmCLBesqX8ohCsWv1V2dYp7/y6tA0FSpF
pezc5nZR39d2/rGGdHZR0WR4VCaEAquYm/rnR4giHIXgXwCTbfu7NklGfxXHknoe3rSxun7SxrS/
g3B6OCBq71LIgJayu8Eg1O2MH2qb8xQ7aIwVLQMua6Hmbyatjg+u3t4xlRkbWCipIrtd0Vi05oBy
MBKEtW78Z1VdNZ1atOYvS1qZJ2iF6UOP2hpwoWI6IKbsnVBcLRh7/uXibR5rc4j1xIL3dpqHhKnp
SaH7EbvxELfxkfrIvikYDERAqGpth395WgNuDwGxE+pxZbg4/f+6ORpDdBH6gwBoxxL5JCOikOrn
Jd46mXaamR+Vg/d0htQMkIqJHsbJZZiwaQ/G5Y9PIzLrdL8hAlM83LqYLtbG2agzQrslTk+9qSnI
sbrLmyQnu7xtaudFwBQYJ44IfbYtFdc24UMZGTWSuB6UnxnDHRhLqydfh7ZxANWWRwDVnceYdpf0
n6jbElbJY/tb2O5oU56qNi5Fq91KeTuVivpRRF7BCI2pE9NDlorCZeBoa0JaXJ3CV+Zp+ff2mncu
4K8JSFTCQYeQgV3/BreIDSFKKj+DaWefRm9Yww6W5s/bVvYODIV92J0UVmgpbN77diV7RfWQ4EaL
GInXT+n3ZmCWZ0QYcpAL7ZmCJkTdgVwZH7bZ1KL2OiYNziYD45P2znAb+6WKiWxs9VDObdcULwKD
LMEc0iy93rtFpbo8ww9jmrJYGXwZJff5AJN7cOL0IFjZ+UyyT+GhDc9FAD11bcq22wE2KSOERiOd
z0laOJfUoapx+zPtHEiCMVw/HSwp+rNJ48zBBVIiXxtS5D6cRO2Gy7SQ4sw5s0fGqfzuKd03M8qt
+8GK/hxlCMSF8QZUOKA+EE5cr7F1nSKqqbSic9KJt0xJQoDXG6ZQ16ajuGVvOxEgkZ0tJmVpW1QS
b1FvaSu9prTVtTtGeA9hw6C/g+3ct2LC0/UIUUhPrxcUNXkv6OiaBAZ1dUeEoj+58Ojubn+0nVMo
we1ScA8EI1nhtZXc65mx1tBeiZmtdmZg70qyP6pvRif7359bggeDz+e1RhR/s55KbeseDRoK8Z1p
PqvVot/NS5IGuU3D87apvZOIoB8qBSiik4NtTJVVRWunI7CstIJRx7EwfC1Skjslcf41lCIxfaap
qHftMKeX0eoIb2/b39tU1AWhW+KaZaf6elMJuaBhVQTrsILVC4TOT7VZU8lMjHX5fNvU3inBBuNX
4Q1RTNzUS9WoyssSAYGT2bSdFJlfEJpoPL04WNLelv5uR79eUi70qYEWx+VeuuGL0xvp/bq4DXzH
rDg3ztpfxlJYYaLUETOWu6PBHrs7KlMfAMuUobe+pc+EPfUdT8A6VcWTzvyKD47K7A0r0j7e3tA9
S0zPlFElVJRX4nXzutJESXX6cUOe3zEG13ufdCTtqObaB3u6E56zHkRDCC0lElB+299e8NmbGd3Y
0fpDf6L44Q2m+mD1av6/GHzDA1pn5bM1G+NfXHh6FLRzPfoV1rYf1oGaKDLkNE9Llht+0tMjGauo
v/MAHpxub6V0uZukRz43stCC8CNHdLM+QxPtasCbbPqZ3CaPhv6S1nXxmDAA/Nz2lnhBKl75z1Pz
oyrPTjBm89jRJwJjBRF5Y7rVdTEqSUKrM9f1S4mQeFA5a+7zRhghApvtQZy5t1SiPkobkpMG1/h6
qUpq94tNrA6GX7fuR3R+fH2O2lNlxJ1sNep+3VdtmCb9EN7e5D0HANeRpohUbUOA99ryCD2hWbl6
J+w1gTfPSemrXtUceO89M4S2snRH/e2VtldTmllaCtmGz0vzfzWDFS4Cdc2DQGXvRhBBSE1WmhWs
6HoxbQKvJI5QJ1vN5qUuc+siulK5OEKpAG9bIsgipT64ELsr4zninCLd82qwVi+MTjdTVkaTsDhN
Olz0cfV+3P5KewvjMUL9DZF3ynPbr1QriUdjCY0ZXaUDU0+9j2RnFxCud35alMIf6nQ48C87K5OP
nwT/QsN/JeCL8rVaq4sCG8IahtF3MlU8tnM6H4C0981IdDEZAADDzdrSJFYapaB872qd8lMsVvFJ
E85Rc33XCk1kYOC4EyAM10cjKQ16FDk8fkfYyp0dK0vmN8NgHpzAnXcOIW85q48iG+iyzWLMcqzV
bKArZzmZ+VxpyrcILV90642HAoDW274dv6ozgx300T0q1+w8PSg80lqSuvUIE26WqAkwEmUUSym2
2HusugZtWTO3Z7/VZtM5OBy7xpDjlTQv3qBto7VBrbo1U9n1KRfvRY16J9Stku6xOoh6Dm8f/11j
7CZfD+IuEeD1xxu7OF6AXDqnuhE/cY7NB6aOMu1gTY/SgL1josEVYPAKKoHonV1bMjulQighor1R
Nu0ZhZJp9ZdVLEctzh3dPBC11JwkbxfHseVeFJNKKa/hY6kt+pVi0ZOnUVRdmC7OeFfU0PlOxbQa
p8ZOmbA4j7H+MqLQf04p1cdBOxUN3EgbFe/T7a3ePcBAi6mrMOOFCsP1BmhI/ivrAOFH52n9mrfJ
8EDGLAa/mYfozH64HkI1KNP5jaHmaWDnpWgO4u+9z03FEdCNLOzCfr/+DXXWwH7PW9AXJAJvYPoP
T1lrz+d20g9j7R3PCiwfFRVgmpTJtrG2llrRYFDfoIibuPd1XyuXxRrawObI/YN24Bzocdr9xXkm
ZZeYNCL5V8obamZ3jlKCMcw7e/msTwyv9bRi+FqS0PzFPaU8TUHOZWYbyKnrvWzBPBfoSOMUdNS5
/UiPnP9yvSiry9C0qnm+fXr2rg9yvfBb5eQcsAnX1kYzXrI45vQkYLXzl8IV6FabjbP8BWuDhBNp
BvBEHJCtRxgQg1HIoKCMreKt02ru9waxn/9ur0b+2k0AynQzaEsoEcpy9GY1cW97bRTh41RKw49I
2WsvEezAIEn1ofKnOT3KkvYOvkmZUdYfKN1sVa+Y3Bx7YAjRQvBa+2yUoOqyvB/OQxXlf3HHaCLz
1ZHXkfWB6y8lhmrUGKUBpsMW+n1VrtVpjOPoXLvJEbhpz6X8bmpznY3WdOq28ZB4M6Ar9DZtC3vu
v/TM0kTfefb8adXWMDHb3i8zRxy0TvaOJNg9lNGAB+JwN8l03WeWbtH9Opmdab3LIaCcy6nsD6LA
vS9HLkaoRCWTTyjdzO+5WEEOPWVALfIlbu+WaGHYOojFJ8TFp/PtU7mHYQNKR5mKFptMaTefLotr
IPRNbJ86FY3VQG+m6K1H83a+ozc0/Kf0tMmDsYnx0XNMRfnZXmPGpzBfo258e7G1L4D854teNdOP
qTeV+uAH7u04NHfwAVCdyKI237uD11RohmwFmKX4tNTAPsD9/gWOhvHylNFAP8kc0bje8TgRkZtr
kOmHVotCx+z+V6uNchdr69+4UMmSJHgElETF/NoSUflsTTpoSRSJGWdhly2aB4WqMZo0t3XvQCRg
9yRRrtM0pLbIzDYOWx+rWWi5FKKzmuSrR6nwLitU/WMeFfZBtXrv7ZMKKFQP0CRAbPV6YSpUi6Qv
JXAGcmmok/WemDzTvZtb92VypvlBsRPl0+3TK/+fW58qdZ8YCiLn/G3LktpSJSbUGq5j2ydPsyUc
H+8qKr/xOvUkuvEIJ7drkICE3OkXaGSznxHTFtyynhG5Y5o6kiCa961xoPqMncGEjNo4ahntbuov
KWQOhrR7valI5ijeotJzi4u+fy6M3vqkKeVwHlejQAWlSdWgRwXvKKDcvXS/md04BQuua8/cJpzs
pOpBmxaC1pg4ovntbybPEwAY2hzbTkBp2IqeSGmHilyDpNPSFopoiE4HkF3SMSA9RBD99onZuxBS
Plv7lbbhUK43NG/zbgT3QxMzMe3nbimNMJ5M503uuunBo7i3iaBDIQoQK9Gt3ZiKVWaMzDSkTtaQ
5olfqiC7fNQTDlO1vUNCaYvBS4Sw0IM2hhb6T5VWwnjvxpqRH7Xdr+dImxoRznpFt6Pw3NAbmv7f
21u59xI7oGKJaoBQkaReb+UAyifOSa9OCeSWS+b2/f/WNgOdkaTGo2Uo9tkGSREgMt/ChDW9A3+z
m/Q4hFJSqpSSyTYJR9TNrsjNQbjr02CR1Wj1i5WschTg1GvtyTYG+yPoIWX1zWECijkBlp98Mbhm
FdijlbY+w1IGgNuqXh684HufhGcVzyRDPqbOXe8NKtp850LGXnVhPAH2js8k0PnJ69Uq81en0U5I
BtUHW7JrFWAHf3CGIFCvrULBH6ehJ8TMDFXWF2vjZ5bP2SPijutznVKMg3t5JDu6h8fH/WpSBk+V
rMfNOaAvxYwp9PZOCXCwMwpuXdBVbfKCNIwTJACLv3gA+J4qnj1mRKg2UUOU/uN2aHPdPpB7F05y
kzgU4LHMbaigO4k9qsiAnqoxiS5kDsjXqcZRPrlvBV4++sIUV7c0KGUuwPUOJPX2tGb3hj4VT3Zm
KQd+SnrY7csm1W44Q3TTAXxcf8o5UwyjldmCNxUdNRjbvmRzPl+mTF/v+8Gp/TpCFt/OhHq5vYs7
Eliyfw7DikwF/N42iXUGDZVakbtYzYcX3VXUICrK5TNa8dMQKlDBh0ueG7rwR8udnhhwmiPwJj94
OVsvZqNlR5jcvXNN4kRSTQRDVW8TWtRRg+ZD5zhEMdHyzZhVPQUJ5jK9RRfI3j7U9uowOVrX/+I+
kRBSI6WcTc9/c4sZFawZ8SpHIETlkD0roitOWdwpz3mXdd8RWRmcFzWJzb9Zr8wxdJV6jpweef3x
ibJSq5tY7xRFnvWmMEvnMma63b03UWV7seeOOZJWYxwkNzvvMeh/HBaIXMnelSf/t7QD1KQjRFy5
J21o6seoirqTtpblj65V/oG7rB+Y23k/mHRAcsrsDE2qBl+bW/I6byhHcc4Gw34pljY6zbBOv9pR
ZSzBMnrmI3I22kevkpPiV+VIe3pvuRRqfrEQOOZbDc+laGNFL0xXNmYj4SsjmgZ+Tjn169oOnoyu
3PXHwd2S+eHmWpOLAw6Q2mfWq7vVlgtqLG3vnOZOJJ+7ZtQvzpTHL1Bz7B9pPpT+Yvei9lNL+WYs
Rn9Ctl8/cJM7roXfAFIHoV+g39ved2dnTF6YF+qfTrVeyNgRHoCsdhetDoO6bXh5UNWd8py3ZXbg
1XaiLxI5OvxS2AFW7+ZgD6Vlg6LG9FKmy/umF+5naK3uvbZ67n8HWy1P66utBlhNf0N2b7bomdKg
AJKgfHIaPZE9ExF4Px29hIHhJToTZ6NM02sCg7x9dqZYEf6iVqp+TmN+n1+pWVeHzBG3UFvsygRX
1+ri6EPs/0JOAoUEHs5tH9lWhqQc8hSJ3shZCsbh9OUTtWTjIBbZM0PxTOJD+Ic5Btf3rLHqUq1T
zpwWJUl9WtIaKF1TrMWH2zu+d5/YbeBfYA1IODfRhzXUWe8ZiJaBBcvjQBuy5qPa6ZHfk7cg+hK/
v21vd13wXpB3YLo1/vJ6XZqRV4vrEl+n7lL9C/ZA/eHYwxHyZXdVEhUFEpk1bZWxO1GZ6uIg8VSu
6/Rs1hkdEOS5T43i9O/Qsji6IjtvHcIFJveSggcgis0VqV06gFk2OyfB+MAiMAvKxmersLMkSNah
jC+1BrI9NNU0+ef2fu5apmpNauvIvzavnS1ca/E60ghXybOPixnFH3krOJi6sHn3S436Ya0sp9tW
97wRXR+pK0NX8FXpsJnrwkxxf1C/7Ga+xO68pGcqBbw9maE05zQ1kp9Jm3pJUEXoHRw4wz2PRPmL
GhdIcnBvm+22V61C/5viudlpDV0ntYq/eFXuLb45N0dsm72zRC0LLBAIWmYrbG5I51kD8RuRVV8k
+ZnBm7kf2UvzVMXRt5W0/mBr9z4oql9UnImaaENtHljXmCad7q4L99V4WiOjvasG9a21VM3FWwCz
t0NzhAPdN0nGi0wAqcCW0BIVil1SJWSkELJjAJ2mBpZ87y6oN67e19rOykcGJ1kHyOQ9q1ItCGwF
28o1vfYEeuEyDS5RaTMZFClKJVFCxYr7+3jNvG82Q04CxkUdir3sfc3frG7jZBupYUTOaE8oS6e+
eCiDnVt3dBGo5QQERD2T7g+DTjXDTu1nRR/Mc4Oe40nrp9VGsAn0o52oxie2sfsQZ/XyzGyB/uX2
9dpzkmhuyQFITAnkub/eGkNZ4q6mG3FK5ni91F4VPUMoE5fbVvZuEXLe8h67vDLbnKhdIjW3aAad
GIwAsrmszEDNbfVE+Naf/9wULA3KjPTZKJDLr/JbkKqpDG/yemZxad7IWGklM/2MOtgFUar04P7s
7R1YBQl5ROj01UCN0iY+q3IXqG9W5GemVCnnQnfGg8O7t3eSmPULwQmUQP6K3xY0ZzmjsQ1ZayuX
nyDz4ju9Xb9SED7CluwZIpMkoNLlrOHt8D2haoMoGmBrSksHLcqNKTArdJ7ymDz9jz8Ss4tgKdC7
I23a9rqqNc+KUWIea8iijwjl56EOHj2AwvgXDpzwjsiGLSRp2eocmHpuwm0HVL+maYRc/ZCfa+rr
31Zk5f/8raC85gKOoxNBr2DzpeIRNYEJgi8BjiMuVPeT0ElRO+gy7ajuu1fcIvWT/BwJYkEg5/pU
kAIlWp4J51Rkan3R9EYJUqZOhssYD35FpTmYc6cJO3dc/GiJodmVWnNJ1rnyE3VY7rvKKg6gNTv+
js4Xw02lNDhd4M1zsrhV0eoVy1eHtDn1VNBOU60RGut2GljTcCRFu2sPbRCapTak6W3cypPN3LQG
nEYyKUrlS52nMEdB4/NiRMZdlLT6QQC7c0Gg1VBmYKw57O3t3IyhM5BDHAmAlElMP7Osju8nIoFw
Kr3mANnzq82zyU6oH5myNKzJJHizmflURKD3eLIUrR7toO7Z2mdFazvUuWiyv8tyxf4v1bt2OCm4
08hfCapRgUHLqoFHmM2jv1jkiifGqEBJnjpHvCcM1pwwWdtS9TvLW1/EBNgxEKs+fspgR1T+Ghcw
3+HxJK1fEMYnQWkq1XNWSCUSVR163Y9jpof8qLVZtfy4QN/inBDPxxBxm5FyXtO074pVDD/1uS0U
vxc28mbLUqlNoLZ9vQRG0uTvprUexAWJPUMNM9Hpysluy/ZDlunW97Wp7fdJGXvv2yRq11OHDNlR
Z0HejuvdlY08jTQVYAR/y4DhN59qDoiSWNoITsHVxb9dszBIJ7X6S2NZ1cVz0OsUHoFtn0Uaz6H6
8bb3e31wpXVeJ0IgKcCyeaIGJiFFIpd3t4viN7Mn+s4nE7Xe2NbYmcGU6O6Pv7AIxIjZYKga8wJf
rzdfODeaA5nZxSE/28BBgsU26hfNSUTYid498ISvAy5KrOQoJrfzF6Tv2l7tWYm+jPT6esa+oW2S
9GdDd/ugZmYAybO2nDP4VAfb+vp6YpQ+Ecrj0H7Ba1wb9fIsLg283snu7OJzv6Y6ZcjReo6AEB+8
ydKTb8+PHLBNzZE6MhDQa1NxNijTEpFaJlzGoEyV6G2cqdZBeXHvnPxuRf6K305puhhzWtkUzgWj
th+KphqekHQqAuY6o1xsoIv0N5+NThS4Pgg4PJvXBiNXK5QJD0/y2vdhra9FAMJ8vhRZC/AT9ut9
xoDKP44F+GwSjSlRcLJTdG0UVqdhQfWhO9Un3XvbTCN/iMbyZWoOWSp7JwSJMMgWSJVSiNgkc3Uz
9J1ice0Hs0LFxBybAI1J20c15kjteO8GMEBZCqagsMRTfb0qMgspiAHSK+4ZpVyNlhcQO0SfkG4X
b+x1snzbLY8o73sH5hfbnIIpjYFtWJWujdGuOluZgiKcLrOWtu/GwtVDNASaPmiMCp2C255ld51S
XYRXEaUud+NJVXQ++s4FWdg0qX7PYNjxBIexeSoX2D8Ggzku6BXUl78xSkouibuUSTfXz+zdFG0k
8C9dodaQ+vuvg0fcnShKHyhLPgV5pR0tdLu3sKElQ4bQDgY4bntzdhCfgbmY52tIEbY6dXnMVPOo
SgJRivmkl956UJXbPlG/7BG0wgmgHkzsen2Aorzz1GVM13DK+/adbDddsnwavubR0jwAInQvIovV
d15TR4GuNWj/3N7jvfWyZF5HqcTzyps6Ykgq3Z5Zr5N8dbJ2fpdCN/dtc7ovjWT6edva3mqp7zAm
E/8Nqnizu4LUdE3oK4VxpJtMdG6Sh0xUanUW3dJ8UBXRh5q2tF+iYS6e+tnVv962v7taOsXwbuHI
EcFf7zYTAZWx7cY1pEDhIklh5Scz6Ys39qBpvrIMR9TNV/Ii8vMiFIhOGTU8mvPyB/3m2yemL46R
CZcy7yvtbp1W54dMyi7d0GuhuZTTSRGKHg5Loz6aWp58SACvHUQFW3fIb+DuOMACkL8Fj7p5MGca
Gh0feQ3NwltOE2CKILOyIsggK4W393fXFCeJ/ACYFiX76+WuU1zqNf2SEM2U4dlMCvXcV6r4NM7V
EeFxxxTXhUtKfkmzeQtrXPvUcruOMSDgG+33tlHCMZvy7LHMlYP92/o+9o+KCUpVvCWgi7bTZMc4
UwBxxGqoF3ZyUtQVXcB5Ub7FhPXPGRKUhl+ZZXcQFeytzyZJJzTlD8/m9VYaApJQxRiy0OlUJ4hQ
p/EjGqD3TXY4jnDvlIIr4l6AoYCcuF1h1LNES1PWcPQk7WN25oXCQGbflfQ8vixGXnxf3cVBpNfS
z9oqXBWRHJQaD3zRzkZLnVRJ1wUp84q0wUSQwW17RQ37fPqsxKbyYFXMtMmmajkn60hvBvbpUZN1
Z5+JX2URCYFEiCnyv/92Q9fSKnS1iLWQ9ES7aHGsnBNrTt/PZL4H79mO9yOZooUAWoDa75ZbV1YU
3TU718JIa9zQ5a+LqyFGnZb6EjaGGJ48F+lEBnRUp3qY84PE/fVKpeAG9EEGnUs/sLmchlLPqmJV
Wtgy8+Q0l3Hyb+wV7WmJ1/X+th947Wcl7ZmkS06boG6xcXtp2WYts0W0sASUFDhlMTwMqr4+COEJ
32i7/tNte693VlMZXKBT4OQg7yiutdAKEVAPZwhhfqtO413n9N+NQeQvllaLR6XztAeVL+2voipO
t63vbKyUvSTahKNPuXvzqulREcW1OU4hivHVo5Im/5VWE784Xa6eb1vaWSfRCSpVJgmVbCFcH9bF
HhZ3cXFFc6vPYc1IwfeI8i/3sVVR8F767rGOGXip6Fl9MrPJOyhX/CJq/J4Q0fvC1yLawkkFuLqF
owwNTfmuGpfQzvXEuBh2lKs+GZ+OmLkdJ286ihFewPgu/bsrtG46y25gFqRqn70rSJ3Kty1DOjM/
0WNPBL2VMudH0k6Wx55YXTwOdtlTw0LEKr0vuixq/aZxqXTlzhBdinKqxMGne+1yaE7QHKaDxdro
VlxvKI3xRov7mtsfufXFbN051IQqN4+6SRGLFG8Y1fbP259x3yo3UJcyi68GHZVtgda1itW0HPQL
dLvp0i/D/OwtVf9fO5O2l2OV/O+20Z1TCuDYlVqgKGxTmLheqj0plbcwZSG0iqj3GbRh3DtWNYdz
59oHx3TXlEMrzUWOUKVyeW0KlJ/R2r2jhmknzIsABh3gg5UAfcny4ANu+4byRBI9k5NgB2zOxhQC
zGVVJ7kalrabB0aaLRc7clNfVVz7rRd5Smin7SP1+zb88+0kniO6A2L3mhY6MV1tEUD+wgq904CJ
TsVFSxyGvWlWfHDtdt5nbhsPtHyi6N9sZzMIPDq4mYwIBHbNPci6L8vqteeyoteRq3Nz17d9+zAb
QOP9qs2aANRlf7DeHZfOjSd7BxhPXrSFWaZObMOnbDk+KqOvs6EcHtIxS763oMGe6gbRl4NoYMeg
VFeRAr9gg0DKXx8iw41j3WiaJRzMuf4Y1xkV7jiu7lMmxIUKKeiBvdeXUlIcaSgRudAr3c7gyG3q
cTTd1dC10/hRqdwBJJsRocuQ2N25Lubx49I5+sfbx+j1+SXYkUP0HOIeOpfS4/8WfphDb7hJzbYO
YI0CWdhiML1SfU6qtnqEXfKtqiXwzFIOGoKvryi+gC4Tm8vnJP28tmvkBHVLy4upW533Lu9zGrR5
WjykeZEcXNGdjb0ytbmi8TyYWV7jDTw3K8GyoV5ZxJb7Vm2N6bxGQgSasfYHEcju+kAYqdC2pdDY
BhUCicVoEsHX1Goz+xf8dfnDsXhPpqT0Dm7Ga1Pkkzg5qRcHqXkbPU/Cjq2+W9pwIO4LFgpFb1Y9
eW8KR/ljvwo0guMCvptrCGb5+qOhpJHaXbu2vFZtEZQodp7rzjV9J1WU97fP5etIQ6Iw8DXcealv
sXktRIpUIgQ2TDn6cC+msfcVpy3P2gwCRXAe/aViaB4KOrDglz8fwIoGkWqiZUvlBwQMtLzrpU5D
udaInnahuqbNfV/N9udkdAyfYpH2XOt9FRAkdXdVIYZ3PKLruYdReRqBGxRBPNPxOPAOex8ZhLsm
41qJ6N54IxfB5zZCOT0sxTqh3FKqn2iO0PXS3KNhba/vi6vxbpLS4hQomW6Orj3aUWmsURXGllEF
CFz+mGzhPWRj34X1aKzvk6U/Ulp77YakTSJLGb/K+PJ6u9XCiZqC4C7MlSiW46F131bG5c2SF8Mp
lRMCm2XRz16XHE2afe3mEcRAfp+vDceNBu615RV4Y1xWeh3WRWIRuWravcjc+aIMzEhcCZTe3T7Y
e7tLeomvJ2SQENdre0VWRXWvmXVolZMbpqqTB0iEpaG7duZd1ub/UM08arnvrZGiIixzKZWJ4722
mRO0E/KpdRjVsx5kTpOAM0q4TOqcBXHt2n/s/Lg5v9nb+InJcjqvTrU6nE2R+nojnDf10lcX1RX2
QWyyuzSKXMxu4OEkN7heWq3knYi6qQ7Nxhx9xEApIlRCeZujmuF7wvvzCh5LI/1BrJdABNLQtb2l
7oqEHIWtnPP4zs3rn2NeM524RbKyHSzvYCf37sUvVAEjIoibtx630+3WyN2hChFAsz7HdPwDz0nT
U81MsFPXaM4bq2vzIM+M8uBVkQu5TrVo0qHdz2IQfqO1cL1QE8JzUUDcCZMo6d5CUl+e7HLMD6pM
rwAG+NnfzIAIuTYTC2Es2mJVIW39FJXnPj4ZZts9uVH8LmJk8UPilEmYgI8O2hh2VpKx2+Y0TE/M
l+sJ62fzgKu4d6LoDxH6wSVCcn/zhVtXkGv3Dsrz6zKFTdY34dox5Fxt1unsJv1RzXLXnkeIAENa
lko3J7gbbEacwscJW93Nf5Tq6PwrdH1Sg3HpytxP0nr8ftsF7VskaeEFl4XFjQuys64nTefTzk1n
+i21vXBIo+asmUsMCt094rXvvF2oDVmyrIZ+CGnu9TfuFxPor21WoVa6+onhyG7grl51L0TTH5yn
Pe8qy6Q8JjSLUEK+NuUO9YwiicvHcxPvjTkt06mpaudD1JXTEzpg+LxlAPx2e0N3rCLARVsKxVWp
6rTZ0JFipDOPRh2intvd1/Oo3JVjHwc1AX8w1LYWZHSrDozKC7i5oFLQAv3CXx2qrQJkBjA3W72i
CXvNGalomNGbvDJ/WKMxnBivMj0klh7/GmDz2E1acXBLdpaMohMFJ14TMvqtymWHLNE6GWiaaVM0
BFUDZWDyYoTS9TH/6NitFqSmfjQA8hXHi1caOSJSbkNq277a6KqismYbwj2BERZ2SCcFin/fjNY3
YmPzPu6NaAlLRsq9LWcgw49L1kf/enWcitNsK8rB27PdA/lrpHdEZwoIIMCf68O2mLQ7y1x35ezJ
5T7rhiFc2yYLrb7t6KehbhrV5REja+uXMUrszaRUKjdAArY6IqjEKlaSF9HJSZLqM7td/bO0h/Tw
7eH6ZQUAEohdSqivQHpa5FEDG8sIJZzSeNIVxfxSel53iox4uGdkWXHuDGH5fZrWj9XoHjiorcOQ
1qloyhqxKQUI5Mb/lpQaw2AxMt70TvEg1qekMh6MWB0fxESx+vbN3bNERETdBiCC5MJcW5rb2phQ
p3BPgqxn8q2KkpTvuk3zRa3W6gDOsWsMLI6kUP/iN22MNZ41rasOst1a8y4wI7sNJjqjWWDo6/Lx
9sr2zokk4f6/sc373XnrsCgDiPK2FwLIs9teHGAyl7+wIrNBmiOERduWQmUvhhaNEnELqeasp511
l7i98/62ld2NAxBCh5p3gvN/vXHOJJi7Cm7+hN5h+S6a4k/g4YbzwqTeg/W8KnXJoydVMsH2kIC+
akUheeHomTDgroJSpSBqFF8bs/ICHpHhUbSJFjQRatrI03YXox3dFwKlP0Wv//oNv/AcYJuomW4i
gkk0Zep24PMRjkwfZj3XfFVr7HsEr5eTFivrg9Kb08HLuQ0KMEr0BdcDADsufUuj7u3MTNQ0w5nZ
YjiVattNQVbhSaNIby8KKe3BR90zSAgtm4sUTpFquP6oMFqiNEf+iQ50BNWpgVXKdusnd7WVBy07
nEW6c4iwBowKRVBCra1IwxgXIhtMDzHhXqvvHFGOD4m52GeHqP1gL3dN8UJR/cG1MJHzemlVNBZe
NbnuKdKn6qQZQvUbytHnxoTg98dXg3qoFPKWFDOgmtemutkmCyhGVpU1030i4m8CMsA7rSMRum1p
50mA04y6DrJSyAZtg5w+U0aNmTDoCLSF/W4Z9fYf+sEpPDar+kgaaz9W0RoHajxF1Lyn+MD8jj9j
0jS3knYJanRbUJU+xmlaaSCdmiXKPhr50j1Obn4Uye1ZocdO7YPXlXrrxtMkzCty5hl/5pXQmhtT
8b7ouScOHoK9ow8MjfsGnVcii64/mrAr22rRZDn17VR+6NsyuU/jbAzMbnDvNNp2wZ9/OhCgskMB
nRr9jmt7A0NHndWi6Vp043ApXVv8aCyhv6ACryc+oOf8bI9u9Sayh+afyunio1Esr9I86V2kSKak
uXL5XpWZ08mzKfJ6J5j3anyerDYKomYovgErVz+1iajOmRZP3akXtjkz5KbrQwYgeh9o5ZbIZXup
8zn14vHgUO1dVIe0mmECMhd6pY8Q0dzrq9VD+HU1znBnFt81Iuu+oRt4cFF3gkWuDphYpsbR59vC
Rs1YdTN0KbzT2iA5gJcT3rslGVzNt2JreBbZ/3H2ZT1y6mrXvwiJebgFauoxSWe+QemkY8A2xngC
fv232K8+KV0pdSlHR9rnYmfHBTaPn2ENKtoZmczPb2/9xTcPqBMwztvYH2iO13uPGBvlClzrmom2
+9TLsD1CuWp8BE2d3EzKp0sZzeHmnz76pCR+MnzqNBzcgfi3K1q7vhHPfsKba/iZC+8DHxoamsAG
4eY572wwEjNjGlnU+RSIUuO9HVeFBdsFTc4x0KIrJzi97t9+HRc2HHEZriNbc3Pr4Lx+G8koKaGY
5NcgU66oFCKIsieJhbnwvNZvL3UhXqJxAmRHCu8YnP/tp/yRxLoESPWA435znTftYL0NzEOqRnCq
qa40SoRTyoZPseRsx1cIWr69+oVAhmMG9iTiGIrS8+mVIEr3adEWNcCK0XGCrzvqRNdeCSyXXieM
PaHxsenLoCZ4/YyxTdeoobhTwZj/MSQD+URwBm9hnXqNBHUhZAJstUEENyFcJGmvV5KdJPPA8Q4t
UGuVkNCwEZBYrbJVbf7esj++/f4urQd+PC5vlJlgoZ7dq34n+eRHqgBORXNQ1OlHpYg8eFIM1cjY
tTHyf9O9P6t5HBBYwG7TP2j1o+l09nzKEopNmoraDCDadm1nocucqUqG4XizKG89tjK35QSLyXKz
/i07KOfeswjHtnAqPZok/QWVvbCaUzTQ4cfnrryQS1uN8JHh28EOYCbzegNCA1xqUbAClMouwnEm
6fuJx6wEaLHZvf3ury119i4Ybk3FByzlmM9PfZBxDOyi7l0Sgj3+9lIXPhPk+Uh3QRnErPc8CrWk
Nb2D4EctY0oO8Tpg3Lt64spncuEwoT6CfCRUB6DXdS6kQQD31SNMQyH16mFfhzUnZUZUsBtjB86S
ztPfbz/Wedt4CzfAPvzXbPMBgzgr/jB1XZs0hWpVA/fdT0GOXlTWsHtv7JavC1p/D9BY0OWwduzK
k17YOmRoaPH9h84BpejslIiUh4VL8KSbjUEOiYOywCD9ISaSX+lAXXzGTXEJC26mgdtL/yO+tsuC
tmlImtpCa+cF5AvorbWeP0hIScv+65KQ8CGbvOY0ST3t336/Fx8TJsMbLQ4Ik3Oiy2Z4E2WQBkGC
34ef5QKM0ZInDSsLYa+RiC6thbi3AS8ggAwc7+vnFH0WLemcIjLkPCzhjprf9JTe5CuoTf/+VGi6
bFUg5slI1V6vBHeGGXXm2EAIrZPeDq0ewBKN5cJULbXdcuWKulRrA/CwmYVA6GcTbnq9np90MCfO
26Z2VqBVWfBEf0vD3sAFLPdLb6Wg8zTp51VLBoMWHlfDoMYrB/ZCAMBv2OAWoKdvTfjXv6FtSAwS
2IBnho/OF8g/y09STdemtxeSHXT2MRpG4+4/Xt/rVXBxeiIVGZp2lvv9LuetAKsu2dS6gzqGplCy
9wIV/KtXKsIAGiY4o2hnIOM8l130Q0FpF/tNvQZT8i3xXfqxd+TjP5+aV4uc7WLRt8M6BlhkjlQD
ugk+tlC0ZM+lc7/fXuovTaj/e6CNXwv5dkgfnoUXqnhDs8hscY3wnybT7FMY0vVH4KXdzeLN9CBd
1H8mYT9XANaN7Y3KJ8FL7QMCb+0irh2f7eHOrm2kCOiZoP0LJPj5aMNzbWTiNWhq0wb9AY3beQ/L
vM2GqZElk9c0VC6do01SDNXpNp8/r1fyJbAJHAawXEjahpYTiEamRHNstSfMyfJ3s0WP6gHACXUt
Q7kQhgDbQ8qOLwX9mr9myEM8F+BneHXexIAjQfn+qZNMwkKLLvG/5xr/TcehIL6hTc77fZ6XMeci
De92FohKUemjCdzJnQt4d3r7SF3awG0Q//+XOvv+A1Dqc6GcV7cDj2o2F2YPZVK7LzyjqwHl2ZX1
Lr3GBJJmQJdAEgOow9eRIChk42SyeHXgm7mW0PgA2WVdHnhg0s9vP9ql0m/rdmFIsPnK/QUtt1lL
dBBiy5ZCLD/WCOKgZeRPP4yENPEcpuHTVrFD05e1JfQyshOkTuJS+gDFKjSQ0H6MZf32b7r0ujec
K1pwEdip517iUaM9lnm+V6usAHMLhEP7KGHWVg6QdTiBrWv+1ap9CxnZBuVBoYlS/xzfsbBRev4i
PPTBqUYSncFuy9hxBzesh7VI+P8QDdHogO4QerdoJJ3tb2cazBGCHu88H/ix5wZ+MjloL91mh/32
u7x0lDKQe/BRAjz816wT2TilrkcwBFe8+cR68RW4lWIfZOR/ObSAXoITgeEbUq2zsBsU/cq7dPbq
dQ6zr4tt30/x5OquC69xlre/6TyeAlQBDD3AQICcbs/8R1K3ZC0dlwLng86hqkcaq7Lx5mtv7tIp
RAcYjCS8uPwv/XhUlysaPPgI43SZDrly7gtQgU3pMU33hIIn/fZOXXwqtILBvABWODsvxj0/M4vb
xBkNFX49Z718b5YeOPS3l/n7QKCGAYgASCZwuP5qqfgr9AkHrye7pE3FFzYBN1yNwyLe03Yd1ZXE
6cJiSJjAf8JthP87PxOzDme4cAqyWwO+VpEuioMPB7vKZqG7kulveefrQwFRMrgvAJOxSbufY0RG
qAyAeBHjm3JR9gzSGjkMo/NVCRtJc2oB3z0GMjFJuSZxMZdNtLgrX/XfG4hfsHFmQF35j8z2+ljC
8iRsnSwQtWfHbmfNg5t+gGj+2/v397HcVtmYtRulHcOu16tEVi+qnxgB5IbwKvA6/g1CoqzftXL0
PnrB0IX12yte3ESkpNA+3qAg5z2qZhlhy0Q1QQdqKk792jWQgJDxrsVo45/vdDzcH0udPZxZiBNF
PJHdJCirdTLou7FBxRSStPnw9lNd3K0UkvU4NCESibP+ASwGwrxvDdmpOYcPdaDUk0+Ka9q6l94d
BkpbrN/6Ied0JiPjYkhbiLuKbioObTL+JJzYfZfBH/rt57m4EiIHwPdIMv/CWkxNtEbR3BDQNDty
SoPG/zCMHRel3wn3P6wFgP/GxMWtiTvs9RkM8q73Z+15tUx9U7fA0h3VouZdCkDfP0/JIKiy1ZvY
I6gAnAtAxjwa28XT7dYF4ceVROQ4BRJ2U8l8DStz6UTgQgaW97/exLkBjJ86EggTtjswUfVOqznY
9Ovk/u19urgKOtpbix846XP2qch1l2ft1O6aItWwkXPynk75emWV7UM5i4YbcBSNZXSWN27o6x2y
c9E6zPS7HQb85E7DUGcfeS7bSc7ZATik9N0/PxWoH+hfYewH9sU5NLdv7JA2bdriCND0GA69eWrN
cC0S/V3ZbGwkuFmAPLdBt87ai7HnERlNRbcTQRNVZopslQImDIp9770Le9LtOqTOVy6WC6/y1aJn
gYJQLolts26XTkIATjDYd4NS5qS6SJIyH2d9hQJ54YRATRlUC1xlmECf+3YYFyqMXRDRuVJRha0s
TpByvGZ3dKGxsgntbbYdEKLDkT87Ir3YlCaguL3zIM4E2TAKnflsanYCkaRKey882WEgB8hVdbdT
EYPYElK3e/vYXAha4Huj7sigsrp5m74+psX/WeMRCgSlcBXU/tJ9rr3mAN3m4uu/L4XSGnEYdzMQ
DGfbyBSmbqAE9LvG59NpnL2uXINxrdSU51eu6K3ZdvbxbXZdaHGCWIqB4fbv/8hPweMLuWgZDDNs
vtxkuDbfw4CEHjRu0kfpb30HK1iH180hmPD2Y144rVgbeCD8D6ZH57sKqdwsIAmnO4946S5aZ1FC
Tz6oIokLPBzdNQnQSzv453rbJ/vHs0rS8CWJsR44wqrKeyeqnMTTbWgidqUqvvD1o6mzIU+AZkQq
F75eKndc+ywq+l24tv6PmWOuP8esfy+7OBtKhgbgd1R2/PD2C734gCgOMQ1E1PmLN2vw0Sc91DZ2
MgFcEn+OHYERCW4KadorD3hpKcTPTaYIg2aUUK8f0FdbISIL7J3rXN2QvvscepM8TBBbvrLUpXeJ
vAdEa/TEAc3aYtAf2yYmziaFIeMODg+QK8ul2BMfVijtYuPH1VFxSMFPuJJyXTqbfy66Pf8fi2Y6
iTxYgeC7yPzxJtUkqMaOiRthTHeTW/2vujf40jcIz1ZLgTMPtv7r9eIWKj60adkO3Lx7zh3uc9Me
kHqlhwa05EoU+bUc4tJ7xf2EKfp2Z6CSe72kDRc/lYXrYODdwTsDcMgQJq5JU4N6nbSlQAg6dFP+
7yNWyDKD9gP8xObVc/7Vp9QnXhEu3U4PyuzsBAsHr8j0nTbJr3//HIC73OiAm0LzuUO01wtAERu/
24Epnxx7yFZX3RyZahSe+h++PAjaA/sFRMjfsMvQNJPNpOp2bOrIY0IGdgJ8fDkuNro28f/7ykXt
CCQp8rENtpSebZvpc4zC16zfAYM2vAPaVdzFWl6z9f37/OOtRWjpAT8XbzCL14cDkhK2MRtnKoLf
Lfj/Zp/mBkx04T/LpYvqt3dqS8Jf30KYE0M3HeUH+s5Q7X69mgrWAUL4AF9nQ8sPcmX5fiTeY2Ko
LLPWuqMqNINsnm4OUTxfm9v8/SEABIbeO4QBN17leRO+NY6bYAYZjDZNAv0+u9zAeUI8xYXREBKW
CmDJYnr/9iP/HUAhQxmi3QVIMsSuzufjOe2zeMgLtUP5YytKlTrAItmr4CT3r/bvGLOB/4ECCOsB
0n+uqTU3RWu9wvIdeJCwiO0NgXg4UUMhyjDN+isg8r8zCqz2H/1jEwFAvD7bywKBLJ0oJDWbSN44
oM3qFXIOVZgBK8Tz4QNvougEfMrx7Rd6aV3gnTcPAPDe4Mv1et1hAn1ThwCfRD3P7q3P+keXwgSJ
OO+p5aE+DD2E6cMFR/nthS/sJABXG90FulqY4Zwt3PnTavFi2Y5MkzsFlq6nMDOmB+ya+de8WC4+
ZY6mCriTUGc/V33T0SxTo2a2U6BKYFRhAlVmivt7apZHKp38OBR8qahNr0HeLj0mxiT/55uCi+ps
X+PZhmi9e3Q3Jj7yQW6jg2zW+TRMPr9yhC4uBS4GuCCIX/hEXm8lzAARRTu1vdE8whgMdLHEm8hj
LMfhymd46X0CUwTuL9CRgBecRx7ZF6z3BNvRHPRIMAfVYfSsACE4DD7baAwPS5iYGiyQax7tKDf/
Djy49DcOLLpkyKXOJYqVdYrQZoZRAZyEbFSi9ghI6Ua4yJWqDTj02Rq/aasmmhcEIZwGWRsiRVx7
cx/WBCZYcxnpdU5L2XvyKcAsooFscyRF6ZyLTxyAeQl9d8nGMgN55/fk4f7dDUtMnpcMtKIqK+aC
l0oUUoKlCkeScowzDQtSuFm6aukW3Cwhbzus07WzO4K/MIzIL3X03TIq+Wm2Te7qUJtIV2bEn8RC
FLKyLQc4uXTTSI9+Qrmq+EjCrx2Kp6nWul0eICNB+oMhxvueLElxHFJCVRnMXZcfCJ56F5oOJDkt
ZhNW6ES1ahdvsaUu4LZZj16vwIdUUwCkEF7hyVeC8BLiJtBBdAVkUkoFobB71bXx7x5Cq1M1QA76
JXNLT0+UC/3YxMTFdRwv0ceM971/8gCdAbzDotIrF4F25aFZcvZkSQDBwznzu9s174J4H4ee+gk4
Fd16f5rdmF5n8e0o864tXZhaVzWxZ090jGTwkC+pf0dT30W37bySzygAwvd27dyPgXfsG4Sppx8A
zYyA0XRsgklLkNzDFjIJ0csX4TehPH4Hs+r43TC06lfgAUVQ+R0bbhfW4OLwJ9QXKvCXR1wz03gw
Rrbvekk9UkaKF88jwJh+HesuZZUNLZe1lRCnLn2oILTlyifvp/TQAilto6bltoCEwVh5xg/f6Qg4
ouO6NsxVmpko281RNqDlDwdNOBbEMyB+ChpBeQnFHP05aFXzECxUd/U0xvpr33rzhnOlGany2bJ7
ieLkJeyR+pXdCDbA0QLK+ewb19JKijmK7kNDerhrEQaBziSng6mDTvAvdioaUS3FagHvJHqsoT0g
TjYa0hgWYw0IueNqhk/MEghoKdnMumq0xF4QJuFLBpBE/BIjIwM+CJzhqUwNmb+kjaTNDcdiP8GX
iXgFCwiAilAgIwUAymZ5dpBxuqWDTH9BRgtXFy2addxxDjXBHYU6Et1FmRHvVBF5Wan8YvJLkup2
r9DXzsq+SczvEG3OX61fuBuXNJQdfG8NP+qMk7DyxJAqvJPGRzoK47Q9Ti5UZPqYdEuVjawg0Lj3
OrUnrZ2n2nEedPvFt4OAtHBIeQUpM7G8X7t+TXfMkZRD1kukdxNzJi/RffJ/EOcPmKgDSntyUUhx
942U/rQShpzlwrl320aWPEPRZXlKdIhGStzPS1Ax9PLvlMLQvwJTt4t/+llXZO8WCpW/EU13W8eZ
1KDsx+Msq7VZo36oZyrGdr8Afd1iN1BnVwOxgLsYk8IcGqCY4ls8ekH8vgnnCE4fSgMRWOrMOXay
YTBCp89TstUlWCnJD240hF/GLGXiN+BBgPFOELTwdyMS+kcT9MYfYODRNnGFH9GIGwKBZ1p2mW7d
A6HBaksgYNxdNlEvhpSyAJzQedPUf028GJCKORgGV02Zl52gnzPZ0gS+UlWGD0p9tHMcLQcxEUNL
563JC8w9yT2U99I2gohzsLwjFHlPJZ3CN5aPbibIURmnPwqQx6YSutGmf9QwvMinUsisDT7QHPV/
taZ992k0gVeUWdxZCj+/wALrAAUh6BaNngMYUs1a1C1hUVTmS7t0hyKy5kuSkCYtM0ry8DivHtI2
XPRZu+dLNwf7dYWKxn6Brn14t0Cvh7/YNSDNUzS1g/ogGhE/rYCiw8ChiLV4SICT7u51Dk3MX8xr
guEWQgZF+5D5Mwu/QrguzO9zO9KgRlvN+zCO7cgQEEicAsSpIlZF6RxGVbzQvjsoIO1fCpaZu8RR
p48yQIzZZyO0Yo9FJiRy+c60EpJUUqzVkPYpNrHzFBwsUqcPUdu4fp/QEUoTvMnMSxt0fnTvUs5/
z51IVlBpUi0r2gwmvO/5yj6N3qybm5SA01yPaZd/yIwf8B2GZ3zaw3VQ/E5NNqQAW7XLJ5jsWlYZ
ZIDdXau7Od0X+D1RvZoCFnPxEozkxk8bm5czk153ZF4MWX2TQ5kH0kpK3UZxl5Afi7air6chWdc6
ZmwcS18rGn5QshvadziAklapjpgnK+7juD1kSL8gLt9loJSwhYXFIR1pKst+iiMNfjLJsg8AMni+
rFJlOPycdefNtYXiK8TGFJ0WtWd4GHk/KgL0q98ZqnkFvQoXld1k0lv0SC0/FnbNin3n8wVh05sN
WmcNTPTiXU5kp3910Uq+6SjpVUUGmWc7YZLoE8t8N931JMw7wPvg0fQEOHfa10OcwhIGcsUmAlch
D1uzzpAlKtSKlCRvcYXe22zkHmgFMNkuCET32rn4HUSs9R8ZC3z7JQCKqd31bAX3esZ8MYn2KUyr
8/2kUsc2IGo67SDBCjEMpQnQFHvHg0V+9QmEPL2yBfiI7j3lWUh3DTH85Q+67+lYxsDW9y/IFKFx
ist5dc8SnnnygOmz0x9Tz5+WSo2yRVSENGhQu2wQQMS3K8VFFy2mwCcfiGjf5yaTgOVN01gKYK9c
ma3Z6H8vurwX5aZLFUFFfB4LNAdBJ68QvQZXkjyax2qG74GqZlhKZZUfUkQA7cN2a+ub6OUOlBdI
8Sy2aR+NTfmya02ztPfhPIrbyWOsr7tJsrugoB4/cmh4+1XgGHm2PfYQcm45ZcDRAwJV9Z0M0Rth
2hQlwJ7JUreGF/ONjhHkyjUkbq1mNquvC6RLHu2wFEBHT9ncVGbojF824CudZrKlNop2GsHNhvqL
sW1hYBuSkqjsZ708DlYnHipOPyTVgpD6uXATLJjgn8MeoW6OkMuBiGrrAKGAlomJw+5d52vUM0FM
OS8p0V1Rgw5hEokYpsO4muJw5XsNv2taa88N4X5pGCpoCq0wVkfRsjyqeZiiKkAPrStFm84xRM01
sxUazWmIw7ha8kBAi2l/Kd7rmVXCNhT4dLTihiphObLgoIeGZokPIu/3TMzJcjfmiYpPKm6j8MiG
uZuPiQr0eCBeo/HbgSXhCywyJl6kH+W4pJIi7zGqKQBIlxkp4z4ZinsZC6bvx76NDX7bCBprGWbr
EuflEmee/IocVY5fMjmK5rHhBUEM9JG8O9icJtSMt9aFK/rX4az1MWhS/kCA1SB1JmmrT3GTKzLV
+IfXvUwt4Qna3YOytYV05LBLPTphX/ocKRmCA49LMgWYmEP8Q3XlUsAwvJytycUR3ZjRq6GxH7kP
MEyOPwX429bDCjAGKWcvnKYdx3cw7kN/yX/Av3FsykADqXmUisCLAPVjp3ZRgdTx1sWF+pit6G3u
4sxlYMwMBA4HfaL09Dhq5vnlnGb/IfM1PGcyBIi27FmiEIk8qHPfz13rQXoQV4utg6npfiZzli/4
Xvrke+iaRFYuK8h7hZwkrAG7iI9e6kN1bGEFiyrUNK2Gu0jQhHAyi9Udzl/jYYbTj1FZYCrxqKJC
zIdB4d8NeRvTmgIf/RseKLCpHDEc/dDFbv6mHe8fJIvQG+4oOPJ3dGQx8g/ZkARNTGfksfUVAXFE
gIEaNm1j6zSgUbuD+ljMdsVog08JbbOp1PEioXlg2fAISw7wRT0WT0UFskL4Ts5gM5RgVRX6gLpL
/lpXzW8Lk+fjcebMfYUaYHHfLwWMc4wFXh3ZQ4D/IrXFoo4dzfaKRt7jEA8GIbiN8pOB5egvCtPW
4X3uTPiIgxlNKB2I9wSAQwZfLs7oDTAOzaeYe1yVFPXEh4Y2BAl9N4mPeKy4vc3agWCZLvcfZ28p
gmrwAn1fpLMfIuFVa3Obijn+onxksXiUZtHHfklFVKsogSgHSrb1C5wx8MVHhVniA8qAqTnJXLKs
nDn2p85FMz32i5yykpqeQB1BWLxtH3fdre9C/+cQE4p7FrqLz/DeCn95gkD8cdFFfz9riZstN9bv
SmYRfnb4FOKvPZN62EmQ4GF5r5OEVV0hIO6+dL054KPTaxmQLjjlU7i1jlxOIGwWMVUVs2/DKoq1
yXY0ssGd6HBGIa+dNLzsFVt5hU5sMxwLF8cDNAWgkL1Lwt67QT3hkX0qpvRnazwAe1Y78Q5F9Moo
bpgRd8gaDYV6QCZmhpIMKgn2CjcAuPSYPLzoRcwwE7QQPDrQhDbPejU9agXTR8kO2Pw0LUUIbFKE
4paA1dOGU1ksXro8RSoPkG9CVON2DBX+bsDcfAaN42FIK7ou7LCaxs3l0PGo/2Bs4P+E72JqKiIz
Oux5MuP7n1A/9/h+u1ThXkiDnzQrGKlFEiDJp006BKjiE8AnBJqVc6VTFsJUNc4LWgYgyrmynQcb
V0wAWYyOkUVnNXUOYHRviEG5kSr9YVszzTtc20ThYmYyKIPCl/FB9ElId8Mse7szSQadk07oovIG
2yzYYPRWjm2fir4MpsnkVRqTdnqYGzY+cOhg6RKaOEV+36DcPVrGoy9AYTWmFE4JBeeUInrqW+CZ
0eLp1rpl290QmRBWpb4/Ia0PezTDqtlk5kMaK9A7TdrG/c0gMVUsQfKOP8J4US1HNfbFlxX5410/
keA7zB4Gdrd2UBnDnbrKsXIDi96HA9zR3/VDOv7oY48N+xVZ7cu84jKuGH7ibwHyDCLJsmb3jmPM
VCJL1N1xCYVhqGxXrqtxAvAapVqSIIFIpvU+IdmKU9rFSFuGNf0+DrMlN0wNsGtMXR7bCsS6BGOy
OOEZRJxmhbMKn2/cY6lixYMZ3JKhkYNGyyO0WqkpwS1Q70PCm3Xv/Fm8cDovtsqTuUBKNTcJukFB
3D5vZQluOIRtt0fNa3/hNgg6qBsOHfTkmMFbSfO52ydyhon4vLi15kR4xW2s2/ARmOfgaRgLv618
u5gTZpktSqcs698PcbLYcgyhWVamEImOyzxh6lPQxN1zGE3xi551gal0M4rDrCE4VqFuQz0eowRO
8B0W8obmq1WlHnLIZ3ZiZA2CerC84ALIRUUn475HwvcYNsAQjHs1zR/5JiQJAFXLf4rYaXeIeaFk
jXcK+5OUpOGHZhVhUM7zGvHSExB5P0QMCUGJdzz9GP1+MGVvUzOXQGSIj1ku9F0ChoAoBxyHx0n0
7EsH3bWXrk2aI9JZz0GOlvdIQFR6om6VX50FM6QcZYFOwRBJjk45HE8xs820x5E10uBGd6zrDhEP
CbpqE5rbJUwcZ2hmFQSxrneT604pXMrHChMh2e6E9lEO+FyED5pnC9x9WmMnPHgcHPEyBgKvnige
d/g77BOs6zB863kkaU0WJ3D0i3aakQvo8Rldl8xHQkLmDz0y+AEeQpAiKnuX+r8SDLVJ2Y49y0FR
YuqZgwKWluM0oXCdpzl/mKZJQDiW98FT5PnB94K1LqhmPYU/NSvE+x6nfq0SGdqbfCFjVnkaacgp
NZAfRlcyETcwpCvyyut1vG8XFLcwd/UzV9Ign9NdNjbOQ5bm+IIINXZfIdfDvsgioF9V76P/oPyF
JHvdjO5Z2VZ8KHqBzqUqUhXWyZik35p2Znhp6DitGClH/nMX0+jOAfzmKr/14Im1Zpb8yp1AUmhQ
QCEYhIn/LY3aEc0sYgnyJyfVXQqtNg/VOl3vQvBi28oWK9BYYSHSj4Hq41NILf06JFDg2rUqSV+Q
cy34Gj2ZPqkMMoR16y/0C5q3/XPAksWA/iXsjwC01hC9hRWJUArf+RY8DANsFxzLxfMSAJddal3M
nwHbRJiAEEuKUwrToHBHRhEghWo4CrhRzfbAG3jmQqIviY8y64hfMioWNEZy47U1baYtbMMz91Gy
YCZomCX5z7mV6sWCCqbKIc9h8hJptMmrDLJEH8BazVi1KCl/+gqhd4djlbwsiM2fAQ4Xn7tEhWhB
dAnSiMYTiKKMyXGqso56brdGAayiRNbjV9NJ+Tk6EZjTQTywsF49F6nc7sN8PI3WIRQ4E3WPhUcg
XJlm2tXUQiaysnGHm8ihKnoJNDIp0DiH5MQNh78vap34s+4B2XlIKKrDCre2zvB5aA65dN2yGUqt
kKM8+V03h++GOMMZWi3cJavWueQRA08IT0Wm7fLjhD4vSjyRxu1NhE4j2+m2ZzdjNFu7576nizLg
fjJXJrVjUOUwwcDMYo5TW4YqzX4AdjGhFzLbAHknfhMk49FcPhR94KKKYKIB1Rza0lsGNzTvPupR
6tc2KryxzHWE5k1Bkhg4BxoFSM1tLtANV718ctanXW1EPOtS88K0j+jak+86hDQ3iDNUv9M8CTS4
EUP6yIeRkRPDVf9BiNaCo9CiAtiByy5MqUBbU6Cvz8hZh0DEUwWvgOCglenZTi6WP006Q71q5gwZ
fYPUYwJGJy3uBeSuIR6qtXsAgw/NogIE47UMTYrLLWEJoFPUi1ZacuXkWAZoOT6Fg/PaY6H6/huS
IhSDXjNmUA8v0JkBpZOrp9Rruvg4tYn43I+9OJEhEt+6PG4+mWV26dZJhh68xmwir1yPAqdalUpu
soGOtuJEYjBWQChblDPyNX6YeZLPJ4HG3TfYI8XviZfRrpK4/IuSIAqw2ndBYOAg3Zh7Es0ZRK/Q
iwlKSI2g4TbkifdtRrXx2K6J/ijtQt8JOiLXGnKRf8QHhu0a84beCteg2MdNnYcf/MLzuhMNSQR8
rh6HrcxILf6MZ28VwcxlCRhUGpSOUSLGqCl6i6RuSVBk1k1uAduDL/DYV5gVJYeY2BDeTgONBS7L
VLxHHBneiYHNPe4HMKjqqUmCXZTIIUJbywb3yOYsPiowqpL8bhrRMr2bUMJBChBKXsfEzfZ94oLl
uxmM7m4KrRAQiVHhUfG0zSq3OZ5UoknyF08mwSNB0MHHPBJNdyybi0/Q1wnQlu2G7NvSSCANXaFz
HLXGZE//j7nz6G7cWtP1XznLc7iRw119zgAkSEpUpFQqVU2wKsjYyDn++vtA5b5HBHXFrh71wPay
y9IGNnb4whviusoizCdMyHlZWhWWGzrI1Lg2RmpiG/Zqq2xkm/IA91wZgLrMktSnvGcEsatVVlvP
Ua29TXKqeeshKpXHVteTT0bQ6je40I4YalUoZq/yYBi3YBN0elFaFhWIgEoOglqOEM9V0/r1Djxs
gBmOk/wYQ0gRbjmBLaWCb8npxq78RPbMzDFus6Zlm4ghopFjBvpAnZPQU153pijuLVpjf+lq2UUI
DxMSccZTdnXtIAWckEyB8T3Rm+g7/nXgHSf0cXYB1o3xVZ61JJ4qlwGZjGkNl1TiENiuAqsO7zNt
ZrgZWZWfQZqegigAA88gCnqLAFyXzt2+XFYlSt60pFudIMwR8qaQawVPSWE8RkE9fPq4E/0OTpIB
dXwb7FldE8mx48ZpnTToDeC+gX9mNt5ofj2s4ppDNKgx0/KVmOoaOcZFmtT9Wkids2nT6Jym8iuZ
bQHmwFUJBiGA9VlvbQFQYbE3UPtFCrrbr/a0JzVzLiZpN7WI+m6NnjpBpQhQx3a7SXAV1Q0XwZq0
S71FTYWK7cezcgqYocsKqgr/MiqEcHOPJ6VRlTwVJR6fcKuzK1L6/LHU0vAM9PadnjXcbRQoZxIJ
etLLqR/1mj7JlHpygIQcrcueE8A09kE2ie3vvhDwHxj+OggdAuLlshJ0SMskcDLPSTrHbUXR7+l6
yGea8KfNafxlHRttAhA5WC7Oi/sNAi5P+XD2kPJCdcUhkFrJSz6V1aPhm3BRJ/zsKqkcHj5+tfdm
kYaHoYD0nT0I5j9/Myj16R7wlJ16kyj7VW4P2k53cn9Tizw7Ayt8d7OAuZtJ6MA3TlgIEkZoExD6
zNNF8FS0ebfVuq5e0dnLrjDg8HcqQokbxC7rp1ybqlWSqPk5JdHTtcmifPMMi7UZqFKg9Y3D+w4I
BxFZJdmVkBL191EOswc7Ks2gDRBQWaI1LayQR2ojHmOZLglBG7iGT428mTr9O90ZQoMo7sQXkDXn
tJPfOwSZ4Vm6D8dnFGiPPym0yIkTKcq8LNHbq9AqQVKOogJbgIxfI9FR/ngJvTseGjwm6Gm0VdQZ
8fFmCYUFxHwpqZCflZPRo3QPWFuKzU1n0J1rZz3ej8d7h5XKNzQAXwBXsTh852/8ZkA4moE8Gknm
+WlSiIt4ZKRVrhr+1dib0U01aM2hrunXZZjaYNjc00bWYmkyXVXvbC/IU+MybWP188fP9e7SQtYM
PU9UyM1X8Mmbx2ozQwt9BCY9nJXjr1ILq1xC49n9eJR3Zxt3bTDcwGfIz49fXrRDQzaogi2bqAeE
jpTfxkpPq5qM7xrb9nPo0XdOJSxeOGlReKJivITGC7MsjY70wMMN1blQ27bZ0Oc0KKOB/JL9xrif
rCrvfvctZ8MDZP0Q60FAWV1qlE5lrOjErZlXZ4X/YhlR/AQtarwplGG6GHUouWfurNPD6XVEaNXY
IAEPXPJGRTo4VTiK3LOMJkKB19Af9cShlmZP1ioE6b3KEpb3ODbU8RQLTEUKKubjb3uCjZqfAalU
Ewwt6Mgl8LqpOj2KRomFLVsmOlaTfRnrM9etowCfJYG6seXCXkVl0v6unhwjw8xhyhF54AEWq4q+
mtb4UY0oOXbbu7YpAw9kSu0WY48pVKef0wY/WcXzeFC28KPnnDqJm7hCx2Cc0hzTGzX6ZguzSNYW
KdX3CaHVcqVO1Tk7jZN1zIgz+Xj2RgHVtdRZGFKHriBYb6hVHUZ0llnfdgK0Soj/zh6sg3UDoMI6
cySc3K7zoIDhLUSZQNsujbjDtstslOByry3szHWcCXYkrUzQgsm5GOW995vvb0aZAQynauuSqtM2
ybzQkpPSNaS0THdohim2q01ysyV1iL9mTO724zX7ujGOok/eES1hgPRsVDSDFksn70CWgA8qPAnm
2KEhpaU+5mAFnkS9hkIaQrVP1P0irywC+zOo5IwyQOcHVwJ4Fj2KgBxIAPB4EELxbTdR6YD+D04T
CFNzkEhf4oT+S/CpdcL0c88u8mwnUVjzQB8XW9uhDiSmsbv9eE7eW93UVkHcE8/N1/DxGR04ZZPq
ZPxe0ZcjzKVEbAZJ6HsE62KEr6JzzNhTVRO+AbfhzHuD1sA/jgcszJTWaNoUnt/rlKBlf7ojuAiG
vY9z1a01mlPjVaPQvjSSat1EcpbemWpX+W5aTfp9UQN9//0pR2KT45ubCvbB8jLsmqLs6swvPOxv
U8+p82JHDUZ4qHIpGwv4w5nz+52dpqDA4SCIgQm9tlRNoF6hZYHcM+WRFu7aqvlujGbg2cjlbD7+
uCfXPPEczHgSLVTdIAQsQrtJ94UeqLRPIqLl2jXlUHtBJu+cuuHpXTCvHyS4+KT6nBYcf9Kgx7AF
06/Si7NC3gD5QVVa06RLe0p6VzMAbJS+pV2QMpyTpjrNJ2eyCBBdThJIYmh+Hg+N9bmTW71Wehqt
SRLoGJCGZYl1g5hV5xWtbl40ed96qiDO0RunuBVlWz+TIp1z2z39qrgiasDaFUNhJy3FteOePFIG
oIFEgO3vpKEf/nLg7dz1jVG2Z1bsu2MRV5LGU/xH3vH4rcmGbVDQjGWXcuMmg4barhJN7jCOsffx
EnpvKKiVpHvo0M6ihMdDZa1R5JNtlJ481vqaJZZcqH76KVbK6MzpfLpY512I7gEiwqhVLk8i2iYa
0FeHTznEU+1SIQYjKuqgCM7M3gmhhDWDmLzC9GEDxn1w/EpwxspebyMspKrxqW7MRwkOxHrqotoz
TIynJ40ClDWDEUqpjM9syffmk1ek+DHL8HDhHg9e57I2iom37KXE2VR0ay5AJ4W7uJqKM0OdXrOv
doBYlrP/iSUW7wn3QCmAy1SeFRnNJilk824kcvJkyy8A2pAjGbTdnOpMsePdPWnRQ/uvcRdkANUs
hRzjrQqkjDOhL7vgIk1tZaNmRb3JsKFco3JYXaSR43DDNNXDpFf2twyz6nMn+ztLikSPXisxIdWQ
JY9m0gPUhuOswvujNVfg0uXLNCqsM/P87ihEhhZazSZfdTHPKYYIgty88kZ6q2sqTc0+p7b99bc3
4iy9MDNHGYiay/HCQXtU4WosKw+frmxbdKPwcKtT3SFThjMXlMmvOg6TYBeTzJC4QSHjdD0eKkcx
L7BLlQ1SJpVnJ/hyBrWWvQzsJ9cekMc5syPfHRDbZ5l3UGEczyv5TToq7EEBG2JVNJuQceyhU6+T
2PgJsgD6gREnZz7YO3twPjfRFEM7Bojz4lrEgVng+5LXCCQE2irMDJmCRyKvRib1zGZ4b20YWLdC
NeRiQPv3+M2ATltD4uCQUTHb90qP69faMZEZOPPJ3huHgJqUAckW016yRfCEK0QcB0jvNrbtOX5z
AxPknFfae/P26ozJjrJgGM4P8eYzteSyUuD3ldcLB5lYOgWbwGqntZGxxT9e7e+cXdh3zT4VRBW8
2OIMqRWj6aqhwAFO12arXyT2/LAG79KFwzV68+aqDbvfloRk2UMsorY4V1+tpVsZ9lqi6KK+9pSU
pN2p+mo3kyuKsVbO3HXvzCTngGzP9smETku9AAVaYdY7We3ZEVYffYytXQRveNXb9N4+nsl3VgbT
iCyQNYsTwCg8/mj1zPkmdKq9BAOXO1pQlqs3Rndmnb+zg7nRFGISKqaOsfTzNDMUv4ZJZ50n8ehF
Ihe7jMYb/gr0/Cgj/w8iIBihlIJRk+UwXFJQVb/WlGRsGy8XUL5bebDcMiMCjFIx/Ko3/MeP4f8E
L/ndr4Ov/td/8u8/8mKkLS6axb/+67Z4yR6a6uWluf5W/Of8o//vfz3+wX9dhz+qvM7/apb/19EP
8fv/Hn/9rfl29C9e1oTNeN++VOPhpabm+DoATzr/n//dP/zHy+tveRyLl3/+8SNvs2b+bTQXsj/+
/qOLn//8w2ZX/cfbX//3n918S/mxzbcqf/nHRZ18y37Wyx97+VY3//xDMv9UOW1QjVZJ6myU5f/4
R//y+ifWn5zn8waGXQ3tcS58ZnnViH/+Yap/0jNAAQBhCQ4rYr0//lHn7esfKfyRjpA3wSYq4uRI
f/zX4x19p39/t39kbXqXh1lT//OPV539f99jpIuIEFPmpYY+E1y5V46XPuZpyGW1mb4KrbC+ryNH
uUCT6RFEcuihj+lfUEbjEmgn2t6FZGzBkoQ3kZ+ol2EEtk5B9Q0PP/EQyDFkp1Dc2D1cdFAE8f2g
WHdvJvfvp3/7tNrxkffraZkXtinkbGTUF5F2bxd+lEuZthp8ugo+yacF/aeyHwstN4Hu6VifUq24
UFG/oBsAA+AgQCniH2BFygX8Evw70WJINxEA0p0G+wrEdtLk1HLaSLhGCLPBpWT3glZKcyODkr+J
SiiBxajHgnJzNN0LU4XDlU/GA11yWHG6AyQAuhIO6ytczSbbBXPdfBLoj0XQg6X4DrSevAoTq1BX
GW3arw7suXPRgXKcX84zw18qoRUuETONdnEZNH0yAY4r1dUMojGiZtw40EC+wJ2Q6p1Fl3YV2T6I
1k4oN0URNpZrWdnwWBQWPZkgCwFJFKHlJfIoFA90n3ofljBhAWcb4PJ17ZwA7qt28PHCg6+JeBUN
VdmioLB4YLqwNTYEhrKqNAC7TeYnF3JuzEgqO6vcKjTEpawW/idQ/UbjWr5q7yxfe1Th6hW8y9T5
7qAbVxZsbFggQWlJbq/J45Ncas2Tn/KOq9aPexB0fi0OHaCheyDgLfbu0wgCjjimWNGTgK3Wa0P0
dUITpwLQniCLj2qf7RpND1+AdSJ+tpMZdyvKplhByX1mr9qxGZN1PQzF/dQ3jedLRVsiUjzGA9wJ
8Whlvf/cakq0oumeHprQKr61Mq8RGRO808kp2l02BAJUWmpLX4TaVrtRseufNdGDC24fqew2T6tx
3U3gUqgTSnew7IrbPB2T0HUaJbz/eGfNx9qbePZ1/RCDaSaJJa0OXvD4HJCgY1a+LCkrCgXhtrJ8
nLWsiCnREtsPV0NQoeXRg/52pcy0vUwJHIxyWv1AVTAxVpJkumaNRaFedXehFVlwaDRZAV8SINaY
2Fp5C/vKoTsIvNdw7T6Irp2xoGBbTj4CWb1SjNetn+8KkVW9W6FLrriyTgw41G2w6pXuavRrBCiM
pNX5IakB8zIi9yEgXHzLMql9Srp8ajZxjHZoDlb/OsPhFA6jGUcPDX4McJT8sVppMjoWUFuDPOal
RggRei+NV9AMXKXQC0jn/pgj2oARtSbXGGnWarpHW7i+hqxomJuyk8qbMa7HdU61Zd8GI0CJcGiS
eD0lenkl0hm32EIFugtV81aq7WGdgUsRuzK+V9tSBjo1iY1MwXxDL8T6bI6pUQOrNsRDZQ8QPaxQ
2kuqj6NuGdTrKlXsJ7NMhivk0ZKDOjn2uVTmnaNjbvA7hPok3OayOZOoE/RapVEBoLO4wrGCb0sM
eFPiTAAzQjOxJwMOmZN7nmmRv3ZAlocA9W0qGfQ28UCbz/s30TJIQBvEUaSuarXAAFcqhi/RPK2V
oe5ru0suwKmXW/w4UjaeWGEDXKzhB4pryUGU0ClYKn0tn7NlezX9WDwW8uOzwz3JKmneIohXBj0f
7AQuJ+ouWBvoVreNihpSd2i17hTNAmuFhjl6Ct+g7Cu0+6Ug+RTkfrPKBeQ8U+vkbYtM3xrElHwp
hShDok4TXAFbH1L0/rUfRAXlqqyNczYf1hyrLp+dJ6fCOHt9kA0fT+nY6hCrBTQGX9KjKzOLxgGm
mTpmOz8GrewT2K2iqHKe5SSVmlUUV7dxUfwF3RweSWwIqvVW31qRi+uCyt/TVL7V51IWuOkCnHFY
DRvwpUC1FJChq75HaMD1M/SEYMq23hhO9Q3U4hKw9ggmnXn8DHJuXCmo4Ho9Ym4RaEy52OfVOP5U
ZcjJYJVgDdaVdBv5/e1kVhJoVdMKH9XGpPkgx051y/+XfNNGXwfwpAjrOvKHcA3OIbnQIt0/GDjT
3qRZyMqVR0DUFVwCQOx72APw4qTesfcUmvVoRWAQbmqMd3ZVzEmlg1x6VhtbPCR+pDynIXrdbqiK
rltNkhpvp7qT3SwSE7OpQXS1oN6slbE21/7rfUEyzJ99fBQrp0EOsjS0NhBpB3SA6uLxF4wmLqBR
UZTVfNs/gi/ToWVB5q6ypPPqBg8QaE3YNIPe3mP3Ee4UmarQINnjNtW7zqN5MPOMLNmdhrbwGqtQ
YEiZ+vbj59TeWWnIyXFFz60KGSXW4+esg24EUSpzZXRp/LksNXsvAfHWAl3ZZJFpblhB2hboNp4B
wgxWVVl+Kbu4v3TsPtqq1DFZY7q2aiSAsBki0RfQTcs9tWHQ5kG0UeAsfSrHyVjXU2N52NCNd4WI
JM+pXONLDKcUOLgpttAB0x1YmnOCHYtWGHfi3DkFcEGZj/AYSMTxC0ph6NvUQXlBJVbvgkqPL+VW
b1cyfAm4GtTncoQBrpS8HLir1mAjO2dAO9CEEEtRGD57a/6Uuc/ObfJF+fDXkzmU8zmckN5Ax+j4
yQo79TPZTJWVkunRHZJonSeNVbtSLGQTbCXZhVXmuI39bIJlI8C/HNre+a0K0eszgJWbZX8Qq5nx
BMfPEIYQDJE8hQFV9D+MUDd3ndMpG1D905lu9ivk5OhM01ldFvgbrghnTlSOhxrqMZISGWW7OhiS
O78s6tuRM+0yr0PNhyJhFHe1mtVfc0sLnmgaQxX0B7V2O8OQ9uiOhwSQTqJ8j/N250xNELplonem
O420BgA+TNsIcY+MyF2Loy2w5+nezpPoUS6jwl/FefUtg76QuAouQJdW4Ay2p2vRmS6jMS+nxVvS
bqXpSrcCVtWy5EaSBskrK+VVT3izzgZsjehIZle9sCewwrqOAQe8GC6gIGrcutdv8xnJsS7aHv0F
cLMPdQSdBu5DFwXwWEXxAxz8+BBO1V4G8fCYVohZuknRwUkcU7v6VuqT/URcYGw6KcgbV0ligmkD
Vn1P71bx4EXo7kz5XttmYa70biQpTy3t0heifQrwEH1OKMzsNdqQ3/tGJ2AuQPpcxaVq5vBLIFpD
a8lRlRDxhTI1NLLTkqolMiOPZtMOzwVSAsCb80/kXZ2yLUSdb3UlutVS2Ue0ulbDX4v2twoV/9/y
w1HJ4sNyxv/CQgUh1Jvzey6EHFUq9mEVfv/WhG+LFK8/8neVAsvbPznIqbeBvrQBwJIg/CpTgHX4
0+AMRG2LvxMmknT/XabQ/yTG4CepQiAMDJyPjfl3mUJSlD9JQ+f/TGMMj0bD/K06xXyZvNkcYHg4
6xCJ0mxAg+j8LS4bI4ypjAdNdzfqPXSQHNpW3I0/uyTsf5ZljFUB0nvr3MxkN5b1mvYJNNu+NfW9
iqWK92bq7n4N+7YOsQwQeRoSBko3Br1cZnEJWUNkJ0mFP8V3fVJMkHW0S0VOk6fBEKorSVm1S5HI
WLchBi4FB45XIMywDhVnJ03ZV41t5Ta1na7L1K4fBy2pth0+MxcmCex1M/jDVdY5zwOyAuuPn3sZ
Wrw+N2Az6kp0D3GtX9wbQ+TD++yk6E4u6oskk7dZ1kSrRKnlNTXL+D5HTfDCnuzmslE75y6zFWrK
KsorsJcQdoCD/aNNu/oJNtqNMVymivLy8RO+3lzH39kklkBcGEEnsERL8DNaqToSIzxhCqX2oKdF
91foU54SNAc8ysXGXsYp0Z1kNCNoiCBLPVmYVSoUb2wnWYu6Lm910Br3gAXrGyub8m3shBpkYpjm
KG1lmyHskl1uB/Jt2bTBFYTY0YNkaK4hB/pnbi5juWy5sygpows7l9bIKRYFK6RMZhGVghhbM9FG
6uQKQ42xNfSNzR2+DmZNqJUhpkNtoCWy7xrkAaXGvA1rWJOrkCIFKi9BsrXQIV0HUt3cGLhWxPiI
t6QeUyH9AIBu+6vUdFjuiYQvr5HdQQxoX7KxJn5Hmdl6LIwHDaTzmNf2VYmyxRbNE5jq2GApaP3Q
UFpJRZLvh1FDAcgutOTzGGnwgaUw2CgIfnyeokF/TOC4ZljYS5Hj1uTpX/3cn9aK2rzwvSC7Jg2F
RuDUtnNDTKXSxGnC4llvht7zA9QQL5NQqc6sl+PKPXEyIHnuylmanBiEaPk4MpBjA15+HeYPEyEz
/mWKuWnsQj+j0rwA5JwOs4gE4To0hp2L/KGZwmIrRUDSk6lygN7nge+Cab0uFPGVFShWqDenT5kv
Z49o2j2mo/T88Q5Z1kABGejqDCjkLCZFoGt2/MpIDQwRBmDFYUonImvkZG6oRlprE/7OVasoKaQy
p9r2g4BM2PXKX5i9SFcpR9aeBvrkZtAOLvXSodlrzXM2cwrC0WpukwhF0ZVUaj8H1TG3qt7v0qBn
r1RmvVfSWNmZeqOvApihhptV0y6ZmvizkLvhGu5KcVvZNoJVIsp3RlHLd07SKwf+Sl21jMonCu/2
7uOpWIbBs2kOCDUgUjA2sAZZdlSG0cQ/Rgz+odBUNx+n64h5qCPEZ2RnFfbmpQmFKmiiTdjnD2V6
zp5hWb5gfL6DRmsKhWIbIdtF+aJQw8Zs9FiHVquXl4aPkFVm9ZdmAm+x9Mdk18t+iDwM4XkfmshK
xSh2GFoTrfnvWL0rMWoL8difiSRPNsX8WKjg0p0mRbReE7c3VZWwMVBkrgftQIr+2SSbvDFQcbv4
ePLnq+LNQf3r3bmIZ3NwgAxLmPhIPcNHIEc7BKGtbU0qeQPaABdAtc5svuO2GXsPbe25gwVwiaiE
VvTxelflCMEDLc4PU5RCr4PvV7slJY51nY3DE6Tg4cwtOf/C4zfjoH6lh9gAtU70kitRdm2iADoP
6NVB7L4doByRaf7swnhdAc1AlPecmdY7S3nutL+GSjR8TgA3EbAsoMxdcRiQpeyn6kGM9mqqMGce
6u80LygaW2ANtLUcib9U9Zzy9ek7U1ajiTyDYJTZHep4kkMz1Wuh98MBNiPiC5k53sdhi7xh1/Sw
R9XvPJJ6qaNDcW4PLxYryStlDrQ/AYYYLNbXG/TNYkXOoy5ahDtu9T6bbmTK9qmk5Jc9NQcEEbqR
clkdopzmI8g/xan/GbZJtzHGuNyVrd1+4zrK7yK/VM+UN5adMY4WWGCsPaIQJNJUbXHOwmJnZxMR
35rNRNpjd7AMyl6l6lf7DxONBXOAk9/4sQZuyNlb9VC68dD/tGNytNLKgC0StGwEohKcR8jDpDN1
rTRMroeiOGcCsQC8U7qdAbFEx7CNQPPAozr+gpKaRAreniik5N0KJIqLCtSVYlw72rhWMyS/G3XT
S5LrJ9OZT7hYO0C0oKUAiqZYQncbg7bjkf0gy6KqRxNpzBo4viOeEDgXukkvDW6RKMYmL6do55Tn
6taLE+h1XFgqAH2oCJA4L95YSZBa06m/3Wp9GK5r1DDALFOypzbanKl1zK/w5kigdQsimtIDhHVt
9mlfbA/MmpTGCs34bkxk6cbqpatskjDEhMcHr7QF2w/p9ePzdVF9onyLsRaRMKgErpcZA348rSkp
VwgBcDoAz5tcLYVtpMX1RFSmIdppzWwkCPvphVa21gUlyR++XAWb3MqUS3mqaHH1UrdBm8HeSnIa
nrOWWtRkXh+PCJ2etoLjjUXx9PjxjEFEGffXeEiz5lOuxJMXtFW4te3RuUK/x1ipwRi6ciuLZ3QR
+iufOvFN2LbVOg6Tfm8lYQ5pS0fYqy9MzzbHBC03xa5cVPfEF72r4wt1yhASC62VH5pooajRdF3F
ekmDTH9u7UnZxFo7XGp1d87oYHGx/3o5sEgA1TBumTGIxy8X1rAh5aCbDkmUmCtHC9u91vfQ4AFw
tJDNdWmTpEp9Gdnf2zRxdVEMK1rI6T2L6JNKpwrefTq1Pz5eEscbjaea818KwyxDilYc2MdPBSG6
i5FFUw5RE2s/DbvNdiIrkQFI68wTKOB9AbFVbbADOhfpHB/Sv0ZGvY0wCy1PZEwWa1G26IgYWa4c
QmQSIAxJwWpAKunMTX+8oedRLA6uufatGITyy/cDc2b2kOqrA0dct60043NZl9YaQJzkfjyTx/v5
10jzZM6GKDTMlygtzawAo2l5dYAcFDwbOY0LNMz2KpIRbg8KPETtLTsz5umiogxCoEi1BGQHjaVF
LghsaUC1w2gPsNjzjSkJ9Q5hiNpVc6l5iDh8cGQY+6cWs004o12DWzINzNrU07WmD8EuzHD0QPa8
PnfSzAP/+3SbZ2N+sHkP42hmnRDwpn6AwV347QFMLgFIqCpfQ1Vv9z7uMBf5WPh7xFfz+U6D/S8X
2SVXS0TpIFbXGcUKkKzGJtGNYDt3t5Htab6jX/WiZ1K8arLxrH7/cd/h1+OCpIcMCbmWfyy2gQrJ
XZG0ojpUam9sprKnpZabcrC1yg4ifFFesknTrW5V+sax2+HQdajFu+jLia+mkOwVv7O+UJRJXPla
HdyQZUEvgOOxNZzQ36dojbyoaEldBlWnreIyCPdOQZGg0+mRxoXhXAkVKhs6d8VNlctf5TgunzgY
KuR0IWXdIOjIdTf11Y3ofecAd8LeiAi4dqsY9WVR4qEp6JDBQkvPuYosYCCvc8PxwH01n80sscVG
tc2hTc1OlAd8kjFQHnN/54+lfmlIsyg/kqBXtSzsXde3d0Y+TZ/9FGVZf+yegdelG07exkPpIHBV
Azmv0YnHm1FCJ8TUlOz7x1vwOKz/9aQgp3lKWJ/cI/Nh8Cbui9pZW0NIxQGhzmaHIl+x0kIVXckh
MaDVGpP38XinW55ofmavwDvg7FzymqImgWdq+MWBNEN+bkcZbTsKH1XoUIYZG/PCMVDp+XjM0wON
NIxzGogVtmbAK47fMbVsijVVUB7yQYE2rGLXJ1B2QX5tkM8kLe9MJ+QDWrKYELEATip7Uteh7sVQ
NrrGroS60U2O0vIqBNt9mYCE+e3xHFOnSS0r1BJNqrzHr2bReBPEIPnBrh3psS96vC2wHUbQqOg8
RYqKM1CBk7uPeBxvOLSTSZPgBCyWS103iPV0IVWPvjJ32FcjJxOKbmOGNRpNJl6dUYGqdSV37erj
j/haQzo6Hucqgz6zg1g4NtnK8asOZmsWkcmrws7tvwxlOHwvcJN6ou90o5aGtqVsi39AKKs3Uhka
mxgVlotEVL1XKFILXkbN13aXtc+xmmVkyQAEdImeoBNuTX7tehi+SgqXDsJ+1S7TNWlV6m31uUWQ
+3MLMzXJHJRTxjzcYOyUgdDoxn6X9E27z6f8DEb1ZMXO7wqwkJo+PheARo/ftaj8Me07lhFil7Vr
l34InJh2phiTcffxvJ5syMVQi/Ddb0dkyRQOALuQB5Qi6+cimwmEvfMZ/YtndWyUM2t20bHmzCFL
gtZIMZasAV7LvInenDl6p0S5iST9gaUqXw66LbWoEjj5s5mXSCK1IaqayEF6VY9eZTV1a46I/Abh
MbGqYEl4bWpzD0r2JF/okIeltEi2EiJfG/xww00BVOZAS7Lal9qQuSPmp+4kNS9zWuGZnZTTpIfB
krtTPkX70p7W5WDnl02anXvRRTI4vyj9Fk5/Tjtq6KclDGks8txu44M0dV7DaXiljMO46pBv32Qp
ImvOoD+ITgP52CZO5OrD08cf9+Q4mh8Anhv8K8QoyJqOZzrpO2rzcRUfBskXVKGBH7ykvd5vCNab
T2OfxtuPB1wUUH69sg3DjoYMjaITezk5owEUCZEctLA0cZjyNxqZrpFzK2cg+XYB5tU3WVcF60JH
OiCk9+kaYjhXFjuN8nhzHMvooplUaPE0OX7ztkKFF9HN5FBF6I+3jiO2sW4h7mj7/uS29Yvq+2Kn
BvSQ/a7219zJVNOBbVBJMO47H5qPiM59jtNtTRePFJZmFRUWpHQWDzV3x22YNwclNOzPFs3w9dSb
oWfEknL/8YdY9MZePwTVeBJD8mXqJ8tCBMAkalnkCwd4qDGOICJGHoouC+pUUEm8LkyDy1ZDsV8B
xLkuc0ndQIZtL0f63JeZgkqUoUvIfNtZFG8VJaiBIOY+M6dShWuq6cKag71VGxvGzvedXJy5tE9y
HTqMICrn+xqNNqpyx3OlKyh46YJ6o26nppsNWbihzmmfOYsWqhev0wQblLwegMmM9lmgfDgN4P32
XX6g9f4SoveOidjnvES20wDyiimHhJi/CP17TQpLV/JbZQsUZ/wUU+RZJTKCXR9/t/c20OxthAQH
HQbYJPO8vDkc/YmWWOhk+UHKSLnTOHG8eFSjy7AwH4n/pusM/emolvZWOT2qad/uunOJyCKyp4jD
MgX7QBQz+5kuuznYELSqBBf1XqFu4LXN1K71WP4rNXDrSq26wtfEsjda1rVeSikrTc8xvReZEA+A
bzUg2JluAix+aZyjRUFMN0+uDkUD471A1dTL6+gpi3CDqAtpVSNvvY6QLkTqVvk9fhIvPA8ODI0c
mFVBLe34A8hJY4CaKupDMIQ/VWnUryiGn7WjP5njOfad55iXnP3jFuvONKpuKnqzPVBatbea3qMM
TFfa5XPklTtqyINGhZnvFYSDN2gBCFcPEY2QhPAfzWKKDwBsp29mlMc3SJMOW02J/efRKYIvQS2H
oDc0sVHF0G4yhONx+GyMjWjVaROmiLbOBZtdAxca9nhw6/s9ddO2q/cD1OOtpYjnzkzSLaJ1Dlxa
RHDNeKzJMXvJG1GG3k9YXF6LoUxQ1rMirCYszZVrNdkItXZcv0QIUIj8a1lu8nHfjWG9RXquvAo2
H28VdRG6sG8hYGgkygbfbGb+Hn+ptFPiWhu06VA64Q/0+PsVMHv5MkmdEMnsdFLnnB6FiChU+60f
jMVX3He+xC31Yrg/4fcCcajrrqiKe1s0vhcIUW+kQuRuF9nmvshae22keX9riNFZOR2MSUP10Qlt
81G91jpfXddVkOymcpLPvNri8JvfjIubyJ4EkiLTcnVoqWSlmBXIB3IHMEbRIN1nofDvfn8CabFA
5wOMRW11CTk2Q7l3Br9SDm0yrHMwc8FoeRKFclNUG1tpHoRtwg/XtyHHXtxnLva0d0q6zYKnoL7N
cP5xtfHa7hW3RcYraHZJ1TzGiDTbfbgaAemy2dxC65+g3Z07KN/5+lRl4UdjzcZxJc+EnrcHZT/2
CJgiEHho4U4gc4JIcYVcaObq6pDA4EdPr0LKO6B7AarbVWkTIpQX5dd6WeuuqVPZ6UZsIQuAxKuy
6y8nYf/ogPdvjdZwLtG8ze87mQaDLcnJT9CvKB+hbAsutQvWsCFoc6pqv8sjJzlzdy/LB3z+OV4j
h8RiEjbQUj5MifQ+QbdDOqA1OW58LW9oDQd3ydQNd9PUFdeVJJyn2hybtQZI2O2t0UDFEAuGfKQz
HKLSV8ryWILqB/nscqREdI8Gc40RTnLmBv2/7J3ZktxGtmX/pZ8bMszDawAx5zySfIExkyQGxzw5
3L++V1B1+4pZt8Wrt26zlpXJVCamIhKAO46fs/deH2oaviseeF7UlykNjcOf85u/vK8C0QajjGb7
oTUMi0ZzGx2Jly5iAXblN0eV//Kj6Bdy+rMpoT6afYkR1lWGxuPBRiXN+auv9pfAbzBGzfLw90vj
Y/3456/F70VoHH/xEvr16SKm2JJ66pwHp9TzQbiZldQqW2gZmWfOv5t8aItjFYpsr6zoZYoUMaVm
2idTkenEtlgdZtn+s2r+53e68N3oyl7Evh/HH24bMbzTg/NQ5PIHtXTX2PvFT++hKAS/uasfDg5/
fhTvQW7oRXr7sWUiPDMPPDQID6tVPxsRam7RFH4CowSVfZstv0HO/xdPPDsQ2UzoCDC1Msn/9XJn
bssTDz3zIZqd9s03oijG2C2SpnCXagN4yPq0SjsYkyJvDjoNjW+ht4QazMuKI87nyIH3FQAEUq5X
ojjToy6K7mjR/GTs1pbqNyv039889D6YKmELvAypP/Y+5QI3cOp0+ajhNSQEBMl3x+qcAxohgpEr
ez4OTeH9Rk/wsTTkpvCWQy1Gv5Wqnjnxrxdp6RYdWbDPHsfZ9o9ly+ipxiO2U7WhbocJFUgzr84F
yNYlAtTnLQGdObQ5Pf15u/6/fPN/XCSEf+MzRWH8/v2v2s3Ln/9Tuok60700xohCihCaYQb/D+Wm
4f3Bee8ys7k0zxjfXCSi/5JuetYflxgGjqpIM+FCX9T7/5JuujhMaQIhbqHGYSWSHvYPHKa/Lmim
wT+1KA5mzUvETvDxOCh6Lx3SDlmmn/erOKxksLy4gvccwNER9ctsmvFfLs3dn525v6oz/+0TPZcq
lR0UOiwC9Y9rxKyNbmIYDBCwGZoY4gt8Cy2lZcbtOgzdzrML/Ztl+WHX5vdCDx9ipeVWXP73MUWo
7T0gCibggdWHCUiGviL4niDx0tlom8S5NeuCLUMhokXAFGafCBEDraYy98fqDNWb7OylRVnlrK8R
3MBw9/dX5Ndd4/LtKFVYukjLfw7LP5wsHITYDNecYUNGOnOIpeENnqR69G89ct7BEFQyTBqvJaf9
7z/4wymXT2Zz5RmyiP677FYfo1yKGT5uPhgtSd+e0cYt3fI9W5VGKN7ms3ksWnNm3Obbw+2cdYN1
RmyOMQqcDVZEOufIfFU/F9WDZ4npd1PADyP2n9/uwtJGpswiYXWwBv5aybl0KWrpt+0GdcmKcpdJ
493gjivmIehsm6Gvi+BgDJTyiecPCk1ckLc/wA3yLInaGL/M3lTc13MjjOt8LDIjUbxBfpdOQP/o
13PpJe6H1GHEfni+Q/yyH5sFdVj40epxMUov9Y5FloIBc+zyLERlHgJz+IZbQW8tNxpe8ky6b31T
wrRxMS2gygPjocrM+wxc0S02VrOM9wYnp7hUlbA3czj0/hGfpvfJIb8/T7oit1QyLp71lWaWwiIm
iRRmFCTyfZ/BPEjW0Jj0nVRRtd67UWG96ZQ0+UMHlQTwajcPjbhjEtjAdYhax7kvI45EW2cAvtJs
0DGUnI+KHGQq0tZhXXYVs7jyLvdlse6zADUJECeBhntic4NBtEyk5D8Gg9dZ3Kg1fAvga8ISKXpj
PM6VMe0W5dXNflq6UoCuNAIye6zgklta8swZekKXNsy0o27V0qTqqBlEpxuznQzcEIO3ligmF2Mg
WECuX7MgR71HRcBi8LHOFFeq8DQZXVqILRsO/0XdKXNCy7u43Sbtavt+GCHWVJPw6pjxbHHt6sAd
rpuCJCMGpit/N9bqkg0v/EzCABdgtcwBAmMytaT57/tonbJNq21O4KR3cKpWhmm+Zb6X4va1NX8w
8+pLr7ob5o0ns/7UpRkk1Uk3efW0jNN4DkfpYIEWealuZ4S4iKfavnoh03YMkyiLwm8VTBay+Qcn
j2trXkEGRDp4M8mF5DzdlSGAcLda7xB5sk/rFKm1sUwXuyKTajhw4ciWBmvTfA8HclR2ZRSl12EW
ujtfUQKBdVgcl0McvB9wuDrWs5yW7aoywCjayHgG7Rlvy7Q25DWWc36vqTu+Fa2UoFYKxmN6hDs4
oim/x646DScsdpxByXyPVjLTl/ZCsWzzaFfnoRUT39zfedmKV7y3p4baK3SWQ+rk/mNHHNd6ZOIZ
klyIgvUe1kOhNstKyPPGGjijb5thaY+916HlFZN1wuP8FaAnOQE+kKuvGlac/c5QadiNpii/qdLz
aMH5gq1qcNRqbb256bdF3cxk6/tn2U36m1XNKKrnadwzxlzevdYur82hNJ8CiA46diK74TvodaL/
MTg3U+rVx8yfx1dvgKhIXCeUA/wCnIbdPM7Hqd0R78Lvr1ZbcePDbJuNeU8LxWiXXSTwa24az+XZ
dbvJ2q31hDUbYyP7uBytd52FA8rxIrVfrSZPvY0lGvAM7VIOh8HzZriZiKp2hGN9h19WPhmlG/0g
ystT8cTPw+waq/qp7UzH2iDZKE7WsBqxEmGQuI2Dr1OP3SMAIFWhIm/KV9GaAkRfuGSEWdlAGC1u
t01ugsgQM2QE2dfjyP6lpdKnAAH8o6tL761YFVSZ1V5jcmkhxSBWP6JPb6/a1kf00Zlee+7ofVSQ
QH1y+dtJlNPOLyEG7DCCU4H2lvG9DaPhug9WvZ2tDiVO06b5ieTEHAoo+Vo/2pFjIfgrUcbqktq+
EZJYhnXIQsCGANoSZjbIrMBoxlYZumeRYa9caXXm12oy5ugM3BK3wVJZ0AA5zeJWNodtJ4sxihuT
N5dp6lsRGRDQOuARnzqHkwrg+8y5tscccNncZ3dhYxX7UghT0Mydxu3iTfa9yPSUcGWcQzCGQBKw
mL/0UdcWcaHADGzy1tC7aLAXi9O/TYhLX4aHMs8CEc/SLU5q7tXe7Ctvumqzyj06jQlEIG+Zozcg
seO8auZH3vzVW4gj/bq0BhAf9Zqm95OlAS04UYirlcN6/1DT7xjwp8zzvXKA6ABJTv2zt0ShwJbQ
5NtFrfrOaIA0eKYs9CY0ARvT1yJ9YR71Fycb3XnTtHBOkape3j6kNYf3ghwD477mSe+OhYx0dOCF
bKTHhaVQJ3IET9DzxLK2hXszBrbAc+3L7WKbkkYrEnZblHNijCgnEAbcLaE8glh/atPQvsIApNA0
Tntb2Ps+sN5x8j10ZvR9tLoHq422vrDfVJbdDlruXA2A0ZjcozdcLCJo6GC4jOEMKws6mJdbj1Xn
X09Y/HZjsWy8tZKnte75J4G7Du0LU9sUCzNGH/1M43Ld9Tg+8PBH5WEh/QhVsO0cedMFiZEV5fcU
R8DWNbJ+zzMIa82X09vi9ut54SMC3j6tvx1CriNihf6lLUlfSCbTOBATvI47cwj96iIVb4rTAD9H
xUMVdee5tBaQxCZiiaG1Z5RnYv5a9noH+sgsrv1azDKxDDgJQSEHJrhc0DT7anjrPMchp9fHrsiy
Hftznh2LkvjYuHLq6jJIyczwWobCIxkL491Ta7Kp2mVncYUFuee6n9OHpncguMJzkgRjZB2hRVaa
nepmhEe6Tt7VAtB+FwCKHfeUGpJ4KBxRyDrkeiNkGdGei2bYqY7q1m2xmLojDsIsF+hpS4/U2nKX
AwpAj+SBnvJdOS4MpbZFahCrNUCxYU5aP5Qp15xt0HOs2M1r7zP6xzzawv7KY92bmv410cpQdKmj
nlmz/VWpTCXB+oUBgCC0zUmp6o5+VuntSsdQzXYZs+pbmE3O5RoFWzXgB05IOPQAy7RF+RRQ22On
lfXoxsoh43gfSsO9D4wiJRY3Ej86KzOe+7kr5q2oiuY45hlMLu2KIRaEr8RRJuzn1XfCT7nt1vOp
b6OuicupcFtSaZyUNwdD/X1utv3BbRZ40MsFXlP0A5EfdZMfeJtUt6ERrZ9nu+4eQG4OJ1Wb4f3C
vyYgxHpdwnI8BSiWr1unyl5sZqx4cezJ+sKs3zsDRIsOWVpZP8rRCZ7RapJDhXT1nSvrfZ7QDJ65
cTwx/HrpkNQDgxhCa7zh1e9Rd258kGGE98FwU83wttrtinqTgBM6+t2BQd9Ao6arCYa8CAi3FRM8
WPdZZX3pIJpvwkFEJ6tvA1QbZEiehHSaZidohbLu2ybWbb5yv9f15Nfjsp97KRLZtQsBuF3xWuJg
3+jOD08mmYEWeO+VOzmjbN65hofCYrWEvFp851xk5XKqU+z/qYYnmJoyeFMm3EaSgv0tRJxjyoxn
74ZaebTdR3nTWs5ZqqqlE+3RjlWZsxzlumbb3ujCO0k37knkXnOuJ4vcjwALuupqF9cwqoydkC3h
3hZeV22uR0Mt5Kc6dh6PkVzvI94ae7SlRrqFjqVv0XxNG5Om7wbNCCcizoz9t8Z20yvgM9Z5GIzx
2eGsDl0SMwlUXPC3ss3uCHo+Z+V4G2joG50CLZ9wADhlgXFEdy0+EYQsv3rp3D6DYJf7qvLvISnt
KeLUxszbce/CSd6EwVJdDbM3xp0Jwyqn+7azemu+1kYdJJ62S15oldy1VY2Yb4imbWkaHBj7unty
JGd04k6qvWpIzbFDhkJFIay9VN0VzjRrG2XTfBOJoIkJHcrPdlAN8dSH4cZy1vHWESI9MnLK2Wul
Oquxm06QsIwnSi4rGbzGOC/yonUEmtRx3/uhTHrkRYkaXPtFZbRbQ6fTZwl2nDAV7w1aWU0dMpOc
GdUEHohi2YvU+d67QwuThSz7bZG66bk3yKlguBJtmlzZt0at2icrH5vrGvf8yhuKxKM1d6imFVp1
PQu5C4N8OquOwA5goOogAsNLOmNW59ptxieIyD8iSVBPLSPwcstKTjB8qnATMOkBqivTPZTJal+Z
ExJZI29A/DbtVZ3X3xRuuR21d3N2Ef2wMePim5ze+SKcVMUgHjP2nXG8CVbP2LTVBe1o+kWcOyVw
0obKI9Wc1Be/5BYXYj+6QmNKmOynwEVuuPZLQyxHn1OCNH10PZcjTq950Iwse54DZyh3pKp27xGV
4feAaJzNvFi8Z9LUPmJoMK4xOIk9+bXhcwQpSjJqR6VtVN28zZfqJYQzSTqIV+MfaIp4iezh1WI6
YBCWepraKFyIUfI5WlkLr/6KmBsOLjK7MoYFt/cMe77oV32Vdr61k1P2yD0huNYpnASe7LibI/kS
pl4TK8UIZVXm3ehaeuuQ9cExplGorYM9PPdm6xRTDeKu4xFZ/FYlaH3YXmpUpo0s2I4ExxiLd8tT
QVYu2eA0y0PqCw50hK5UPqikepYPztR5QPaWKH81C+Ouygq9M+zw+2U4cuJuW1ucBfUxKiDId7Pa
Dv10o6pVntkLOLpJo36kXtO056cqzm2bd+laXNmzpxSQKIQDcYqkYRv1ldoj/Kk2ZsTrPWN5H2h9
pdAd7M91IKGmoVl8rcsAfrKCyeQBdQakpOcdGSzsIyJ6G6Pw0V4AsRF9NpC1YJHyYFXoh211MFhA
qFtc52qFtPUNooF8lXXIJVizdT2GkvgmpZs7VOw19tBABI+p6rrdMgX1vCFlnKLGy9MDYPZPBG7p
HUarmcOYN0MhzrJ62y/A68mk9ucjhELMa/U8oxkS08It7DUTSwIIWEjA0S8QKYoPs2re0ql9rdY1
/NarqTzzg/VtMBIBckz72bsGFVs2jDEG91MG7u3kL+1yYwAJ/IoYZbiTFnhPKISqP+CO+Op2pj/F
PrLe64W55dfKNbs7vzTLU+8a7vVgN86dO9YuoRwcL6RVmPccKL1TGgoSYJu5O5FH3dWbzMitI5FQ
88loQnk9EWNz3+bVcNMXEf+3Ji5ung3ncapXsrYwmX8ZkIu91XKqE9Ls5mHvNVIA8B2FOkQguZ3N
SMfr6PnByN84CYxOL7c9Zd1zF2jzG/E7ehvNofrm8ITvJdS23RC0jCzH3KrOBHiQ42LM3R4YOSVI
lIqeXQEZ4pQg2MZaaqwrwo9hrJ1nkoTJ505bj6JTT9FrqyuriAMofd8XY5wnks76/n7sqvLF0XxS
UnbLfJ8SSHZah4BGqBDDe9qv0UEgnvrUtrI9ZY33zSiq5uQqYrkMptxPlO2PFfCVK2IvAAj7jr6X
mFNec+zVWywO8wHRT/4m3FB877qO/c32KbOGad9W5nhaah0BcsesrSbRPYVLH96bASCZkofmEJWm
mcgSMdDalUsMqc3etyozHmzZ3GMfzRPXm+9n8KTv1bhmMYYXeS0W+RkfO7ON3AKejjjY6N5QNhCv
xI40xK1osynhlMSc1SzW9FDPRvdpHbwewKEwzplfCsbYudVtZjO7xrKBT7Yymn5TlKV/cppVwvas
axo5VLHuLg0rnvdpJXIswoFxmBTEzoeuUkIcFsjVxk4P67rvbAXyUvp621uyvO6y9rF20rV9z7Gm
MDZabK+x7rM6WBRdnbG5XUTlpVvpXcJk1sG0TtY89FTns7ZD4kBX6W4zS6z5S0/3SW4svzPfrKjz
mcFWcv4CBnkWu2Xooz0GflymItD2GRGge78IJOibUNX0zpTrGjB9s852EX8HqhTFwRmCLN/RwaM6
JjwOhLLXLymChUGoEMBhGk3HRtNwuersjFZaa6QLvMke5HNCoJORlFPIKQsAZbbnzYelp2Xoesd2
2oiv/SSBzI3Cx150eWi9TzLnKHSTA8Twf9CBE93A91gmfMbExbB5bsCHzUjzCBHINiTuddat61ep
w8ayjOWOSBnxbSGg8cnmQMCUupof0BGs6TlgMv0y1UP1wukJAUhq1u4XPQh/3hcwDXEOLq1d7AsP
KAFcYfdmZpVxPC9tL0/6NS/qreLUep1BCR2PNb1EosuJBrwb0OM1p8CeAcG0jQ38123qq4YgPrWJ
wvxSbrYVcFoI6gWl5pLdg74NIMHP9Ih5tIq1ixtwlD9IkCR3xkJe4T0zRZ2qfVsM7Om5ZVfVNrM7
OocYXKd+O0opcQ4aOFBuLHPFVUGuM1RpTWNSHJzeZ4Iw2DZ/vtGa+zrWEfMTPfbr3aIXljcoX3d5
yAt7sjGnjvzxgLITdCWtvKe04/HcWYup9KaTI1HEQk/4/HWWA1IO0oE2Xr4MFBONMvRmMSzf3LXZ
pTtS2sZ67ZcjuV6ZFcyvDDzkYRF55T34UI+JR2Q0GzsQzEhgyllWj17jhNdU5fk1IEGqRPQ9dU7s
MaOneLwk4cYF1WcQI6ySOPNmEjQ3VihyeK2ypIu+RHWTbjT2sTmpVvIC4okKLInaQgb32imINkI4
WfhHZykcmhpoOu4yLzO4Mk0/bWpfQ7L1y8kc2VYYRmx4t6xPqLQCqmQNSRt+vOIFAlx19Y+aXMYp
gRzLnrG23bfcHbDLzxy4P8shze9Gx2m+TUE1v+BnjuiBd+OtO5rWxaODYW3j6RWdeVOvcj87sDgO
nk8O6RGI9Boe22GgT5sPTJQ3i/TGqxH27AYhi7hjoq68GHpM9eJQv78qe9U3QBnIbOj6LnJ4obbe
s2cqs4qHaEW/QrEcfMXaEgEczFve0msT+kQzBEv9WhCWSUFfw8v7QeQSLXsS0WZxIBGIkp/+c1Pv
aMOM0VXG+3aPryHvNgW5huuOb+58XZaIKErHSEOeeOUVW0CoPH2OsOVpIE/sk63b4SnMnOnGGtAZ
0GfgkTExwMM7o37MDoi6tDhrJUwYcx0G8KQFYV0lhVuzlEtdOza+ZZPCCmmGfef1Qe2cFTzxYTOR
M1MdDbto5thYesigZpqtKTKayVBxbtXReSWlyL4N1UUwPYmxiis1eae5mJz6ZPpUiVvOajzcsqTe
T3xvNr8U3qXsLMxaPkLmJh82b2dWhcnBnTU31wYGyYWtXlYBJYVKuZQtHi+elqnwt2Puj5Sr6TrU
Bz3U4mYMp8i+vTgDbRoSFqVVp/y6io3A5VcYWJVL7HcGx0D75/Nuhln+fRWl7cPCc5ob7Au2k3QL
U85wtFrMcsQvfRk96WBdl77VbtJxqh7p54Zfi34SX5Td5ysZg071YlN0dixW4bxok17AZm7QztZZ
UBPAO63Lbcjyg+bdBOurRRClTMaI5grkX9lwsB5Bt22C2hb+Nm9RFG7KLC2JYHAy88YdGu8tXWg8
1xMynXjOJm5dbq1mvg+k11VIWyi7+cSoNhLHTRs63crpdiJsqV7L3qivmGGqLonwkt24Uc+vNlem
uZfTYDDfTA0fcoKTOUnRd0bOE2+l09G07VHuIfE66970NCK4cciZrizN4qKvlGil4nohsHdb8evI
DRtXhde9tvvbJorY83gJzwl9jjXdccCpm6u5lPJqJLyKc2IwBfoTHrn2XaESQi04urY6e5yP1vsx
bzLK01raPWxnrWSCUKt/lkTitbgmW+YcyijD5eHnFEvVVl0fTbDizgbRm/XWoi+6QZJHZva4Yvni
9G5nTG0ROz6KcrHtw2Xz3PostmBj5HP0IlwVFJxHw+khKuibHMNBNu22iLLvY2QXsQOvlkVXuNEx
X2gXbTSc2RfPg5qcDPNAkHArao8+N240iLy9i2+2t6Nu141NtPdIegGZTZe/OSxkY637HDJxC1q6
uSIOrUnPZAiQUzAHY67uygjs183gTyxer141qczr0rMCaZSQrikCQhChPTFK5PwMssSLJuJcesjj
IzeoHn4MrZFNjM8M8dI5vanOchV2+tnWvu6jjQ0l++iM1jB9NQtT6Bc7vVQHoSWDEF05erZtSI+i
f3TTEjR4buGetaZojn0k4W5CB4gAR3+k77OkPe8MhihFfiQktOB4KYkEmGL8UyJ/c3VeEFuyyqGe
7+jKl+N93Rc2kWG6DbZjHznrziTx1YtDMpe929kwKqq5rMB0Y55FY9kPc9aI3UBr8DWohH7PCjO9
9nQLuDf1vDNp5/rV9dqCCnscH4JME0OrQm/jZT7TnMkPD4Jy6bYn+zKxO8vskKTq4Ipijk+yO3NO
mMoGjwiLp3dRBxmPT1QEezPP+zvm2NV3qxuWH6NG18uqUilJsUv/UECDjs4ST8nZ73p/SAwhUS/C
DI9imaXqNTDX4jCWJDjaJOkkItfBl9WN0s8jjvBng9I3CSYehUDk0CeNzPteF3VIYJsT2NeLKqdj
sDTmbX7hhB5ytAv2SeIerjZV2w34DsrpwGbgHThW4aaiVdK+dXnns4HPWPd3yiREwJ/7/Kuj3fJg
VCsdgFBGZ99x15OHeiP2LSM6KSJvN9kqgps86jC6qImQ/rXWWM7cFSk/g5DU2teorB7xKPsmc6zG
dDcZQejXoXbXQ0WH8Ks9jTnxhZG4ZQV1RgKam6IyyMf5XTpRRd+QURRD76W8ApfoY8SkjQKAQBQE
HWacdHdL1Edi2wZ1fqvpt5LK242MVr1Mocy0OkIZ7D6tH7VX5T+YZbPZWQsntrw2zTKmpQzvBY+P
HedLPskNgd/ulrq2OUnEeGMCbTcnNXBuua2WIAy6SI8qktWmDMP5s6+tKpn7ebiytc6OVlsxHLPS
V+LdG949JMOUcWC1rbclPXZ4JU7gR1i45U03L88o4RSvwlZsFR2tK+anJI5AqsAT5Q7FQztJLwng
2gMADxj3DSlw8GlFJOE7xvxE8kD4VVWyxeGzeHc0U3nwteybnekNZrJ6Pc9GlBX2ZkjRvcR8tSij
vrLTIwmhpG+miyF3gY/kO4lqs8/famc0Tgze4nAZINwbZTHscy3HCX2EgSCf8E5/Izkdx2L1Hs01
rK9QkmCLQj8ZbNhP3YPNNWNazUH/zp3xNG9ID2uvddpFRw7I1QsThzqZxGzTZGty5vRpiPXKlVF0
Lpu5/XKJ6Bo2Enzjs+zC4KbQpfocdb29JY5yJqB9sF4by5B0dCdeqUU70LBwhFnku1nSyNoMdXUG
mSduVGP72S7DLpFIo/thBPZy8JpuAsKIRCj+n7m0FLeaUFptRPRFZzy+Wy47gbXgTqnZsrQ9lQVN
qdEus7gKZbP9e4nMr9ocpB0XNzjnARQJNnLyj77Ugf3ShKTGnlv27NSo972zTuflXXo28zazDm5L
aVNZ/v3H/iqS+vmxYAVwjJAhSuXmXf79X9SzzVysnlYTA+3GIO28xoWbJhU9b7ZUMsmLDZmiv/W8
mIjU/uI051MvscRkNQXMdYiu+ugaHUZ003XF9Hla3Es3s2xN5lAmmxfiaQ8jHXFo89OaTgxxLWpq
xBBheWDoz4lvERfsXa58801VY7RwgCpMDq8Er3Svnj15xtE36JhXNGbK1ntj3EwN3Xlu+QMziyoZ
foeoVDyzoT5QpTW9B1HLCGjGMWjxZo6a+uBVbXNf0tbAg1lp52axuvk55JQrY3DOtUNAHhaWvW3O
3XTIicKbt1MpldoKmYIAtoCGoNHhYNS/Rcq9KEiMTrCLsuholWGmfYqKmQlqX07G0UyVIO1dyr6L
A3/RRw9X+MPqlBVLi7PCm1wl77p8DenBUlrtHIPiklRw18GEkhmastCoiaJFhWX6yUAUr3cMC3PJ
E0U20tEnqyTarIjZ2T2HvjtZwieplqLMeQWN0TdJ57XG97oJAfsCEguCPROr4rNfNba3L8olnLZu
aqn3KlwLMzaGdSbhZllHE4ToijCgz7WfTB2daA6a7coWQHfMiM3SmftjVU8d9upI0DiOgmE4R1pc
TLtalhUKogHBSxa0SiRdFw2cx4yi2ROzjmCuJQ6q3pYEhC40G/KKtoAlIrZvZDMEl1bzcHIJB4x2
/ar0sYuUue5/Lo5/JDN9atE31B8JJb9EhP73gkT339sLLGT8+J/6vzBD9LIe/88i1D28lWb8rv4q
Q738xL8SRO0/EK4hwye1BvcjwRqI2P5MEDVsQCd4SfgL3y1Yt8tP/UeEaPRHgKwOmSguVY8tCfXq
+CfpxI3+cC9HLH4KK7JFVOQ/kKF+0DCj9SOhyHVJGnDJRPN/RpX+dcMjP25adZCtKIByahgjFS9G
P5c3QWvk59mpHRT0HlEzWTddR+Y4MnZnj2m94ncotI8hnD+/Ca25AIENV4Lt/9etd0rrpgztZgVU
ItoiWYovqe8UV1GvrR/FbJBDHNr5l1B5OcHrwN82M6bO/YDs6/M0Gh7FFufhe1eP7mFaFgYtvW8V
D0an9G9037++mn5eMtSGF9UmltEApdivX3TBqZ5KMocZTs/lzigNZz+Qf5zCYwDkGNdh2v0mL/Pf
FZkohH0fpapDqBOzmw/OKjAUOHdJHuSMFM+1zhE3tvmjYZkGDUZFipWvnAQz5KcCKV3SXkwmzrTS
iw8LgZJC0eeVDD+l8P6VnfqP9oT/3oL/fy05+BKc9TerHqLTr9Lzy5//c83b0R+ozkF5kqnBzXIv
ovQ/l7wV/cEN/NNGhueeBfyfK976I3DJcOAo5xBBS5LS/17xjvtHeLFioGPH/EpBb/+jJf+r1ZGM
0ZDsQI8Hl34LH/nRzSSrpWgMn3Fq2qr2lCLNvo2ocDGWMd629TDfEKa53HeZY+yneS4OBYatw18u
1n8hRv/VOvTnd7jYLNkZLZTGHx2lq19Ipx76LAbMYB1acmtvAssYzhCFfldefSyuLr8u6/RiUSIv
/d9EwiuCZG8xI2MzBF2QTHaP2rPpR7rUf/8r/cSh/WcgBr8T/nYTexL5Oxf/3kfPjJjSUIYmv1O7
pt6WY/h6CN0QbExFb+FGBnVJymXa8yrvmyKcYlPVvnHsg1m9e54qr1FiGs+ZWfnoHhkB9HGIn+5J
KGu1DnJpYAL1cqIXkrUM60nYW0bgMsGC/tY0yC3dKHoH7HrC7z4TVuRt2460PUqwQfWJQzY658bG
p45dZYZzsBRjG+cMKNHiqtVTWx3O6bKx4Amch2Zy9W4wsHUhqMuDfEuXoHNPMFg4jv7msn2ofS92
Hep8NlLekaTJfXAarY5dMZHDuQ7I+Z1CjGTlxRC/8zN9fN5YiCxHRj8Os2oe/w+f0veztAsDS2KQ
jdbByFx5VunKSI7V8hwtzkA4i6dw1xstIUWZZd3KkFjNYqihf1gTfTbHwmcforiRC0/Tb56dj8cO
IsTNC9kCwT1xNWQk/PpKGWwxIWLm6+kRiVVHjW6CFTOXXd8P5pZaz3j6+6tuf9wE+ES2KFBpyAIZ
GH3MaF3r1UNgpQxa+EvxTIxtWMa5qetD1lb9OzpzArwbl7Z6YOdkczjhMr/hzyYcwSppK8c0RvOT
PUVpvVtE7XtxNbic5suqU1/DVNs500C08RtKBhrKZtf14T+/ZjgU+Ob40Qm9+ui+m3XD6Ew3PDhm
/ayHatoXKFeSeXKvOzv69vfX69+fHyu6WH6IgPmZgvDxBQw4goNPYKAsdNLr1NX/i7Iza45T6aLs
LyKCeXgFqkqlyZIsWZZfCMsDYzIlQ8Kv74W7H65KalV8cSPuix2mgCSHc/Ze2z6Q8b18qbXEOsOa
+cds/+88wqvB7U9x1GAnBO+bheC/W7KsTkrNHbUkrKdcb3YCjGa+n/jCqR8a2nLR+S5sxSQwZAFN
xU7/rE4f3JHa5MMnqFsDUXqV6t1euRRxjwZRUE/ISrw7t/AyJ3LKzjKRDE6lE+t2ZWWxDmUKBIip
/uhYx+G46kZ/RMCQq2jOp+mucdreDidLkStFdXdA8JxIfWG3M3VoctLavBtsNwm+8Ifu/YyG7FU5
GxHGHrT2sqnJIKFQj86ZLgeIF/ywmX4rGSjZBUiubP6/pxSOGB9n95nbRvH0+W0LKePCZjp2Tmw9
FHs7irE97yprki4yzJaisW8q5Fm+mpynuqn675WCCi4Xa/m1ysE9rBxpsx0S7eAL5o7it6okqWYw
vvtXtFPJd4mxDyxd4d5xJLVrouTm0txX07z8VhQwObp2fvnz8zF3siPGUMpAYGYk75DCANv0bVD+
pxgxVD0NY6diQambQuydpZ7IlEiaOA0IrtNrSFOhgz/1MDjdECMNUmHlYNjo3S6J1qkuUKGnk3tJ
Vsr4ZLmtRbGH9ScWQ4mA6PMfe7rKnv7Wkxks8Xv8RNsEW5QWWluiECNHwqf4/ConBJ/tkZjshFD/
AD4GReGfvFuS2qcpq9oU8HC2vCJ+z2Mna5db28nSpyYlS5n9MWfwZa5UF1GZo7Zs6s549/nv2D73
t0OMnwH8itmanwJa7O2baemapsnW5jHIKouqoZ4f+rVPj62avWvhiE1IUOtxS8/Hi2hR9meu/369
YBuINXdzKFKsMk+ettfRcR6JWKS9gigqo0Z2TZ5IG9pLTV0F6M850uVHFyS1AigkmykcayfPXa31
NFm6TCNzyQhhWRr3YnDpmjRKglQdvHM8jvfDySR0Gws7UA4e8b+YxP8OfYZORpwgR6qqm+LWmOpI
Anj7nwctV6HQ4zguuZkcF9++Rkr3QV+hsidGIbBpFOv9Nvl5Z/a6H96LC0KacGAACaf7wtkHLb8E
3AvZZtRPtbKLKQr/v4PY/3fa++gqCJ7YznOOh3h8smqIhKmadn4KmVFDjU5+4M7B/nzmA/zwKqDt
mMlJ1nxHQnBSQW0C0QtiY0BspEFa0NwHYJKff1/b9/P2+6L+ylsxKQIzBE5BGLqpcgfJM6+f5s+e
Dqm1h2XvHkrixY58Tsu3oCBxCveOdeYGTzINthkGdy+f9Zb6x5HbP1np+YKtrk+YyJaOfxxpffM4
dNq4rzLkaM0aLKirBmxcw1jvR/uXrIJHNkRJBPa9ObM13obfyVOgzAA2fTtD+qAr3w5PR5kSQP2I
pK0d258pOvF/4n+sIos6U2E4oXdstw3Jj5IGXS/bMpCvvb2Wm6e90tEpUGFYg2987YEkA2GccBq0
FJAit0Z6QmCArtPjKnFq+FWBRNtqUDYY6Zh9a4fZS74I/pUHZY+0l9mHOxqyUpIo47EfMSAsKypV
FGQSoaM9LSBINCg5lPhHhezJAFKIZM9ueI64B9yD1HvrwvYnEko+H13vnyvmEQfXr77l+tDWfXuv
qm+zeUlMGmSYFfc1+tOIlu54sVpnAfbv5008xuzlTIbSpus5eYWcHCplG0MSAsXT/8zNMlxrQ1py
DA3+Nl09nNn7vL8zjLs2CCPOESxMpzExgUP2ItGrSbgsqx8WBEfW4TAURqiRD+udeYwntcNtzHBT
MDmoG24RBP7JKiQmL7FLCfqjMntq3bpXXw6+bC9XcnD2yVrr+7myPNpaPr1mGfRHnWZUXBpOefz8
hb6fLqDbmf9qpfh7Yfu9faHW5KPQ2NpEKAvbZzOd5SFXaBoIROhQ7iJKWo9VpTs7IxfOme36+0e+
zevQJ5jbOb+e5o6Ui408YuSRU9e3o2LlkI9vrosyzMRnHvjp5Lt9mFSJA4dOLme200VxTESGkKUY
I1GMv4i40+LEM9P/cQjhxHCBHfFeN6I7a/3bZ2nQ8zS6ceqw7K7lbboW034hM+Uadnlz5lL/jmj/
neAgi8AL4iruVowCpPL2WkWJHVQ0BBe3q5iQ9pI7fFgSi9IUrjo1I7UtHetiqhY9P1IAntncWRtB
RE3KcFDe+EEeIWxyZaQYWWPU9nV3jXAIr3k2q8m7Z95xRiz8FYq7odby56kK8F+v/To3d+nYle2+
agSCk8/H4/sXxX3BeQQ9YWyIidP7su02FauGFFiK4UJpWhA3EwqDz6/yD8d98vgAo23An60qzPTy
9vEtGfWcEcRTBG+neyEeucAijgWr4OjnzF+mwhE+ZrQJr6OscU7URFwhvasy+d2iDzVHSw+ypazG
fL9kTrGTthtE7Wy3ND6nRqPJneUI+ZHbCCfWaoHNpB2THr0YgkCyA/uZVtaoidU6s/C92+YzMLam
B8UaJmiWl5M7I192WDviWKOBuEEjEP1POY8u29vcu7SlzUKsHPNBtSJ/TLKpu3bN1jpT5X//Dvnc
+My4vsXx69/k958dKPx6rEGJ1UZzMlX7PElaZo81jT9/hx9chU3htsOxYWDjdn77CtNpKArcUkNk
dNhyW9N0jlMy6bvPr/JupqbACjQIsJ1usWkDbvL2MuU6sYE3VB+xpZif0R0Gf8fcIw+zS/xH+K4E
uJgS71qQB9lrIigK1LrpdWEwruNZbsO2E307bLe1kDUD5qZus795+2M2MeOKVVlFlvlQJmGEpn5C
Q8CO68wH8sEwYhpjbXLY2lPmOhURtAu60FSjb0xL2xmvV9shJ8KtHaqNaO1wC8/ZlNZR79n1smvN
0S1ilyBH804fU/Px83fw7k2zz0DGwNYc1bjLmH5711iNRFvkyDaHIcmvIdyjuJ3kOQr8CWYUZD8X
YI0ARkSpm/reycNd2NA2Xo530AerHLYAPohhWfrfjjDNiLJccAM0zYvWHktUgvvvplPIq0JhCptO
kaG0vYvJMi6V0RzAOXggHRNtvcKylV1WlScPUvnOV9td5h3+aTf+/CFt4/DN0Nh+PVRwiFrEy6CN
f/uQ8saUfq13NazTxaaAjSDaSsAMS0eeKx+eMFj+PSlwhSaHDLYwNFhPdi9KZkmyeGYdmTM5zVHi
0BaJUrSNQeim+fhXeo5UB1ajqo1zPTev6JEYVNXY7CHksvQcgaKPJnJotfHMngJu1emDsDxmBAf3
Kd8sM8PJKjyK0RhwGuG6MAtJVyZZHeqBQUW6Bw5sxMm4gP17q8b8hP/an18IKcM5V2LMexH5oj8N
WEae7dotvopy6XcqqKunCuBkFQfaOD8bulSPXD55RK8tytjqF+MGOY2FBpfydB4qgNuPdiK19K7B
20P4ktBc1KEEvPqXzqycGzhDuPRyQ/srYPV0Ee6OkdBSP0m+DQsaUiSAYAsk4sZfbIJ9rCSTrYgN
R9zmh6mAgBIRDOfBpmTbQycjEMXrFgJ7mdDwgJhuEoodehS0/uRmN39di8FOdraermY4d07Thhb5
8t9n7HTrvgZP/aNz5DxRajYykJB4wdfQdLH54OdcnF8dcN8hXnw/H+OC6iAWdWfRKe43QWXDG/EV
ynyHRfFaTXqFO04szg8nm5GyOW5Wf7NpSmTwCl19ugzSquxws2wfToFUtD2YU4Ygp+gCHZI53pMg
EghjvRj9Y/AkaxwFCEeK9gGYWv+UjGkH8oGeG5bAbFMeYjgub0uVD9+gWE5tPPkSKxFysR9+thTX
5CqjBkv10c9iV6z1L125Nc7uRSxHQr1zEg3GxpVxX3ToSaw6UBF6Mu1PN2ikC/V5vX6jS12ZoTWl
mnmUqILGuCQ2OwlNWfn5fpga8sBZ573XBjH//UJAw73jjQBO/cUwJwq+4/hzMBg/YQOpChvSQPC4
QDK2hEWxAsEthVwP06gPt9SF6u/Z7BbPXduUI4HcvYFDD7W53KOCMDm2gxPJwtqiSnzVZF0RDR6x
ijdNLwIF9t10R2rSCcrEZRTiNhCd9HdrDRt5p1cEPN6O6BKWuCorrE7akhRgiDxCl9Ecdt2wKQG5
Vd2FzbYzmy7TUeHjTIuFHL0/RAJqU2Q35iyoqpa9QoY5um6ELTYwvlREiXgsEJJs8cmvsUqrRSsx
OHQ9utuFgj+CRyJUQzlDoglNP2HDNK52jQC2bqxboYJ+e3j1umsGY9DjwtFXoAZLjnEbo6y80mAG
dnskeJ4CTpIMj22uTTRhRJF9b/p28KIZFf0PkVS9D35HdUj3XC+5mRMOPtfJWmRPkzlk/bdx0heC
DK12LnZBaY8S4XaZpqGV+fW4qwDX0OV0OEZHWWlQtJiUG/RXlK3bpzynHwS3w8Q5AoGova88rHjb
5mr5oybfuypb4LEHr56nx1LUPTa4lm00P0fUL8NkZGk4KE9ep77P/g8AnnaEn+29VGk2fletbyEt
Z/Ok05woBj5s5F8i9NagfBz1heTZEucJjpTBr69RNAMCr8qRtkBe2AqXpY0+LBqkbsrYUKN6gRWK
e9Rrp+UuV7gccS/0o33ZQvXTL02dfeyVnqYOfdRitPaN8q0CNVZZP+S8nuY4txqcTb7gwLoK6sBD
v6njtQ8TPNRG3MkhOAxaOa2hUFU77yXpZWOUddaEZwn07A32VhoeCkzDwiF6xJidF4l+CIzU8Igv
aeclItsp+63Sbk13tY9rV3M779KtA+3atKj7RQvk7FfOLR5XpcKKrXZqg5gmDvvb0hfmLxxIthdZ
raZhO6hptjN1bhNsUfd79MuZFXUKvf0uTQ2FuzWti2Q/4gdqjzqcXCMc/Em0mBBF/jQMpp3FTi3o
2HigXRCySm0uQ0x6m1YwUDDeMcVVIgQDg2XeHsq62wPIQqmamJ2V71Q7yt95oKfYsszZ6kEPuYOO
k7rUu11nOfWDt3bLn6r28gqoxWARZbogexnBtDXhLHNSGbAFBAK2RynjqunBmQss5mD+J69G47jm
UxmPsrRXknT77HX00I9eOwGL3sXgE/ETOcNMyyYPOBaCKirGJC5GvYlLHe0d0a35+ndt3Pmrwpc1
hybGJ/R8Lg0nY1lJg/UPUzF2X1cdFSNGtRsKSujjkunK6yUlAaHzneZkoqWvWuu9CkeDn0vzp0gU
SFENDo2rdi0CbaghjzC/79RQP/oTY4aWI4bpL5g4Xiq7PHL4281l+UfPiz0b3aMz6RFlki+N494m
rk4nEp68D7tIMJZ9p8G+pIIDTsavSFqfJYu73cqrxUiKr02R387LdOW41WvhGdCo0AUbL834WGI3
9q1fxoCry/CONv+CXPJ9NWSAlqw9K6sH1AQyZ45pi6fq9hiTeyfMBm4DC0RiAVlm5ULcm+KV1vEB
VLrAd5CND0ntudAFAEld0DK4oiDK37W60AOOCHZJ6uIuTTwV6113yD35OE5ir29mvlE0N8lcMe1C
PCA9+95GCYxxD3OsEl+Hvn9mv/EoNYzB/pDNP/Ta6y/0xTvA2SNryNl1MrhJTeeK9/9gmeIJCN6F
Q4AHji+T4Iv0vnC9o1M++SkQD9HHIye1ULDSXTHKyI2e/5I/hOTKf0wEcjSRDk9Gm97YGYSfQs3r
wVqzo1SWT7Nx/iokTAY8KWFre0ShWE+JLH4aQBC7wXTiamoP9WzuE3pFEAbqPV2X70oz74yMElpG
k0Vv9K9kmsaQveqo9R3K0CjxuU0Xe4B5GJBiWRlpd4WPCGtKi1BkWGA1rKHWeucK5/tkzM9a993C
5ppqxS9Cd37LBBCJgrlgFuo6LcpdMGfsh8SXpFJoxDXjWKSG9cPPefEYoSOLaJRLA7gpFoireVVR
thbxbOq/GwbQDlXu79z6MdN2n53ly5w6zxXfUzi6qN5d/SIdne5hRv03UZdyNwqTOe90v/ltG3h9
1EQidHpwus4JEYpwyh/6F1OTDY7F8q7K+4sG0JdXpNCP1vGVD/9L4y8VGViYeEaPKa5r1MPYz12Y
WHg9xnIaw1zbPMaG6NkkKa+Ppqa+Qf+uX/d64u1ZmP3njKFjH/XZubE8+8Jf5IWeKOvCb3sYRvSM
PWKZHbsJhwZWSmVpt9iWgaS5Fh3RXF0k7GMOmSx/k4gA40b0fwpTPM6+8eL1mQLV9ZPwH60lRqL1
9OOMFwPHz2DrCSSsJrnGUaS+ubWl/TARfPwWZpUuEfDnZQx19iCQ22RBw78y0uA+8FtCox1Oyuwh
2WAF6OSXjlDSrAuOcsjMJoLvvHgQymANR25P3kmYyQr5fmkO63e8f0YCZQtUQzyh95dRn03lreej
UdwtHYWpytrWFgldnp9HFsGfYE5caDtFM08Agxr9QCSbTd+h1YzYlkb+JQmc3CZ2s8eBkSGh8aLR
32RFAbPBq6I9/arDzbGhacjV3vkCv1iIuqVnu9kaM1yZGqJ1NJsWMCecbd0lZ8dk2elrPxhQNeBG
7DS/xGTJXRs/Baa7+w6C/YPtzlOxL1PMsiGMs36OjIrQW5QeK7jMrvf939lYZD8Ge0oYu1bT3XsT
H1fcVeCuo94HJ1INg+ZEcwskPpwo6FwOterAG1hrXcUtDu0xKrOhL8IcvAtMmKRsukhWVcJpp+86
ESkWlwe/gDDDOphFKLrlboV0TnBzaWktphMXiI4/jw7wMluxDXGU0f9qpa34K8J3HwKnq0WIcMEF
tsNyQijn0pQg/yY80Ptspg6Gj9YnJzqxLZBcZg+yA+bKZKPMgWIRWzM0QZYRUlR4iqVYmHOrYrrq
vBWJ12JMsKorBBy3HRNsGens0cCqIBy9Coo+N2JLn0H/T9ro/C3qjtfXdGP6bE9UM0LHq7JXI9CM
FljX0H/TBmO6boCnDwgNsI5gDcGBxNcoIS5KUxY3ni9Y2rH8atBpUm/9l7i9NtG8YRGj1uuA7a1B
K+9WepFA+pSxPlUFGqeYikLyzetk/epo0NRCUIXGTzPJsMwDlGyJjR+Hm3KxDPyR0yrYlnHud6Kc
eEUap/UYFHs2m1N62XQiWGJ/TAPsMLJDYqAHln5NpMjgX1DxgfqUukH+UBJ+faV1VfPsle10SxWA
m180fKygLSttq9TOs0+GuA6xwze1Tfi20mFymtpjn1Em5g8mbzOIEmNlZSd8l+1bupLwRWtOb2oy
ptv0WGCS+A4I0ZpivDreFPnCRR6nTGt81YGw3UEhtPiwbUxUrlmIbzNhfgWQrK1Ji3zGQUyR8DWG
VVr734sA7U24Lr6oo6pu56O0oI2wQ9LFVT4A7sfiTcxM7BRJfq+lcgxiTGW0X3N3LL4kLoi3ELeO
awEV6afb3hI+kYp9Pb9yzsBn4FvrMOzbqWxuDK/LOnhTWvaKvdb67pYWohy9880u7kg2oswtGp89
hISW5PG0hzsD+szPNajo2U2jZv5sgB/doFsYDWISNDi/GhvvX4D4xntYiisnA08Y/gFuF6HgfeJT
GOyJ7RvjpDCBEfgzRzEgmqPhhb2tV9aeeOl+CANUMpKwz80dl7ZIEu8su+3b2JvJ9KQWog+xL6zg
KzTP+o5/dnqpDLK2wxKF0dcsYJsbDxwky9CX3fDX6OrkoWsK+TLgHgHzI7e5qaBowCGIqBk3pDAT
TDfFPGQXfQ/RE8PSkrbwuWx2tG5S0jIIgpyyx7JI3LdzboMrKsx1KHaEP+XPBmldzwmgUGYNT/Fn
S1v2tKMAr/QaUBi+/ooNpdambUdyuzd5YStWkF0W4JPrHKh/uSOSwHSiaeDIHqH55nuZ2AYcoaJB
NSXTp0bmRN7Eb+xKuRdPjt4/N63dDJQcMZJFLo71y7VMoH8obR782CsYAGBXlDLi0hTuQXjOVSEF
9ZN+KjIUV2CfdE6p9F8c/6bSx3zkwzXGX7ki7SGsaZtjVazZOUpdA2dajdpIsDIzKeA5y/z3t8v+
gWYJRwAYPwk721KN39jRahIWbsIuK10dxaqSOdndstTpY6q78qmRbcYClpJHtaNiwZjAjsPCHSjq
HTE2dG/YZ5girWg2VHBkzJWAQYVqnbCfCSTBFAAu8OCAQr00BpRNsZKeMUfgCn0Zz5gP7zJvwV1m
FgspNdNQLkEIT5eziAwwIYWrrQ1XqBc2UJrgMBK32eTd6HahpTvD6LyXrnahIqDy1H8uzGfmnqwQ
/WV0+/WPuUzta5ImtjyuqvNuhtnNvNDCMHq/ZHlgHqqlH74SojOA9pM5QwwaWlvFhe2BIuQQvVW4
gO79gVdqMBiyLl/AMFJ9Ci3kQ68VExcir6pZcuyb5JvEMh2lzn5iHA5WNfUgXOU6ShJ7x3XZuaMA
8YE5CWNyk9TFPeUAW79cWLp6PuV0lYfOK9e4lHb6ZTCohu18PWFzk0GL1XbNWFcO44r1K27GNL1z
+pbB4EpKkGEZ5FYOpXgdoRRrK9CsrDeq72IYnd+GziLD+jRi7ButlhVco4qvzDVfD/bqNj+KMhDW
zlOTiJZKW7uLUSzlL4r07o2lyuG2kS5jqmRP7FJo7Oef/lx2N1D3KDLB1fvX1rc1cfF52feD2jjS
UYfCNa1Heo4n2hUSjI0mKXIgl7IurpSY1Q2H4zMSh48ugrAD5vbWEqC387a2bEwBzeAtM5CjZw5d
hgdVEmF3phWNpee0dAvRHSGvDjobXDw9nbfXsZnxBzQUInKHWvzOCgP3ZlMHHEU6zbEJ1QSzinpC
9dAh61L/3QepLa9F6+MosSh/ZJGTpmohyqn1n10DcAcn+V6yyRYeR3BfbxIQsGIhSzwrbI6kSV9l
v7wc5iOd59pud5C4JWgQhVIodJaufLGyCjqOnZeLuinzhGMR1WESo7EU9wr2yeBzDUhEXjyWrUZW
SKeGm2zwOns3lbP31RjXIYvoCoOAtvCO6pidg21CtJiNwsHU2ZPC4E+/jWNg/l3nhAMcsJFnmXcw
QxOoa39lvcpXwUXGC7owSsU1vCTMMr1w/6D+Nwr82b7qYptJN3ie+qGhmY570YsCvXHMWNXAnCjF
zvnLYNbdC6vtcFeyGi4xEPrqORvh6ERLU7QoTNhimnswBflwvVoL20j4BEhfjYriVZzUzhCADrar
731eol5oeoK02EsxxV/MnGY0FN/ZqEX5Og1H2frBbzJzm4d0QQSBWb9eX1SBTCyE9l3jlYefQ5qN
J7sEaf2Uc0DbuCCLT6k1XJDxPwPwnJ9Mu5k0Co8FNa5uco0u9iidg4ejMQXlVW25SJUmK15HnRu3
Nji5BOfzqtIYpVFVRNOY1V9B+En2mWyKr7m74m/eTuw7h0VM2k6Odv5XG0V3RI/VszdPVfZYpNZq
hOXsp1eYhyUwyp7yXZ/YHPCHAFAIVAuvegUAtUb54EyPn3/Y/4xJbxs6NrYVhzmS74GP+0T/0oDg
8AsLcoemQDtHZBQnzz6ykWRnTvCVdmNpQW6jq6XknbHivg0Nh9YuqDwN2ZBXKo3FoJ26W3OlaAYV
U7hfzMV3H8EiSY1NAHHi8F/K9Ns66e58pg/9ryn35uejo9uE+f+yUJDhnnTTsqHJc57+xlwgl2kz
1PP4B6/sv9o0M168WU6Q5JV8aL1c3XIOVU+tcq350GOcpwOCWAX2A6Y6bJq+Pl/IyW/bw1S1+l/S
gfqbZE0qd19Wq57u+2ISP5J+mjnbVyZk7kBzHOqrnuc9MaNNnDzbpL3VUx1r/9R3yQ0wjuGZikWa
h2w2K0n3Sqkb/KS2H+VqcelyzlP1UkgaJUdH6Qr+Xt1Nr6K11l8V+VJUzPiOaGtMQf1UpRTJWYrY
Ln4+CD6YeGnlo2RGp4Be/9TcwAGm1owF5RcYru6PrKsAUiXkpc+v8r7Hzdbjn3UQ/D0Zdd5JK10Y
3WwwasiLUBSS98bCB6QKf/zrtGVTHfMuoC2wHRCC/bosTJY+1cRxB49Au2rnred15ge96+Hxg7hf
EsQRaWzL2tuFwNQsqEe1hElcpO3NgvyOM4G0n2tFT8LMKuMK0oX1xarpJ9J0rncabHHIOVSMqZNc
dgRq4FiWFP1sjtef/7iPfxs/C/ONi7PhZJFSdePXgsJIBOjICM2aMC2ngWRMdN3u8yudRAltfVY0
hfQwEfMiiUE09vYxIHkrzB7/KBvJeajCRfbe36Ah7pksNwJ8ramJsbgXYYO1ee8ykKJhLNOX1fDJ
xpQ098PJG/RrQjIXkEzENvvwoCOnoPzcQCl7OvNztzt/88nzczHfoZGw8AzhFnr7cxWKo4qFgoAE
UJcXeQFOC0+v3KtemscxJ4iNxTQHJdjrly4/fsexcrwEnfIcCODEJQfZB5oVKSUuS7/xZWqSdSLs
jG424NdKGd2ZgX8qMdyeL94ARKs6ekb7VGwEntaYhxkzVwv4Zd8AsiYFoOHNmu6vZtTzc+9zm7JP
HhDaexQVmxCcZKiT9znqGgU+QxFK5yTTbcGGfdfYNsxZ4fRHVHfOvhtX/WH2TAhwudfEljf1ByZO
8T+K4LlxWuQ2gmykHQ5C2bdvSjcWoQD+tZFjjMMfrZAJHra53rvU3Y9C1e4Zudr25k9uHJk4Ij8K
wNz9aXivIvoh6xdqKgFRHl9cW9bfCZX3ruGLFWf2qh9dCpE188Zmi9btEx2Er2XUGmeaVbS2GhvI
vT5EZcLmEAJTEOw/H/Lv52eKXA4Pcos2Yu48eY7wJZUF/rnF7YYp0u+FHWeCCeHzq3xwS8yFBo0Q
Hh73tm2b/6On0to8pyKYtSxoqxObSmm3eW1shKbR/fb5pd5/EXDEKCuhIcE0i3/m7aUAOfbG4q9Q
5OZyusj6cj1qhmiPnUWTv7TaIv7fr7fNbFhMse6+u14BwrgdKazAG12cw7yB8+mz9Ts9EP6XfMVc
d2b2fj9HOai52JWwrKCWOdX6T4Mxe4ZkRa3wLXC0NpOvhel3N15veAdgE9SqgZh9XYgSphlRl9UZ
fcoHDxh5yZZ8RrPUQFf29gG3oOZtzgQiEjlh79ZcpHFtdv1lauk0KCw2up8/4HeifNvFtEkzwGRf
zS17Jxec00bPfJtJzYi1h/XC+V7txSG5WP9WcIhoaJ55vh9sW7ke94a/0HeQcJ58Ek1Blq451m0U
/zg+/Hk4Hg/hLrqYw/h+Ds986v/OnW+nlTfXOg0xWlJOZPp2rav9454LHQ6Hv1+v7s9c5v1H/vYq
JxtxWlhCB/LfRko+q4bmRHBOVf/Od/fvJTEt6ui30GCfbpabWU8lZxUw1Dv5pK5hy91BFbqq9kTq
RE0kYzh3cXOkDZ7GIHz2wcvno+T9DLPJRYli3EKCdfxRb0clhYseNzNpJTZlulAlk38Em9bu+2H1
/+enyaU2CDUDBMmaezI+2mS0tL4bCFXtzPQZPqbO8hf8r2p+pmWyyUlQw/CGuenUimJ2gg7m0gM/
U3n12IEmfljsgm7fhun6/Nm9l0puXhcSQ7mKuQFHtvHzn+l5dWdlL06XR5wbRhI+MMD0E8X+DoEG
WFlLT39UQiN8BLvDvqjNbIxzs3VvPv8ZH73CYAOxIT3bDI+nv6LVmGV5kZSjjWFHK24+2kX9jaxX
/cxi/v57YC3Hx4ajF+MLi9Lb+8UZVTRuzrm/0PL5iPoWZA5ZDucmrm3Mvf24XYMxCXUA+zly8JPL
IIPxzcmTJfGrWH0iOZnNfcfxzoy1sRO/LGWKnTku/TcifFID0abQX/JW978K0WZfs9Q2r+mIrKhG
HU+i5SElT4QOnaeBzC8wqClIxHMnqQ8eDcVIDgXY5LE5nj4aWdBgQqmzFcokldfNSOk1bXfmBWxT
9umToSOCjZIzCGaGk1c96oE0FhovNLIncZ0A7rzPrGmLO3GLp54E+g3/quSZAfbRvbnEpzK3E4PI
oezta/c7TwObTRHQyUbnGHReGy9eIs7c20dfk4mlAScFcwQLycnN5QZKMjp9APFquzA5kZaFilK7
KyhWiI2KvphtZu4S8LDYp5oVEbIP3+oqaBddnvm0P/imTFJKXQowAWnl9skta3kpYfsgdmbrWMS+
SZkVEedy8M0+iz//fD94uibAIt4oUzD/nYz2Tpl5IPIM66+j5A7lINzDGbf551f5YKHhFW7WChMl
CnP9yf4uDSaBWBTJmFi6PpYkkP1cKIcREodu6Ui1P98Na9XulJYATOvAU07Yg/BhgDelC+ldFb5U
NwPq9KhFp0Uql0z1a0zzKC/7oI2BjA6X9AHauNOaLhYT3ZjPb+GDd8LpksWDkiGbjFN/o4VeVRkZ
sHpTet6+7hEvIrK6onH4v2vgkZyb6MA5HHJU4kN7O+Ix7U4OpVwmdmtlj79OaLwwLbdfNI6K98Vk
p0dzzfr7sl/dI4p9WpZaHdx+fr/vrSr8CniaG1EP7bv3Lyj0P8tL6yrEO/DzIjWUroRW1q43BGva
lKgS2caan/3tiRxB4lbqB3B1+T1zkP1b+arcBCwG/+sgTzcCM3BDole/4gY1ULF0h2SyWO6Rl6gJ
BxFd6qKq8t2kb1JB0RXf1GLUZ0bgB3PXPzsBZlvMN3A73j7TxOg4lEIZpp5rLd9omfhfOS9OoUX9
ZGfoc/AEGiE78ww/GDM4YnXchP62G3BPRn3VDKiXZ1ZosBxIQEajuJZjhyaPXPoz+3vz3xx/MjuT
p0ztirhzGvCnxTS62ETpZYUWqg6pTugY4DCJjKFUPRGaUUVg5WnOS6yIYBZEWT7m5Rrs9NTq7mtC
TNAaWPESjBrZOnXOh5oLPYlr8iwfVxfnCX2zCoHouAmEd10xV/KAEdjYqNeN5VymAGN+mmVj/Gzd
1XptqGOJnTYs5u2EYF6jGeC4mI8Tmpd4vqSA+mE0OqI3pcTTkgvBHrBtLDeE/67dDRlpBJExBtUt
Dlf3u1bW3lVTtkSWEOdIBle3UjWc/M64RWlOcII9mVCavaFr/4zuSA6qEmaDVnvxZI9SWIMI3Y6F
+zgOjvE8par9blFo7TanbLs8aJ5fJ3uTeX+MPdFpl8Pc0t1kJisugyBbaMTQO36odGj1IR5+K0EM
NG95c+OqOV+aEsTILrUHswwnJ0WzQhX6kkYf7dwuXbqbjJM0QB+5tkm8LL7ka/LnOQAFoPOrt+Mm
+ULsT729SAQywUAgwopw9qMCdIOamp9jpgWpYQjIE4Ah3v/h7Mya20bSNf1XOvoePVgS28Q554IA
SFG7JVku+wYhWzL2fcevnweanhkTZJBTpyO6oytUUgKZicxveZfoATtRPdg0U4Nvit0M031nTIm2
naQenHuKPCIy4GkQv9Z+Fkwu/e36zSgwFsP2MUhiz8QKM9qgj8hftTEAV10CvPoW7JUluelcy+EG
X4+2hCvWqtEWrwOaFuyuEiC1KPvRscZ2bncIKIBRBCc/F64CW+YaFyN/QgjR6r+izgJuS6JggoXF
GJd7jCPM7DYbexSsMlrMuCaI5p32zzw7VSNHqZu0RnjXd5FReBADuru0whR+14DyAk034iTngG61
PkKaaKwtr3ZrlrJaeiLtbPbqmDQ6GEiU5Dz6UjLeMYNUgIoQ5Si8SU6sd6pEY3Jdq1OtOjomla7e
YZjkAksfdc+Shvl7OQbd6LRyP0RuRF0RHEJOfL0JsTBDInkE+glewaL4Oeh28CC3k8YmFj4Kw+yI
CdyOSkPUK2Qj/cWJQl2hKpJc2szDMtWFofTtToqCNvOURB3L7QzrsfI6BH6rKx9amQWou1lMGytU
9LaZMWDo0eVFb1zNdBjoxDUK8r69FYKDZyMiWIy2rHYz92i4uxhsTT/qWvH7a10tW3TpE2MRIP+s
3ed+WpabWbNDqM1VLugf4sSnO1UYJPNu6sfagLepFOW91QGn39lAtOOrJPMHkDKlhA1Bgppsvp9L
rA68gM938uLaGp4RvwzEFbeUMDdRHQ23mDQb33ourLeQ4j6uDVySYLoyu8IYEJiW4kmB0WkPdpcg
tRWNagAPIwreo1bOXxa3k8E1G0UvbkUzcFDWcsdmiQ06eJ7V4yzpWLXv/xTT1L42ZqJaoF8G86Mi
QKNz0zfJ4OXAXG+x0Cnk771F7X6D7J4IISf49ncwkT7goD5+1MHqfJUI6J/CbKA8ISO2twBT89yR
rHQGs4Fp2nXcZbXmJbIRvE/Q678CsShez9+1J4olJqV2KLygq2S0kVYBHzApSnrNkDp9X8fyE9wl
rKGaTkFfn1adLzAJDMLHgT75d5RTjWuph+G8s0VQeSVUE+L+YI4uXF4rJ/ClC0D1BqojenMU16kA
Hl6ZRWh19YjIFXCQRnzFwSwHJaLjwGcUecXZkwnxa+jSUgPQgsAWFCx8SvBDHsCh4NubvemhPP0l
sOuccMMK87fzk3YicoUtT8ee3j1Z4bp2ocMi1rOZ2gEsCctJCc7vM0lO3s+PcnyFQ8pbFkfj+pYh
Mx1OQjQFoAhHRpFMPBKq2wD1qirenh/kRCPscJT1VNNBHSKFUbLNz6fN/rvjfflyYYhLL7KKRerS
7OpgGSLZmJvU/QB/530AI908J9vIhX51IeDSjtfn8J2WiOyP+NGwAhQNWgZEdsqb3dYtnfRO2yNF
42puvq3u7HtlJz0lV+NVuEWgamvvim3qKR5+wR7MqE1+N13hKeTKFzb2qQezBJWaRUyRr24VCiot
FsWTIMQp4S16ZtVzCmv2JULgifkGMAWjji1qU55ZLWmMq1oaIq9EGSGt93qry7j9jtljUxaFe35t
j2vLi5IhZTyD5iW8/NVMJ3pO5oUsDsDlAmhXUIPzKPGU+zngHXmd9SNkHjQmmpdKqoPhSkdx+cJi
n0DQmDTcbUGDUwZBsqbK0mufTKUHn68kepzfAmcB5tk09MDBXuLD4yam1b/7lm/icj017bs+4lDl
5aWkt04ba/0bFMD6se+beUGRqxPGoYQfUMWVed6l6uJci+4a9Dezwtx5J9lhsjfwOK02YVlBTqm6
qmwuzOuRmhcnIA0rC7IpNWVOw1XNEHeUoIN1Cd80SWCzJm2i3eV+07/XUz08ElWXvtNnKlYQYnEk
zBu2O7KDpXiWwtFowYppo6cNtiXtdSXpnkKD6vvGqhALxMQ1MYV3fiOcKGIgeEcxlZo7zWvLXrb+
H98cVcaqG23aGunSdUXrb362NOzWMf1NnpsebXnESvHUTuboR0hJYTslvZpdOs2WD+gwE6ElJdPQ
Ucl8kIlcbf2uRI8nQFCGUspgSzdmR8XLSWEa4lOsEXs5iZ1OP8a2SAysDeZx8DKKVW/NnCc/L0zI
cTGPdAjlGEEWRmN/rZnYp6j9JWC5HL1u4zvYesVGRT71JlBxfoi10twrViV7SR5Nj20cjl/ZEZB8
lER6MHPfdweEBjyaVtMVmVSyxSXY2AGLEdjuqfKF7bacwOtp47al/rScGZQeDxdPkQDaDQiTOX2i
iUX7ot2DZIG4iYvMi1DTSxWNZTOsxqNZTitK4RKldb4ar+9gTmb+mDoGJaB7sL/lVdVO49WFJTix
G0h+LYtKKuqIR3npXAWZHQdR6kRRSnHHHxtgNkqgo5RfjdKMXj7fQ74xjRZKWir3mMvrNB6/B7iG
Xjj5j2cY0X6yUtReaQgra5zfbGJQSDMQ9mpnI7ysFJbXpO30qs+6dg3eM/p64d2XKTycYjJgWt2f
qATwFKuTufLrQkOJHL+w3pY+0gYlB05q5UsVk1tTVBZ3+uJcLQvRu22sx3tMmwdXS6GYbqRJyh5x
45iukDuipDL75oXKqnqMC0BLiYR/6R/Ql1z3rG0MmSRg7JiG1FaDl52KRRdGVZL8O7aGOfSy2jZ+
GVqZq+S1bf2oQ874bSRZnbj4j5fGprGM4B5s1VADSdTQK5nBxHLwFwvNjC5J9RakdYDC92T+rAdD
Hr0OPvN/oxMCopuDi2Wl3sJBffjlTHFtq0FIEbNJCpCumh9K/d1UBGOLuIqp/Y4mqXlquiF4ranb
gqWvJfXOnupivHAPnlhvlUexlxievvy6zNmochOPk0rtf7T1qxbiFnyuVtzQprgEBzpxOeGgsQDc
AB0sV656+NKqFmG+UiPa2MyxscW9pL3OZyN91s0kelaQmek2BAt4HSpZh92N0jykmh7cNIpRXpl5
3e9BF+T3id1ihoPD016SsFFSyLuSC5XT4zPYWmDCqLByKXDAreKtNgR42iKK6UzYL3/XxqaFkii3
N0WMtJbZSCH83L7cYysiLmkIn/jgCYmIfixNRVZkfR92sq/Vs1YAKzDrfuIgRx1nmwAYwrLBKsyH
EJoDuPJ4bkFVmpX9s4/74ast9zhD9GCyLThxeXMrNVYXusAXEE9NceFDkSSoFe3C+X98HiMPScql
0TAjMF2fx2bTzxhEcVBqWP/eUsAIXEOpp//GalAB5fjTdWXBHx1uG5zOKJD1sJusoOifMXmCwUvH
7X0kYnlscWYkD8bTbZMTVF7Q5zmh38GtRncUmRPkvbl8Dsc2gM2n0mAleAqj3aajA3TTGFiotrC5
fgNGihG9KHysYdnbD6kNfGYT+1r1FSKEsYswd/5SJXN9qTR86rF0JM2J78ylur+GuwWqXdPFLJBN
Ki0Ih4M8IH0hcp8yRGJr4P7U+Keo8RFScaNzeQDlpUvkZPQQazKxAs5KSH1Bcwlif+Iw0RU+G7ol
3B98QYezJY3AsZIQus8cd/NzRu3Fo0ao7xNLXEJPnBiKXAilywX8aCufZ80fcaMxKRqCKn7jFDZa
FjXKDy7uZcldMRiXoo5P3dHDOxHigPVZUPhs+6/OrdDvGr8KReuMZSowiOLz9Gx6rvE+VILyHlI5
nrVJWML/koqW3k5t+PBQG1v7lsQ1tZkCN4WXCvgxVqxyFz5qVoFvOYDwOneFKfWQCOMZdwcznr7N
KCZQQyHO0aH3ZLJ5b/WtZmxbWlA/gMAp3xBrab6lsDxfFUn5hUOd/NoqvfyjNppr2qDpdu6rpPdm
GwMfyNmzjI5kJbhY2rQKdkVsNvLWx9HxS2M3MjZLhQxEvK34AKBxRjCYoDGh1iKlIGkdqexpX/ZS
Fva4fNr+hzLAs9wlqT0qOAZR4NssfVecY/LMhvUpY8xOJT9PZqdP1ZZSL5C518iv1Qp+VDD+HAym
bxMPYzuCM+vnb/qE7Q4cXqhe/HokcRm3RgW6adDG36nKgbITgH8mCKpG+qIFBm5Z54Oe5QBZrS8I
TxWvBBq2tJBWlzGseWhegkoo8+nvKWIJV9T2sC0TXb1C/ySAGjk2F061E5AcG6QRzUUUQIWMBNjh
x5IMYzc3NbGUjWvbVgfWf6vDtn+cY9mgKIsvqNtACIVcIfVXA40tl45vt0u1TP1SyzaG4ZUv9gFc
L5I5ubJvc8p1F8LPE2W+T0C9icY1Do7KWsUSu9lM6qihOyaUfs+U7cSlDhl7OZrBP6LA7O8B0lvQ
SOg4aMSkDwVB4G3aG+NOCX1ohOdX6lNMa7VUiNziKIFoGriK9VIl5SCrUbhwOvS4UFxqaH3u4lRI
E2UoYUNVldAxqhpl7WmC4vMy4TWqepaSKzQB4Tu84fSN2g58/wgf0jRCd8Uui/gljHxcTTv8FIht
e6W505QelRa/rCXJVXQEOmBQk3rS4NTwhBNVF9mLA6VpOLBap8ixIlt7j+YBluicJPFDPRn+r6bN
u24b2Mb0IIRaXeNsGQrSOU36aFtw2ReChxP7mH4aqEdSFrS/1l1Y2CkBYjFV44gZs7iq0Np3irCK
W2cB1rm01+hjhZdwiUcHsUkRGNAJcR0rQgp9uI39JgK+jIiJU6dStvfNuLmG5Ef8UpqXYtXjAJIB
6BUuDUpyQI791VhaRSOFw8WxckSoPH+UqndaFcpL5IfxD0l0RJB6gEg8Qm3DMxQofCeotep3oTor
77Wq/DbqDueuSZtf9MqcPkKjab/QEpi/nd+nx5VoyrsERtQ1lvAeCOPhkxL2t2aDv7CjSeChdnPQ
VoPTDdOgb4VSTdGdEiOh5pZKmSOHUM/+gFrCONDYJG6jzoec4+wU1PSnTRdHXfGASat2KZk6ijVN
8jsSXDyeQJBwjx4+ZM4eZPU0GNPY8L2NVKh+T3oG2crOVP+bqc8I85qjMf3CTDB+7WcZtSR44MQ4
SBhZAp9qOH9OaqYV/CZlyIK93JdApYcOucQ9WpTE7vZnVtYCG9/xfgifBKKEAoY8TdK7iChZpaeK
lJaRJQHu3NlaMYsLx/txrRqlZdgacNotVgKozOF7CrPNzSEBYdT0mdj3sUKnRavE1grNngpLarnQ
WXqvU1ALCzs6BzYcXMh7tJcvbIuj9HV5EqBgfJtLqXkN+Wy5OrU056YJu+y7Rftzo+rNLlSl6yAK
lJ3aj1tgPHtzQgWzmjMaaemlQ+LzyD44Qj+fgasONDaogvWq+5xURWMuz6A2w/0QAKhEHFk1vhuB
sPAHDjLFATBC6GDKtJgC9GUGWcExBZzD4wIocbH2nfdD7ptXTRDKd7ag8+hTK7utB73bRjhko8gz
jru0oio0+VTzaKHJaAAk6WLYW28B9wReVtUw8pu22lo5YgqF3CJZXljqjVXX7ev5iT8+pHhRyrxw
ChbQ2ec190e0GMfQqxpbJ5xpbP9lxozXa4vO3CL6Wj39/aFIbdlo+GhRolplK8jgJHUbQcDoxECL
GXvybdlCIoePWFydH+pTL/twKcm7qLcsZUve7PO2/OO1WlOagqqKubLyGcHaapiI1KC9ZbXSe3Ca
TZeQrRIbrassB+L36I0pRZJBWYTGpHHayGaFASslqB9ymXb7uUihng9F9U3V4GziW165VqCIxyzM
pAdK3cpjQNsN5eyovBJVH2zHJOtSJBxyea8ZU7XPMRa5raaivAQWOarJ0TBYLrUlWgIOvk7JlQmd
TQqDmZOYk/Ehh3mau6g2SY8JJs3FFvxlL+1kLEg0z4dAM8Po7FH7HNKS3hc5BNRi9AQr4ZDtKVdj
2wXhRsl1vXTHQchXpWJBF60GM8xQLkn1VxXn2V/nl+voeuYVcMOhbrl8eqT3h8eQZnPOh3OCIhAO
tvdK548PZWcOe3tWE2CoNiWRObp05JweFFkEyMKAo9YxAV4cbSQwWQJyO7SPJG652/hB57bITL/N
yTi/iNa6aCW3ZESrjUlyuvSHCW8hQ68ypqhAMJGyWQ76ISmusD9QrsqaIB5uLVGPn4jCmfkfUgoJ
AcNpEcIZ5BBljE6pYaHG0qUK/xLCrx+IOinZwuJ9BNpoNfcC5cohRYdTjxirorG/w4VCvvBBHofL
wDFBa9FFM2jWURQ/HAZfiyShewUSfaqt2ybKgq+TWqUO5Klw39qN7vpJJu4LxM0eJwEsEy2X8dao
+2aL3NP0/fyGO3Hq8Ry08uBE0tdby+13czQMiKlljhJ18XcjzhC+Dgz/hxzYRCbnxzpu5CxI1D8G
W8VmE3R+thkfaGD7oxdGxjVUnC111AGplCanOBx9Z4WRV7JQccjS3YXxT2w5oi0eQKN9YmOXcjj1
WpoAQEUAhkpN/D22JPtbrFehJ1CDceqeC6bE/vnbRJPzYaR78FTblMYQlNRemkGfLoRWJ7YbhxUA
dxKVZcOtykZS3VdKroW5kyigWQJD0q90xMMvbbdTCwzX1SbSJJFEC+DwnU3s2dWwt8E7kC1iH2Q1
T+qk1ghjLi7CfY4aRlywXb0iy/IdDEotwmSLxxoHuQk3jZak/IJAoijJ5SCmJJullXd+YU5Mxec9
COZ/aams4Qhhx7mUm6xLoFOja1FCvTGSSt+fH+XETFDARoIZnXeV/7M6W6EDTaaIMOaZLGSY5j7C
ai6NwX3jL3whiDv1QkSSZDti0eJfp6BWYdNktTlK8B6wbwQCdgFaM/n8fP6NjimtJHKf7XFhLBSh
NbxbD6IytwVSQCMmIc/ICGfxRvZjy3BjUCtYvw+AnbKxmfptWMwhbOw+HMwNroEmVllh/6zZI76+
KG91oSd1Jfi6ObAmMsFcqGJjDH6LUFtYUrQ9/+SnJgikHzAfwMfaEbkVNwrE33BsdooZjKzVCPsG
gZtLDlwnVpzqJyVhCASwxNaI8yIsVAvX2MKJlSBHSE5uPE0SWQU8d1YufM4ra1SARQtZBAArFFA4
fzjmHn5otY5uUEjzHNDOQKIgIdpKjJU/5BlqqGmhIDA4a7Nr5YV5p2rYLOIFL+FnK+wHuomS28k9
gXFtt19GQF8X0v5TTwcNkSMeFQGNWujqtlXKyQ4htOVIitZ+t6HvJn+oc2D8JIpXrLvJl01jHyN8
cF/Gmii8Ns37J0yD6W2afCo+OlAy/uuWORIlaSp7blMDPr4EuTixLyyV8HBx8cBJYJ14FEFEzRDM
hEP1ot53KvTdWbt00R+Xxmku4eZjcSiiu41x1eFS4exiAw/taieXa6T9+xF93XLuXBXvQBC1UeSa
KILdx0UT3hdI7qYuSvHhdxR3v82KpLlAq8pL5/Rx2gctApNWaK/sHVLuw2dCbbUGySqQXyrM4Usp
2kXJrkp+IwU9b8UwdVdgYTwpzj5akmxPjHa5GxSqzOc/zBMbhYaWIDoxqWbzMKv7YoTG3UCpqFBZ
MWQw1Gnq0dGKH2uKwk95gMW7mmfTLpBlPDqr2PSMrJwcCYe651quIKUDhvGMqpj3SqJVF+hux5Eq
TWeUbqDtgl4T+moXI5Br62XOmkkSiNe2Kaw7VFjtm1QbMUGCc7eT0sG60OA5MSgLQutqmREqSquo
YS7zvtE79Joaf+Z2QjzrDg2fdleNxeRUvpS7RYhYwIV1WP7qYTRKj0+FoLyQFFQi88P90IdGoqLU
VzljnTXfQ/bMcwG06y+rHMQ9GpGoY6AbZ78ZRogsLWUWVXFyHbksNGb89NUI2/BngxrAvQKDd0FK
mdP3Ts2Nb+ef88RjkqeQcAEmpLm3XpEi7RqplUsw52bWbrtChDdVjXzgkDfaDyDrlxx2TtT3cOSA
aww2DOck1uNwXioQFlWsM6DogVVzj+AjmCpi/gsaUZBxmavZz1LE06MiBeO3Cbm8RbBIZJbrl63u
RbAA1KuCYCf2am6269qPkw90IzNUmOIR+enz83N8BS23GxAyMlKZYGAV7aeQ6QCrUKxXJHkg1A3C
+6ClqNFZSDD9/aGwqKOoy/cJ0mY1M71OBA8qlRMEiSIvDmZ7U1pxv5nQwr3wVic+CQ5OGEP0PFkF
YznG/ygqhAmFPEmmL2EWSImCTi+sn7OmBteSLU+oBqOaDdhbq+VLEi4nphPcGuHbElcZDH44MPJf
KeKIMoIOSl15QdPbbi7yZGOLPrgQLh6j/0zkLBhoiXmRPjCWSfjjJa08BsIjlrH8JLfQ2x3Dj7zG
3HmxPG3bTTJq5MwoZM/2djR9ffBMTqT5qkwN1PclCdHMDQEnrrNGZUto4Wa0Io3MCgMHBb1a3Qe4
GSLNHXSVZwdq5bsSWqs/SgO57U0Pdt7GUYE04cLJcmLtaAjTJQdnDGF4zRkqKxuYROaXTjLq4SvO
kt2NxoVwq+M/+AR8RHazOY6/nN+bx/c6MZEOKpVwlf7ZWljNCijkIS6EtENV+F5JAXSjxYN8KQbT
WJLVobnILSzYOFhmmI8cLtmo4C7fKDbk8mhS4ShMxhdjnOHqw0aZNxGd2D1CnDo1aCHupQLSK1Aa
FERKwiaIIJK1H+25uYjkOd61mBHS8VbYURRY1p+LhGfGRBpZO2pocW3GZBwuLgy6jaCGMttOHA7g
+EOsXeWNCDRz2yldtRgiVWmKJqhvBpu8Sc0foZwlD5HfdEhMdunr+SU6PskFSDa6UbQjMKVb9xqt
VNCqKmWIRRg1/DDSEDpEIYQ7GQjUbtrUCHfnBzwRhrG7uNuoeIH1Mc3lif74wDhzsR2SMC/Nikrz
kB8ykC8HOBEjEveDSDiM4RbXFkbPorrW03HY1g1mi/2oBU8gWI0b2s4XwW3LKXm4hSBx8X1QmTHo
WK2/+kzKFSSKVSS9EKAq4UVa5q+kDOPvoV7OH0VCr3driw6RtaSEXOL1Rdc9U6LKiq3vW5gspDRM
YIAibflNqlvtHVR2I1yrmRXZGWdAwgpthl8XpvI4eqSrxolI7EyFhYU8nMqhAoQn17KExl2PIUnf
pLSSJn3cq3QkPaFNArpiOG6V2hjuK9tsdbeXS+0d1WRje/5Zjje7rhlAPCg4LznRkQwQqr3E1+hV
NkH5BstZubE77Rd8oPZCMHh8pjAQmFIuVYBiQFYP31kKzShjezFQPfiOoiQxbVS6E+df59QoSz4i
QFrRND0ioat+HFYtiU7ShGyKPre8sUAi+vwox5PG2cieg0+4HMlrTqXaF0hvGEriRGFROwvScItY
ZnDdqPr7+ZGO34eCgUGbiqlZ+g+rWavIiRd1ekxgkzy/oTBI+X5oLooznXghQhHa70QIBOzW8hh/
fNsthl2aUvnwbIfEvovKcfgIqDy7dYMIzcDW/BakbbyBa4svcTcDqFe63kWgtXKCvKaviSDiTRpE
SMcnnXnhaj9+OHIHBfw0uQRZ4Nr4i2Na8f00hVQqqnc/SVWU0RrtKbaS9sf52T7RV1zKHNy0tPN0
vtDVh6kh2MgRkkgbLLdaPr9ZSTaxojbXgDpjb4hHPOklrgwHGKnq+kbYvHRNHbwSt6p/W2oCIYWF
iWUBE15gcqs1iXNKAwPtIK47kA1Cnse9oQbJ1YVXPm7D2Gjx6Bye7B5YTKtXDqRu8pMKg7FcrZOv
Nnf/JrJoxaDODD5FyDHVB1T1k7bv3rWmGFy0b/qf5x/ieIWp5JM78R/Y5ijfHW4/6MnwGLkjITIY
0TacyAwpXHTI+FeXZvXENbZo8+BFTMiNleyaqII7H2duhj+hFRY4BulFupTRorRVbrBQydHzDXX9
d1rMZrShWCXupol4wPFlATBK4EGLGqDc0/iYGys2nfMTcerp7OXwAu2Ihbu2ZvjP6YD2GS6LQK0s
9CN7BNp2KpzelxaO/QvK7/V1LPdy5AQaBBvgLsEOKe8nK7fghkzkD3i7zLiKnn+s41OI0h8fBW6/
BBvofR2uD94UaSi1SeY0Y5eCWxPZ3kCx++9eRQvKEKYLRUYyRqBUh6MoY9zKZKi5QwdK+lmmUXFD
w3ymqa/LFwpsRy/EUPRALRmWEOOtNwGSpaLMwRA59oBpYR9rwY4U/W/XlVHz1WEkcddDquQfDl8o
9yXkNAf03mEelFeAl5D3ri3TPb84y7QchECU2ylEUY7iCwZBuvqAo9ScRx9RRCe18vFrlUTaVw0Z
2VdTa+Q9+GZjExhyfTWi4I7k3Vz8/VWjJLx4XvINyzzE4UtGfm8XuUFqBSRlKaTa+a60OjxkCrye
zr/pUS7EelkLaHhp+C+f8OFQgMgI+huESFS1QL0r2+SqgovVdUhorrV/3+lvUXtZMP2f6DTElA6H
axCYsct+kZqxjHyfcTt7lTFYdDhnw1WTuN8lVScc3PTKLXw2ciQLwINC83fDvRl5qHn3T+dngNL+
8WrzULQPgAnQhVrfUNbAxWNVWJlQJsDuYujQbnao5MmAX3J1sB09GbG+GDMteOAB8N6bgJO/pTUl
uo1VaOI9CsAg7kI9GN7mVptu6GB3uwrlFNXJFEMFp5/lXHtBqU8IDTRdMQMOsueWCyIFRDoHSvcE
6MJoYatUsv5sGG0nNhAdgIhRh8U0LFSm+iX0kWF2RDAgcOG3A4LJZj1M2TVBKLDQnEPYgfmNyosc
SNhAtwNuN17eiiRyQ6NQ7xvJ9mN0R/rmpkPICuX+PLQ+snDqr4xyTCU8muIZDX9wrBCze6O+p2ll
xYhjD9gy2nWnhQ5AAuktNqPhxg6B9kG6jzT2aBBg2N0NpvSjQGz7W2D6KlZ+9fRXZzbaexAX0o9S
jvQc23Q9LDadmpg2d0En3ePPK+HuLoYS4WmipOq2XySI3LJv0SMGkoWycyLPaCuBsoml/SyH0W4U
qCLtssAI502llqjsWUWJsADWd7IrNar9I8MmgReEmPZXieWu2MidjAeXNMEYe2hDwUGlILcNDDAb
cXPq0skwvE6vsMhK4xnRUcQ1WaaRil+8pQFdfu+zIlPRam9m9NPaeHwBKawK1xzl+mudD1nudnaL
zwpo39rcFIDfKxeiEC0OXZlQlGpsUy43w1R2rzOujC+IuNOPisuqzbcpuyQAgliOhWdj/Vhcz+XC
rivnPKP/0HG5Ya1AMd/tkYntN+wyQ3fxMKWPV9cG5lxjXqL4Rwatjq6xUOOgZs7pezw3Ix82cvzq
Jhgx5NGUws43ga1jjgR4q3vt7GyWkajuiTSpPSc4Do9D8U6hsxufbbmrXhPUwUATAsBih5CJ3tIQ
kBWnVRpQ3BFBVAgWS+sf5RblbicPzXoh5tN+AEMYlovheoJgBd9TuAn8wfyKmkhcOFpoW/flXPe3
GrPJnzODxQtP68XszRAq8eCtILc6Rbp4K7ARzQXll1jeVBT6uKEwzDF8/ig4vsK4LAmXOPgX/Mw6
bvPnMa7jpARsHCD3L8st14wN1Pv8KMeY5oWdBcaCbwfdSHKQw0NQLU0zUovFC2aI0LUdw+Q5HVQD
2wIAqX4o0isKA/YXZdSQhc51aC6q1IYIEJf6o6mk8dexqzBToiRnv2ipbdDDrocLD3l8A0JRWERl
KSLpVDjVw2cUdFDnLiUXUSp4SE60yBLbYDVvqygSX+ZRn76CGkIfBr/ITUbpfX9+ko6XAugdWTz8
DaiZ1GQOxwe0NQOlEKgSy6X1UOTp+Nw0sn3hLY9jQ+4ji7uWBMVYworVRU+hR83kMM4caaDLM8xb
X9jYPssveqBvzVx/BTx1G1sz+laY0U6C1nEVyA911l8o3B2F6yh14UYMxYwmLfn86mJU1NJqBxWO
lq9N/k8b9ww3L+bmpjIwgvq7U8vHRzHOQuyKq99e9VUGUQ0pUfhi8VCau1JL/d9lY/5tjwcamEuC
SQYC9xXAweECCnvSzYbmGRajbbIdRCBeoqgJLlRATkwbkSDlD1pTIPzW7X/E6vFMKqlS1X6fYGpS
z1t84Ba5fvNCHnu8IcH1L3IRoCMRmF0rQNYa6AUT63FHtwhVksictn4J/Pj82hxjo1gRetTgVZYw
iarg4bR1ehM2cYRfvY3CCrZSOdUrZ5aT2fI6n6hoA0FxwJOILAoPsXgavqV6XMZOEWugoP2y6vad
1qX9hQ/lxNuTptCcRf2VytZnkv9HMaMJq1Sgh4+ASp0bHpRLy0sUdI3Ov/2JUag4WosuBwEpUJ3D
l0/UqsG6kyqxmSoYztndcC+nqXJhjk/sGTrslOCpnJEbreHFepcY/RAriwAbcoND3JRbKsyw02rz
UpJ3XPxYePeUeOk1LACzNSCz9IuCa7MikTB7+THEV+Y1nu3paxfp4ZWK5cBj1ynJl8APImTNVeOb
6BP9pepJlM9P7Sdu8jCl4Uk0DlU6uDabZHWghyXyxX4EUMZALiy6nvxZ/itMuvYnAMUIPBo0+GYz
VENu3SD0pb0qQxWH170RTamTWa149unNfFWSAnvAPIEfkKpFt59acwy9FLXSX9CzAY6q1HdvUnsq
m+08D/J70g6jhoxNQAU/LrPst+UPteoWQUEtMRKz8fX8ex4vrkqLhU4L+MVFn3T1mm1sjKUCCshB
zDd2KTUKZAdj9S8ok9aFoY6vyKW+K+heQksBM7nCCehUjyHzIP08aVqkXs9y13lmJZpgU8aFuK8y
LKy9As/Wv6hKlMDAB726pDh/nL6hncmlAfJmqTetn8Goqwk1FkyIRiyqX/MY0xKc45utZlbaDzVM
xq3wq+T1/Bwf50ucBBA2WFGK3Ee4PWxMGvYS0rDW3IAT9Qdd/4Zcl37X+NHMTZpcYhofa+AtxBmO
HRaULom9buwmJBlyKiBNJIlSPWfWjJmyMmfYoVWB1Wn7KdCCGj83TXoKVRtOoJWU6bNp5x3WZW0a
PkaDT3pRlBKSXQoor+cEOxZXayEWAC9AU3dPv6n6VTR5/RTOQ0ELUA+j7zg72YifYiby2MBtxg8y
p32FbZbUAReX4tQrgyJJbkc/MaQNtpEVbKiuxPKlsqRMcQ0BWsYl7xG/JXNq8qsY32gBaqRBTbeq
MTSN5mT6q5ZqM1ygl353NQbckpucc+sSLezo06AvyIdP8xGoBLnG8vM/zvBax7wUo0M8zOamuaVg
1sFMwGhZQEpwz++QoxYSdYvP0AKCD9/husMawKqy5KjvKGyb6V2iQo5bBLjqK/wKqitS3AC2hKne
+0WC9N/5sY8uEcZebDQ4ACib8t/D14TaJQUwJhFHoWNyDfqgcvgFbf85yv/4Nf7P4KN4/N8nZ/Nf
/8E//ypKlJ2DsF394389lB/5c1t/fLR3b+V/LL/6f//Vw1/8r7voFz6jxe92/W8d/BJ//9/ju2/t
28E/kKVH7fSl+6inp4+mS9vPAXjS5d/8//3hPz4+/8rLVH785z8xnMjb5a8FUZH/898/2r//5z8J
Dv+Y8OXv//uH928Zv+fUxVsbvR39xsdb0/LL9r9IoIAYgwKk2spW++c/ho/Pn2j/Iq9aMivABKyK
4LjMycHD//ynMP4FyYafEnWCRUOt95//aIru80fqv4i3uD2RTWUnLT/6P29+sEb/b83+kXfZYxHl
bcMfZun/uANlFTocFUrTQNaaDudatqPTYSQighlSdsF0rzAALll5LV+IYrTVh/Y5zMLEX6TFUItY
g+vI5TAj8RFUxVeqezLURn6tDBmX+ohv/qkzqxLJxyoqrU3e5hCBe9nGKjS2cLhHNNKUv4UNtxeu
sD2+K9R9MAQ3kIm50XMjewmTKc1uEh2e9AaBEv3eHnraxFTZATMX3RgXnqb21rChySt9z3xFeR7S
CGJagvXgbhpM0EJh1trPUQFNkma7Lrt4VsY3VYI6jiOaxHrgSEX76I9d8u+1+HPuV5fGMilEdoCW
BN8l3KJlbf44fWiI5DoYUMpP/uzUyNqas/Us8q+Bzl77H6tF/3Og1bV8NNDqmJvD/8XceSzJjWzh
+YWUN+DNFoUybdiGrkluEDRDeJdwmXh6feANSdPVra6gVtoOh0Qhkebkf37DGbEMPAiTxifdEfpa
BZFno7Fe7D1UsAgNy/WIq9bbjz0/iZnSFMZMcOBU+i7BWeGRkk41242BNExTZM1oO/ZA/IQyJ35y
cEiFjyx39C/sdS/qy+2pNBBA+OljcjCebXY93OIkXFSC/+MUbir/fF9WPooSXVsPPYyLJhp8j/tX
aa0xXdz2qLTTxRUL5cJN7I/Jzr8WF6odFFYs+w039ze7gecfeNS4W3iVohntTlkfw6d234FFWirK
bdXbEaaNgJQaovNdkKaLIpi2qt/1eeHmp3SuQgLNx8m4hSpBr8VOpH7K2yV57/Tl9CimNtTXnTQJ
sZzLLQrWQUGtj04x6Y7C3YObOAaiaqJpqeBry9b9rIQ9L1Ftk2XEgeu7P7ZdxjgYtWliDywdTxNf
Wuj3XTqDBUK0qtFvI7M/AC8NYJNzha1N6A4FpBOj7C+ckGd7xJ/R4i5FX5jWOmX5efHo+ena6olo
e5B9dJ1e/1knQv/olHXJGeQFYXD7MhjoUK1xU6ZYPHtWjYDVS7lU4lljVrsuHANvFwzTeGsTBfNA
hwjPBh9DiMG3jDtRim6PwEE+oh1fTxI354qaTky3rp21JFNLXFDtoohV6dC+fnsRnW0Sf0Yl2CQQ
MJe4AJ+jPgEpc6VuCTPWjViOUC6FRIK3DPEo5vYRUspQ7d9+4muDgxICvSM3NWr48wCXKZMAsHrG
/ZH19d6t/OCfxKqb+ZvuZNpE4D84gvdGVp0QRIcGnrDkPdKgGMwv42a8s5tFoq/6NS/raEFw7WIg
W8+fcp/Qkl2Wz4N1fPsXnx1i2xhtUSi4rAB4sOWcwTernscicfiaLIz3vY3nHEL9hoX+9mNe7Gd0
JTduAH1y7q0o8p4vZz3j4latkElWBzcPcgzHPaa9H3qxjg+VtV1yOjVe2LpfyKN4N9YEXWRoJjSK
3G1+/OuQcEEThTXVIjIgUaJQwW6gOLphvwkY2qn76nR6XaNl8FMbYqGq5uOgjZHzxLOLj2+//yvD
jPrY+QMSAICe9+AcPW+xZy0OvzYP80Z7PdBOTy5Nv1cfY21GDRxciJ3Pds3arbDTcjvINetsXFVe
2e7LEmn4LrMTv4zy1HG+zYuqroKxCb/NNcSQuayzn2Be+V1bBcRETUgUkCHjk/r/MAIUbHAmTC55
5zQm3ZIImdlkcPZVNsYuaWNXVDbp3z+Fex2Wnahzze0ce/7Ju1Ri7B9KEaWFOT747VJH9HPsp7ff
5fxCwsTaWDgsGoMl45yvch+9k7kqhtm0s/ogvKE85mv3AEnGyYmydOoT5gLpbq395OrtJ28f8OxY
pNzk4oqSAOLJubzQIivaxVkYb3asQ/GdajPcNJhu4rFwdIjfmmrfwYYSX3y9LKRHdukl5ukLQcP2
8ihpUZnizwSP/myODWlvTE6wnTVLbu9wvqpiWUC3zEuveC84MZGdjulxmGzMw/xO3iDzmE6l6al4
rfzx2qwW/c5NsSgfIfFdghZf2fO51fMbbagKMP3P6jX8pnFDzIMUJ15p3peeNz2m0L+2VuY63waV
2cnD25/ktcmwAe3sa9RPL04Z1ajcbmy8Tthma2Suw3rj4Cj+o0HFD4vOHuIcFus7VJD6y9tPfmVT
JX2BQgOQCnjqHA4MsR2t3ZZOM1pzqjBpMyG7ZY7JHZY5/DoPZjCGNRe2sleeygQEq4GUsXGCzjBl
fLjlXCncl3qjziNj6dOvy1z35l7aC6wCF+ErANK8Xspe+eMOezb3A1gFWDNSoW4Xv+drWyLcWCav
x0ler07ApGuH0yB6y+Rob/rrtGkTF92n0Yk9/UfzGit/e76260n81uOWTL7U6AVOPQkSv3NoiOmJ
MKTA3KVlbRHxRguT/mOo1x84Aq3WKZz6IcHaBC4SCLLTV1BTk3U5mFUQfAxSp56jQVH4nExncvXV
YNV041W9DkQX8M+r+9TPCx0NmMXd2CkVZ9wjY/5kBcomGFdY/l2xTI4+WnKoaGE3hTdFoz9hbKnC
KoPqrspQRlpNLn6I9XIpMOdF35A1wiUY1RaLGTT5XIZjh6KaXGNlHYfWeJOky7JH5DjbVLNtBmep
mXZFXRox8cLLLQHX7U2olXEXhoVz0lj6XAV66q4KpDp3/WhY97O9cMF8e4a/cp6xh6PeQgWAaud8
O9eWmw7NDMG/SD2bHOHO3fsLDi0XHvPKrgqljfMCtgb9wfPy2Qml0nx+qq+sw3gLSQHOZosH0Y5I
0jwOklbfEoNqe3FAovYuL33jwn3v1ReFnwPzFroqzbTnc3tcyinXGtTPK4T5xbT0sCtwq7xAz3mt
POUutdGpUC9vvZfnj+EGVxtcnMESOtc7ONVCULAxYT6TOPVBuxOeGbruwquWFtzRtWR+CHqVP1jD
Gl51eUlyRa1l8xntK6x7A5ez0MycNNLFxbbKy12VpY779obfsMmct+J0aJT5SGY5KYc+JwXCbmyg
jeKpa5f0btWhCUpbPKnR8C6csC96Zhv3GbyfA54nb7jj8zFCwhiGbUYGNXoV91RZqXvfwKC6MnTq
nsIVQ1o/n73fwD02KGQ6QPcrljvZTsTdNll/SRr0cmbwc9AgcZZtNfq50FSbOrGIuxERpn4yrls4
DLWGA/T2QnuhfN7eGnMc9gQGnS75WeHkkXrdJCYB9gpOUtyrlIQ4qRWGHf1sHWvC0R8Wbvyk9xp0
LWWxEPZHVn2MJK51DhV68/3W26jR/feZscvb6tHyV/9IShMIdZaaP97+wdtm//ww4Pf+uX8iTsHF
+uzespR53Y4j+MCytD8cjoIuqgwx7nJXleOFwXl54oHtEgLKnLA8SCtnY5PWTkvONWOzIgW/n1ZZ
5Wgq7E+9NrxPebtJlAmJuPCCr85DMvsQjyIYJhDrvM6qwd2kQoLQhNknn8bLgS4J27NVGs2u0iWm
MjCrzJ3gXoV//Oo0kT0Ec4YOKUcI43rdBUrma0PONRqkE4yB1XF2/jZ2q6BkUWSoFjfDtFegUKJb
ZBstuUouVFWvTUgH8IdeGEAQm/LZMrQzD3AgZNCtRtjvp0Whi7ML1VNzhEYWlqeWHG6c8biLL6c0
T5BiY7iAD2ZWBaPc0XJSFaFoTn70vTVTX8i5wVIP1c1Y3Ic94WAH5PLkCWnXy8zT25Pzlc2L1gg4
DAgJ3YM/jsr/unjWIjX9cuK3+7O5POLdV5zaQIdRi1/HsZVO9c5KpgJ3Bsu5JHx4eZSxV4B1/MHL
GbizHb4wV7mRQEFnAtilO5Dp9fNY1GMBA23OxSMRysMtueWu+49hL+tHNZuFjN9+/RdObGwmWzQ6
uCzoJaLwswWj3TJR3YzGY3Ka/COtX5dsodRHneB+CgY5nOY14MJg2OOeaKT5SwfDe4hKUxef+mVQ
u8LFC/yUdBhdvf3LXvkwaKMwzw2QhsNqOJtUhQ5mw0oJ0rbhrHydFhq8h6G1zHf5LAYSBEYYa4ck
1HZ+BaGyqT+9/fhX9vI/bGMga3x6uDM8P1q0SLD/9HNuhonTR8wN8gt0eulC8so69Syup/Q4iYph
Bj5/ShMQeRNgMBotfph2kUvnfddauLhHovXUXxcuSP5BkUAcaJNDRHv+sKKdSwPRsIikDaoR5dij
czfNp0t78CtDB7zJmCG44HA+Z7KU2FW7ZrotKazOrjLYqYTtVPkF2PlFPjAzFyHuJsUl+wN90tkE
8at81g7+udTgHlf5bl0+Z9M82Fd53g7fvBqX3yvChMJYkyW/MW2LLkpF+stapgmR6Vh9DyYTNA1q
9O86TwmDMkiR3/GP2VuUnZXjUoTF24e/nldUBhyIYAOoqs6ZLmCKbqBJZyaFPjD3+RjqCIWGc2FX
e3m1hv20oYV8bw8AYPtE/9rVqroH9Uh5iqARvhs2AWNuDeYnu838WwrY4cIR8Keve3bGw6JGXOPT
+EJ5cnbG91kpBqpgEXEDaKJO9eLJsmgG2OswHVOp0ignmeAW9Xa5Syu8DUe8tYooJ5ky7sp8vZoW
KMJuGdQnbwjSQx9Ii6Sk1LlqhX3rhCOm3cU4yAtV9mtTlSgXdJjMVTrjZ3PIWltldn4iopZrEhdS
mZ+ENv6Wd7fNVHqjHC6bEAVvj+dfIxulmNyKWy28Pvdarm4GAVqO+7dn1mt7Ccou8DRshLwXJ9lK
hrWz4PmJWX8SxlJ55Dh1ob1ZBNSkXP79w+DNb9YK9Pbwfnn+Smp1jVpWWkQdEYW3OcGfV+0AlOS0
aXihyn/tG7HEsQVhQ+FEOPtGuDDBTYJ7Hq1ugIu5KYeraqydx7df6JXCccu0QBnGxXJrzTx/oZJM
QGKh2E3m3B931Pjy0K4jDePhvRrw0pvzv3V+ouXt0pHmCgvyvRnEP3+ii1S2g7CXwsDq4PQ6qrt3
R6EuzPCXswJ2EMaef4iF3FbPSlMTa99SD5xj84RdpSH8hCDA1fT3pp+lx7fH8OWX4lkAp+z67APc
gZ6/0VRgMSYgVOy4wBgxRJg+SiERX9jbXkFDAPAQWCKUYbJDw3/+mFLju9Am5Kgk8yB+Siwk4UY6
3bt+dftIL07zzSjT4m6ps/7GLXCPKXxBSEDhoSeR089yacIPCm7EO8dai8+D0SSX2MWvDDpyZJrw
6E23psZZZVfNrZ3XIZNpIDEiIsCWboo/LiHt18T6+vagv5y4gAOw0LDZoAAPzndex02AQEwAkcHw
kT83dPe08OpdY0u1HXgy/ZAHy+hGbz/2lcLx+XPP3hHBw6RaDDF3RP8le1fa34uuwxDVLNbYD2r3
Y2Xb3rHAaxmNwOjdh3P5vS7DFU0C+orDPCKG1eXSfn/7dzHCfP7nRxE/7L/KOrrStGqeT4/a07SQ
Q5x3PSPru8dBr0J8Mrq1qq5xSXGLD2szE+hBbWn+JrkzlzuZJx6UQQKFuke3wxduJ6Uw7hoPp8tD
kU24UQDdBh9o7XnOiQ9f+cc8Ta3PhSs1/gC+knSnZ3zsKIRDdx9CA9S71lhNK6IYyewo6JJC7AKc
uKmYh1CW1zM2aW5MCwvjd1iCSDXcdTWLeFSlzV1g8Yx/Kkh278HCucKuyzI9gkkVVtSksvk5t2Y+
3IyTuwUkup1TRomylbvjV2oCIBem923lg3Bywm7N2rG1SEmBAaKfbA/94T6UJnHEabIiuSYlr7sB
K+z1Dt441JhyLZefyiKWC3HNpCR/MXRv/aRM3bguQJkwEQuzzz4WBDneuIg1Ig9fkM+93Eik7tKF
BE/jNk0SqqEwbFogtJdRN5nmj1GYzY8QNLKhLMvQWZWMyRobKhMQGIRwPoYlA7kbZknsebDgplqH
CgxloD7O9m1j2V99si5/DUNXWbFyZ+c6TeYWmzF3no9N15BMaxqdH4EGSmoN8iRh5g3j+rO3p+7J
QzbjrIzwkjSuHWV4cjzOFiVqJBebTHCztv364DYFRqdWIUcHHoF0wsg0k+A9YlZgU3Tb3XLMg8wh
zwDHcvuYybx6XyNo/jLAyfiidP1o91NxJXNPmvsgqeU//WCZP8u5b5+SUKwPmO+1JWKy0f0VLAqe
rOhE2j44RtPBgXbsrohtpFhbtFrjmxDatFaEbNvuvBvSdPxozpM/RpU/mJ8BOuz1unCzwN5XfkEs
cU3QeAfAhVUVlMBqOSyZXrLYmkei2TDKth581u6jIT3NLcAMxNOY6+Bn0UkHdVqQZh9s/q6502qg
6Wgki+MhR+qWb4MJCo4mTBifqr6o37kjVhm72lLK2pfStOvryfEn5lmQjiZfTKYoVFwv+YBu07II
WknN24V8gioqlDHezTqvfpRFvdxVjj/+KKVuiyt/MYurHoVdtDbKY3Ka5vChLYrMjHqZ524E9qrT
qLSVeYMeSPp715sswoDttssOnqkMb5+FBh78HtQPssaTBB0PMchZQ+ZvDuFx6bvku6NWwUFYO/BK
Vo32fGcQgooPSZcdFQZbXhT6q/vBnUU6Au96XcotfRrS2FGBrI4qSNWvxhbFt74fTHR8nYGlWms2
QB6AWt3nqi6aNq76AbW3oDX5Y/JJ/CSgMJfTrsNJet0NNWYFRyJuSZ/pFpxp9grOdX2TGz0JF30I
zfUkZpf036DVRGXIoc2j2tT2Db+XjFSYYfPv0vSbj+bEBRNlnbtMO3x4lmuEE74fr1a2oOZb6vyf
NjSx9fcNkXzxmrS9bVA3L/CikvCb0TbzFwdqON9tBdyOQLIQu4CjoYnOueG5OyOc6ntR1a2zE5k1
fsRJd/0ybZDEJD1zgBnRtOFOj1aVxRkpwp+NfiE+d87c4X41XY1mcXWtr/6cJQ85WzaG10M+vefy
vz6GOoW808AL0VHer7Y+wkkgjBQ1jDNf94GTd3xyaRILaDbhfTO01c9xMLM5Xop12btdgTQuzcXy
uMrc/dHP1XBvLCgoos6ZjR9LP1X+Zi5UGqDgm5vzwDFF3mxe/p6kazzpwrAILoa8/Qh1iwxJkbuD
h0vq4jLEXWCsUduunhNbNGHeL1gsdztTzarY4WrgX+OdN8rY6R0kiNOYeLHrzP1yk4ipVrFR5NXH
1F764Aii5Xw0rXFMcUQqi/dG0Gc/uKUBmCeJE3wn6bZ8yvU0fnBwOV9PBk4/SAZ9VvemkB+fsHRO
/mxANVt60d9JnwzvCH9x4hUDWyS/W5RZT0jp7PKDZ6/VF3buMLg1MMvz8GXp2p+jl5TZiaCKHuLh
ohGNsHw/BRVG6ofe4LAiajefP0iDNtyeOyotlF5PqbgRvU7IHF4zE7HlYle43M8EybI0W62jriKZ
I0eUeksKZ/ZO9InxfTDRtkfpUulfulRpg9YRhPkqdAv0tbbTeGvkhFn4jcwdHCnxP5Y3GYd2de3S
nSRMsDDRBDe2dTdW6Cuj0bUH82QRGcHOYSflPQ3rRMYwieCDkX9EeEsGLFlAHmIvjQtLYy2OUT71
UCk08mYM+/Fz1bkffucBic2bY2lyyILRbPe+tLNPS7BK65jA2ZEFRmiVnWbX6cKC00LSxiyTAgfI
Kcg70qsn7K3ilimoT2mwirvBC7NsN7hO+nN1dD3Eq7NYd2YiTXNPv6o9DYlL619kzfLTWR17AT6z
kZhnTbi1MQ2pgn2SCmfBUVx6BOd1TjLjfzUFPwjmrT9XXhfK2zBt131Z5xWN3L7OvmAk4ZDm7TkY
c8vaMR6tegVyXlNE+MdxtGlIsjmk3hWCbOtbbuPiGAmPgyOiT+E/KNOk+aqMhH9PNH2GEUPiE82M
DlXEnSHa+1Q7Yb7LlTsaRzIel/Q0mXP4Bd59au3WfBiuJ5SzbDC9VO/Ymg0ZwU5ak7uqMeu4Jtwm
jOs/hKHBbXAVXlpNGDMi8CVK4b8RvtQZqxeV5TphUGe6QY04deyTQ++IvIj8DLwTm7Ogmm4Tvtwv
V/rLVwBMh4TsIvE/hMFazISGFxVi8b4nndh2KwuqQzgwwWdnM2l0F/u7VlUNM5CaT+zSWhmkpPvK
NaNCBOy8yRRaXeyFhXXnDVN4L4pxfN8lWXbnYU16n2Wmr6+bgdVraRtDi9o21XvZyDCN1Fw42EbM
cBh3hR70N4o/cqbItLeKODEWmUaGmZczclalMUBy5+Ex1ZX1tSTWm01r1aUTl5Pn31VEBuxCZ1ro
ZGdGjEwh/F0Mnvg+WbQzjVVnLrxHQrR2Jmco5phN2hysfDHmg21rkwBYuRDrYgnYLSgmrINPX7p/
7w2GKmJ3tOb0PesjwxtsTJN217IOq6hMRfB10WVWXZNf0VQ3FaGFcxTkky5uMAeQEFUqo5LkGVRF
eVW6hvNuwuvJ3HV+P7k7YQKaRRb0AvnOxRSKVIO+Lut971ZkbBHf2oxHS+gpOPpWk3fXKihK6gSj
kOlBJIZbHMNZOpCeJj2SfD6pT5UUxQcCaUK1l7QSiOsehONGPq44n4wWg2iSW9yZkCizxOy3H8O0
3Cu3KHU8zWH5BCUKrXMStsZnt/bTj26rauvaQqd03SrfXGO37AiPL0NNmc1UeZB+SYllJ0FxCk17
Ka6DeVreNQBldKjwx6kiKBtTEy+4wI7RrPxq2g/e4G8UtD6EMpOv6tSUgV/HmAkzr7Ur/NtSGWa9
96uh9m+rFqPRiLpqonzJRIjj/jKE783aX4JDq+fk1zyPqX9YVZVWRMS4VnOyJhcOc9MG2e/ZLxJ+
G8XKO2IxjDs3sdbt4ZAYYkysrZ+cnuozi8lVZMzp6rG1Fxd0pKsfOjPLkqvOSuRXowube3jZJckH
xtIf22Uu4SyQfUZZ3Zmz2qVi9PZYV9JApxWARMSZMD92O0PXt3KdRLpfjcSU+25URA16LfG/zkJR
EBnatdZDNWh/OEivLtF3QUpzWWFTWewcNBgTMQS6mPZd0qidBIfz3Kicqoa4qyVbP8OR7+9cWOv2
KVs12mZc4Mv6sVyystsHRpXM+HvOfR8lJrIq7ONsR+MVrvn7/yNdZYmDIHSe1qW4iigScVAaZ9Hv
aLYM1gWM85UuH6AG6YybkgBey7nPSVmhbpstyGKldjsYyOOvKXO45+kMplRgJoxD4AI5L8aPQU7y
OjPm4brqVPKP56ns73Ed/HZw+qPfuFFCz/Aqgi2MRtYypZ9pZcdOlMM/ftkk6LUdohsu3Klfu1Fv
MmUaIWizz6kdrp1QXdsjL963bYSj+hAvQzH8boTlRnS8rQt3+Fd4a4jMNlIYTKmNonsGjeHGY5Wd
A5BEJsoYGePcjNEq1pAguEr9SjKSqzy3YQs06/5TKYLuvtehs59ca8ZNf0XVnSVh10eVIGalxHzI
uTAir4EuHhx2AF2YKJixPMcYoGgarTfgJKYJpoFBlVVrFKpiU5YG4oE4H2M3Na2+MANfNgw5qjer
2c0nGdj1DMvDKcNUUwKdq5B9eCjCcLwxfOn8U45FGNtJ35zKeak98AxStP0FZ/+358E2p54jKyyA
jauKhAwx6TkSaxFdUAYNz5droa/bcglORAYNXwer+U5lnDyoGrBgEOKvJRY4S4GT2nTJ6GnTFnw+
3CoXBB8tLhILsUzXXIHqa9tI+v0K9JlFja6+0AsvLoz29g3P3pbuOenngDr0587doIU0w2pd4W/a
aWFfI2LhsrBSC7Vunt3yBxcjGl6ihmwu+E7TjYYoAery/C2FkU+q7+BDDqJtD+2IyDB1iINdFRUn
55qXmLGvHE7LwCkXhztKzzUHPmf2PjT65rDC1L1mhtDhc/Iw2y1oWC/19l4ZFI5CdkG4J2D/58S+
pZiDLrNUSiFCWvBSApMb7W1W2AejN3+9Pd1eTnd0GdiowR+ETGic9xgWYVS1anwYUHPb3pIHJsWp
cERIfneGgdduDJ30aVqVSI92Rjc4wvwAi8K3f8RLoQ2YDhoQ2piYJHGl2ODGf7XS4Na5XroxSqxE
j/V1a61esJNZ7nyoTbm8F31vflPJvFZxw9GDZ6htUVyhrwh+CWGEl1yAX8FdAwSSNAzIloXRbG1f
6F+/J7cD0f2RLcyFtPZ9tToQ1SkyurUMHuusBeSus+6Ytn1AaU7uUTXZ/aGfkvkki2L+OoMH7qdu
SOK3B+rlzNh+F40nOFCoWs6J1tJSoa1HZkZR1VWsVhgNPoHG+zQNxKla+0t8w5ebEbxWug2oRuC4
0lJ9Pg7oQoyeiUi/vFmCJ02Tio72OJRUENu1INVU2EU5wbTBU/mSScr2jz/fG3hDNiL6HWyJtNue
P9ybisLuEg2/ddHyKPtuwUqfKJO/HlJmHosAYQwpFy+IdZ5XrObGNMy4Nn4s4VE/SJL6DqRpDFdo
rvQlFc7LHYhThTYYCwWaMgfv89cqgSqEcDnWpl6m9y4+RXFTNP7OGVHivP1urzzKp9OGunPTsBnn
ye1zbUlzxLkaDtC0xus4bFHBgIRrn6gLbalXmAI8gclCjUtnmhd7/lqpj9ZszgwOapXVN97UdE+I
eaqOjmKDi/6cqiVKEBvd1qEwTstq/bbmvI3hVBq7bgRFnnx8mRwJp7KfxLoHtUkO3uQgLCdncbkm
L+KSQfCrw0NSJYxfeKY0WZ//5DlUUD9TVlM3eQtoWDIGNz170QHXpfXq7U/xckuhJ83HJnuCvc5/
Ebs3I5Ir8bvLdvSojfpeYggR4OHVq19FRtg9GrW5+kp8aoFfonLwJsPpKpu/99gMjHu5yr7eBTUs
sNimh2E9dlmYhqe3f+MfXsSzFQdbAotJTMyoQtFsnZUA9mgMSWWs2W6lK6if0lxhrLX0NhbSFfC1
ilMx6+romU22HEdlYbXRGdUARbj0k1j5rqHQpHsSlgd7/KHv+hapH64pCzVlC3ucVpC4w5jVkoe5
7EdimZwktyILVVIXUXY1y3Xt2vLdVOdDSUZIqvZDamTqSkyJQSdClErfDbQqrAsr5c85d/bqKIS2
1jcjgMPi2WaTJDV31jah7LKn9biIXqi4MoLyGwCE3cZrMGHoD4jol3Gpnao7cDhZh6IKq5KoV8Q1
N8Pa5nY02at0b/PSTcS+ou3wwYb0/pNUZSDEInTWdueNfPuI+mv6VtStBdBA7i/2SCrPBvqLefbh
7a/6YhsFxUQ1i40GiggMg85a+z1pDSUVZ7YTBtc9kkj9XSf1coEM+fI6AXeAW5LtUjxTR557DzJU
QW4S9LYrpqS7LeopVMeh0UMWV7Uj0QMFYv2kZdIAeOdNfZJBgVlCPnVtPHf0OEHq3FDEqRrRYoN3
JNZ+DlSxXmA0vRyNzSqdEaHEx9PjnLTjAXibisbezjcLdUynYcXOrzf2fzvmrHQ2QsKmqGrgZz3f
WUBG3ILVCpSU+SnIOMSB3bySWHhh2r6o3mDpW5uHGHsYgbve2Q4m+O8WFij5bum6LCZXzowwCSEn
uB6b9likCg/zrWeEDaozXEuXeXl4+01fVAj8AsYTUTYkKAJ1zmbXYjSz3a/8AsdqxWFwSGTwEZzd
0q9NZ4C8Ue3xfQ+PFu3Ch7cfvQ3i8yXrwH/bQm7phWxd+eeDjNG+nMjqpsO69OtuQXvybnP/f8+u
Yz7iGVJfuJm9MnW2u6i/qagwODg3lktQ8cGnBXIZu9K4UpXzS6Oyv/BF/ZdP2WTb3IU2heZWkz9/
q4T78FjpGVM4r3afSsDq8pCFDpi+pG7I9sVQpiVtygy9TW5MDSHrCEh1ByNsAWGCjdHa832bD9NP
4ZjVGDmafrE/Oe10mpumeoJVon4kIpvYB9oBlH2wlvU9PDbrrvL90T9YS+4Tfb629hDN/NJveP6E
Yj+V5ezEK2uKvGlTYIneG0MN5ub67XTf6g6XBfwxDbr+jRAfyJItkn+Cyu7nE7oZLz3UeBWFe9qz
CVpeaMJVXApoAvHoEEG0B36unTgs09Q5cNQrnB45qp6sBHV1LLvOeuRWsrQfW0AgfaOscoVmruax
38O7VlxUBlWZUdONJEfR3R6+rNCyzDjDFVTFRZa1MyM6tdZxLNeQmmK123shEn/E85Hsg3hgsTym
EK5QMagq+ViQjPF96LwOAgGChuFrRxv6yvW7EUJnlq3yv1vGX1me/F+NTJ6Zn7xpjPL/peUJ29b/
9ph4YXlympr0u9TPLU/4G/+1PLGs/3D3wD4K6n/Ajexflifef1AL8t+5oHBJxtfs/1ieBP8BVODU
Q4oa8Adbsfq/LE/c//hAHCAcyGks9kfzbyxPAKG2cv1fu9CmK8Y1abOm2J4UnLuetOC0UxOGpDcF
4htltdlXHzKCnE40Ud2TbW15gGNtHIKBXqWV3M1uZpz8GvfSws/sAx7O7q4EiI6Lsv6U0H874GMO
zOYX8JOXxYiSprUPHITLHhTWftfZ1nhCrfTdDvLiwS/87tpbsQEd2zaI3Mr7Sr73r9k/1lPyXQ5W
tW+7YLrB1GF9ABDpgd8Te2fJJruxciH2XT7AUE4DFV5TKacPKm2BuUfXOuKXdDV2KF5gOz+4IvxW
6IaGb7fCRFS3wlRlJKxRHDMPS4NkMsVhFsJ+p7zNb1b0kmZys7ZxEiRkHFd4wWXGUL5XXkqROIVF
8DHlHr03uE3uey5Bn9UcJCfbLRwztoccoF9CErZi6MLGx05YNWrAVnzsAlhfmEr1DSdOOj+VA5Vy
tbVGo5y69hRMktTowE+rSPWTsV51fig+Tvwf23B2eIaRSmPvJ2N0jX2j1gQTAhidN7kgVBo7SDPb
mQZLnKZeGmudL3Wc0nVUW2ex/YIp77HxW7HP2O++EV1LlwX32SHKwUwG0hv88oOTzg6urO06Dfsp
oDmijSIN94IXxZk+ycUtnOIhSuaq1mTf5fk+Gfl0Tu7RPvcl5dpuMuEjRV1g4n42+dbTjOoRZaGu
r/qy1yfVVT9tbf/TVuu7MV+9fdU6+jfIOah/Jiaysoqif7es643ZPZrpieq0xlACS7G23/w7yrGh
JTfhCO9nk/6izWy4UZS238Vk3ODUEa2YD2ABPtjHtYecE2jng07b5mqY3Z99TwiaEF8VvWbLT360
ZXpfyvXYKONUm1umqc8LVCNfFXjgYSIx9J8h85xItqvcSpB656WZg8evobgVmDEJAR08kvnGKoLq
OJl1+MCBEAfwE5Qr9zo5hZxHt2ln18fAFH3cuPIH2q3T2tjGdxUKh5ozkyngsIWKJZ+N5oqqKaS3
SKc6qiZLf0Ygxj9nG6U4kJpZ3UJnlHtsRx6HvoKosHTBR90P9aPSMLmbGVaCOS/ihLfzfBdKlAJU
BDZAoQ9X1cv0TdlAeFLp8X9Sdx45kjNpmr5KX4AFarGlcO0hPHRuiEjxUxpJM2reqM8xF5vHq3oa
UwU0Bg3MprcZGRHuHkYz+16JgtU8QrpmSWkWelKTEPcGlU0FgzMUl7EDrVBST49uX2dHM639z0lr
res8tQhjyrGbIn3o3uhj+vJIN6YkkMMuGsosDcfJ9WIKFbRIUjBW2uVnN4sWL6o09kFp+bGw0ZZh
d36bmA0fICsz6gzhB6s7ydUyYYWL5RQXT06/1pp8iXBVvK60XPNoXHW2il6f/Ki1kaoyzoVDQTVh
UOvIyVpDp6mwda8pWWk34WjzxemZ2bHHNpcqD9wvbEQviFQ8ikTKlyJvTlpnsVERk32a2dVuC3WP
sWd0zXG27vGywZ48QgQgAxmalcm4f21EMCXW4rlnf5zlVdy168FLq0SQoDXpCRxFw2HTTriVjIca
xpBqMvWd42ftYyr1y6jP7h40czlSPOfdCvxZ4X2HPnVs+yw/O0ucSnhXOdC2VLhssZmGcqFK5rmL
wFcPBHZfA6PYS7/Zk9vP5uBOR7+xrunAo9bPv0zibJEoO7sVJUgoxmxLsalMcePlF6d7zjV7DINe
JdsYVAk9Il60+JV7SZUTwxb/kT5oJm/nNK1KREEzU2qe1x1R1vC5OppD0YniOWg2h3TqCnaYbp/d
4lpEQy/ZveSnmp8cUZQHYn26V0dXNMstMZkCBfk7SNlG8U5p7hYqqNrKcU7NVCdbY3yths4u4Xtn
xig70luqgjBVBUfIeB2Uzi1e8/v1JmwafThKR8AYYwloSj8xZ+qzdOgtMv99e0XK5r0tTcOP9wst
gSrhb0CDXdSOfc7n31zNfi6IDKzTg+1sbmStv8mFmvf62Ik9z9tyKKztY5pGk4PBIZJuleOHE4h4
strJQR3Tz6zfYHoqFbKCbMx2azt0STkNRTJsDsbJeTnlKSSkVwvEZZ0IEXI+rFDxg5VpTwZqgKdU
Eq7f0YIqyLvy0/xcGS0vTK9iry+etLT7mq2lgFPN18Q1ZfHpZCjj7ELwJtl4Ig+lkenRnmuOLB6r
H6ZHV+uRuqwyZlhP4K6tB/Bhi2wva7simlnep0wOh7rejv5cVnsnLxEsjPoY52Y3ngDJE6PWoV8v
q9+7FN3KUoW53xn7dA3MMJd9G3acvoS2H+4Ie1iK7nPqVzPUhu6FEi//1DBXoMTiyMTUkR5nVfT7
dhQp27eayU9vngmkSYC0hlNmNXvR9vWBPjf9NBAE8DoYD1QAzPG4TSilago1c7vUkxaT9aUvvzYf
9eaqp54Xlu1wI4HEOaRoemI1aESjVXnMIjQOntSDp7HCZEh0Hq1mtm8fanaPqM3MYIeEkpw33oK7
d+c5lQTXokxxtKzku5E3WL5gUhivxEE1j+S1v1llsccQlUib1g+CHGm4zx+DTPxWphfT5cKRkae/
aj4LBEDDF0ou/m+5zPgWCfhytyL9lNo03zKfMy8tdYeiu9XYb0G+XKiHhL+cXPmDbqOJvOxNpYnH
HaxISrYbsJviILbMivK5Q4/XspqWbNyxo3/Mctitg7FfC+28deVlqT4zwVlZfgZD/eA6NZxnn9hL
u3fKkoctt26AX1FvfdDN+dKUznNW/QwE2pigphyKXHylxUZ1DVIqXq1j1Y6f5si5OvXxNLSPOKkO
UkyYcUiQyyWSJHL22Ret4YapRD/JBjzdgN4rKKd1y+zDxqSIeMm9ySkfDvkM0+Er66kFs6TQNdEm
S0+GaeqTottbc7Br3fpkF5+rdHajHqg9sfnf1VI/6r0Z1535wgT12en5ybHHh36wH1UrnwYWzDYX
KMBU0MY9ZqIET55K0rmdccM7R40bK32IaxGnEyp+0kayhzrPDluHqAeyMNL9ezWCaH74FSLpvPB/
aNVsJn3PcvEHToapJZtF8qwtYaUj/eUQa8Op6tMktTLnWErXPMxVs6cB/GuTHTIdaj+idEmfpKcV
B9ttjHjUUsoIFvsFN4cVVfpKHKxVyFun+Fmu7LJfhaZ+5PlUJqZZc1iryjk7Y9vsg5GmDa9ZIzdX
KQ3I+VWs2p888K7KmVlciLEtqX6veXBdEYoHSx4HQ76r7tmz0rITq1B9ZN1flifVJ3c1foYeZZ2M
i3vCibbk62dtDPwdy0l8stAEnHj3UVfzw+i7v5pRfxFMMA9QbX+4mHWnFrPUp6WsZ6EPvCr0VHOe
h672Ygvj2adbbZeZU/po9PNN5sYNWHSv2Az6dr1/iNZudJZmv/KLDrqetd/Ea5Uv2HmXY1H+oSE1
MoW/g0drrlvNhQfvRjTaKKd0OxdXf6oo++i64FHUFfEFm5A3nqknX9S/UQUnrY1NtdWEfpxQFSbI
I5AITaZlxwo69WKl/YyL1XYSUkbPbd9XW4iw+GXQ/FzHWraub+j3vJ/4uP0ob+fqkmK3jO8oOzJr
Ipdc6Q9xPlH3DvY9xgaYAACCVSMFVk0YVAWOQNd91NdtTdDCc7vI8iNGwe5C16v5wJA0JkNbfY1p
egOFLL5SlV88Tvqhm4Ik77iAu3ktz8IgeJoTWSGQ4TUaLQBoi7L6GwmzeRAzhA8lGtqx9REvhoQn
sR3evXxeOcsztQSvmmlz7pPDIc5mUE/ngsYw/Dz3ugDljKd27tTLkm/945QWbgjwKl61FZWy60kx
hJng44BWDY6clvKMczvbFSBLBE5qQYK8sxjpgQl++F2R7YbMbKOePX2/zXYbTaKkN6P3J8SdbRsD
S48nuoVqwHLzm0Cb4PfK8zGhLStvTQ12WUpa5hdv0MNZz79yv7LIYMqMI8x7cxLtiOo080Z1VCoz
3hbD3WJ8yC2LNFC/zHSSu6pfzw1ZUXXYVEbwpkbO4SnQ3MjWB+9E+Eset75YE9/f1tAT0xqNvKp3
dGOIv2fpeI9LzpZkzoZ3qLzePsCniHAiKlo7+KaRRvOwfszrYsQZuksqJ416fCyDDm1ntXzlRA03
scR4gfNMrvJKeED6qCqEbKr21v3KTpkMnbZdq7EPYlJP5H7tN+sHcJC5G91hPhl3aWDk2+zEtIYQ
w6EyFJcV8sfJneMBlGk3Nr089UGgnYKJgZgIjzfPqPSPeTKNyCFz/X3jpv2O/xjKY8O8yu4u9oYP
VI02bozaHP+Bjr5wo+9D6udUjn1sNA0yOi/trzURnPGCO+tRBiaWPa9Uf03WMEcyqMyrsoZ9YTS3
Jfiom1wzw0Hg7GjbbyMXFD16UuMkT82DeQ9Z3Br5K2h6ez+vWdCF6ZrOYYd/be/pi3UpKfeK3N6w
nxDqf1H86ry1k6GofkQ4OfCcfazmXXztuM0lRYq5T/NOUaikOdcql6+lcu42DNs5wroKVqv4GgTr
K1VLvNJSd3LrsQ7NnkJaqlr9s3l/Ikneea+MrnoeLX1BhFAZMcqhJytDnoTaMZ4t0Vxaz1muDObL
k5yMIBnG5nNy+nQ/oZW6dFM1xLT9bGxH2Xz24HQu5ZyWUyKgSohW3UrUh+v2UKMV55zlrt+TpbDn
BNnyYEEAatoPs6HST39s5WHCFZEUU+rsgpYjR5897+AxE0aelxshopzQxcd40gzeSzpR/DNBqB8p
MXCfrSxYD9KbxL5due3GDY62T1MG6zPxqeaNi5rz0/LV8LDoYzFyCbTmR8mezk6U27+1BreEJaZj
ZnUykdBGz8L9lUsSF7onORi/MgxoQlKLecvbIfLdgzU0P1fO9JPY8OoEbScOgdfLXQBMzrVzpgEj
kI72TOC7E2ZgrO+o74pYg4j8xYok68hHkiFQwF60sYhtrdxuJV1Jn3zw5XmxvOqPndoLQY7K2ftV
UL8SvsHGWiLJlvr2apIVQyZGurznwgg+m3lgbplN+bVMRXNcU6v8oWz0o1uQGmw7E7FSZIWJ9rCO
Rly1BMtPo6x/t0HJQhhgOHu2JWOrIjWuo55oOZIRSm4t+uvvaaCh7WbDecitzExcX9ON/UCpahXZ
i63dFi61zHXYjj5tO9Mq7v/1+JURYtGEub60t8Zt2qeK97ivW66NEbFo1WW17BkHSiONRxxe+rGw
BKrR1ZciZy7Pjau5dNaHW5TiYanNhduDAVQc1rWdq6iZ0/llXJp5iy1+Je4m6T7ohVG/a51hH4Wh
bTfR90ymhld3R2X5bRAvOSlh+YwWIJxl6z3ZW+X8ScccSpArMYeY35bR3FcuALlTemfPdop9a5KW
GkmZ+zGDqPmTsEuqopZU21WUmhzYl7rEkZoVr8bmMSy0jEwlAvLZa4eT3o2UEgBmyOrsYtjTIqb3
4GcWbE+CTqi3tmK2EI3sz6ZKQWsYrUKOucCLqR7CypX7rooLueZFbGBp25up/00T1HEaA7qWxpZC
ASpkIxsM4JSPhKxbddtds65cjqQcnZaSganUzk1uvSplRLY0SerK5G5gHBmzPn0maLc72HcnrWza
PqJDksl9W3jJSsWrv+2Vfe0ExvOCKkAzNZ95F0fTGT5t18NbYifl6Ofx6Mqjr7Aq4CVzp085U8br
GXsR0CabEpta+OEwP2RcXW+r7/Wx42ihQ6UD8S1EunCsU+RbRk5Rc8TMRWPGODZEomBL9OW9qt1n
EixjU8w7vFavti6SQqYT1NBhrv9UPQfaZM+hW7g3Z+vbVybDaa8v/l8YQTAu6Qy3k+9gRxutAlRk
ktvZzV33FNBpERVlufP17Nec5X8sY10vdlEdnNWZI/QXdJaZOHAKu34HvcCGB6YYkiOah4G/7p2l
aPaOH5wbnagukTtn33J++f39TjcVOQ3jfsANXkcawOhpcyY849ezIgo1/6wml2+vLcSNEzjxunWJ
DEyEB49aN1Qk4B0mYGUOF80l6lHcNzwHJTm6tXIlftuwQ9flnqc7/rfVVTHl9ARt9okIULX5GAYX
RQV0a8po6dJ4rBi0M+fmwMqUQChippGs6H+bi/e4+caVWit088Fbg/wz0hDF3Qidc3cs0G9SXKzw
vh5bvGT8uvWhzVZmEz/jg11ZFQ2MlvWnJ23YXHfUkWEvg9nnUVqS2qKWy9VfbKdNfNK2zd45L0H2
w/MPkrCITSI18oLXTbvDYv7ZmDGkoAAgpi5UXnfe/AkBfu6/pZ1zk5qR0dkFIzpoj5Zp7cd2+dbz
6pqVvOPBXBgF3MRelx/0coTcG3ZL7XG4i4cyvag8X8K+SE9zrW7cVB8qG3y4rd0yaVL/SxbOHG/r
fU/PblMzYgoqKDDoUvO4rm0e4kCOixn/n2lv6PS1fVNCoVVoHMOAESZslbSPnPrvJZFRKaBjPC0k
LujdbdnirDaPBnM/M2Lc6g7VVFiloKy4MzoL5k88XaxGOrMn7wRUQ9Gd8th+FGn7WlMdhmw4ufQa
ghmS+jd0NIBpMJV4GVe/Pcxec3F1cVitJ0BHrv3zsutaTpMU89o6N5jD+GjAwIZTXTHfIrsNh95z
I9o9l4Nau3DtaBWYkHhE4H5Ps1/v+mrgWUNNMEzBFIJBhABlxykj/0ybb9g/93QFxJn7Pc8+g55K
OcyD3x6STqtEcFxXfzqVgtXb23DVG1N/Vv06xV5O3c4spypaSiohMRXZcWubxaFLkZkR1dWFzEHf
tTny2OSs7la7uoINr14wTk1TjKU1RWsBM3rKpYyRLH8p9W74mPOD4BHWPpJFsKNJpIumsdohKbz7
3iwaWIpLUPhxO5EVOdtpTF5UMBs4GT864w/ahm8u53PYG1IlWu8/VY2VHjNnOVPHygMvx+28wI96
qf4kBnktHdBWNvmfjb48MoEcxTx/9Iu66OtHYPa3RqKlA2HykrnnSkAAw0dZlPucMcXt+KN0iEHq
VJ2KceDAXbQ3zbxSXASdgcJfH88kXYa+QNRFwpOpEyArLmvVHLXCP1BvnJ0V/28ejxhpiMJ6Etm6
a6e9pi42OBWXIPvkU3uZ1m/gDmGVvsn5YXLZUbztxTBHQP5hVwT7CVy0G7D2rvTgAbIsuhelwr/C
poT5eC7lB1tRyJ0DKxCMBj4PT90KbqSLPceri9V5s55c5w1TZ2SYX876s+rfYFoY9hgHOQ969t12
W86Krkav2/X+Z69r8OsGwonhoN8vC0PzMGhgbmhmqoY9jXnyY9F6I/Lb+kwrjBd2RbC89vZqxSN1
IYkJURPVpv86QZvvmsW82d64XmWvmENMnDnb8MdevJMgDNg2x8eaEW8X4GM+2R00A/eXWMt949yl
9StikQdJK6KSxX1VN/zJ8kAwNNJsmHvtdrGxyN0jjONy9A65zhgKYY1jw38uN9tNXG2dO94D893q
ZmfTGH/giEbNrqnRu1oCmyfdXQd/cNYLcJZdP1v18IcjCPTD4yZj5+MFMSG2yuq+kw+r/5iWw7LH
34IMvgL4YPuFzPhMs2yiBGTrn2f9zdOaB+oGwhqDaNTnlvtYUOlypIcDCHd8sSvQYZexRkqOjmUz
4i3NPofBXi/e7Oy4W0PVEULVrWHguB6BUO3FNJ82xUlr7quiWinbWYIdqpA5MRbvFVNJTN3fWS/1
x657n9UEwi1eK83DxDjEVMTQxaAbcAP2bhaQa812B00HIbNTgx/q4NR+ugMKLw/NltHHkPfug60v
7rEaumuhO4C5XZzr+a0DyAVmQVkSNMGzwOHNLOMsfC9XMQ3EXbfwzqQCTCnAQ9Levcx6BcXRY5QG
Qy7ra5aeS9MZD/W0ZswhqcQO1qpnI/A+yyIrjn1PhYOhCmywKBBPhVdFOZ9CBPPvXQMpjqJocazt
pEV1JHK6ny3fFjpmre/1rZaxY863RnlNopDo35Y01/edl59tv0JR7etx5vTJlDXMdV1Txm1rHye7
Pk4S946dp1Fn9+9g2a/DgPC0vbt37tU2IZRCHS3BRI+Wz30JI5rOXcMfh4eMe/Tr6lLpiRuIq6kn
bksZfIvZ3hvmhBXcL/Zk4X2stfYAuvBGJcwBK9PB6PznjQ7YeNBHQKxgAvB3TlvuP1vc9MYe5hZR
c5gPVpEIObwJSTEIapDI2gYbPLjA5k5ozNXoBzNx7HlK8NT+lXOrDrfSV4etrX7ma8ql0eEImyqu
Wqh1vkv/29vks4cUCRRifsX+dCWG+81neNRA5PeFxUUqI4xqx3iPSV06R4HSEHernUeKbqGUMGHk
W/5Wn3oanvdBn/+qfYi9/B5cw+GY6S/EqR2bDVK+pcQ00lcWIJ2ddFOw4NM21rPqonkoqRkPoBWE
1uQndypPoG7pbm6ndT9JbMZEw9VRZlv7dtui3FX8nxX9njvOx6KVWrTVm/6WCd8Il9l9mHQyjQZs
pNF9aMGGjTu/IXJignnFdHon4OQzh28R0hZWRMTpunvZzH+6EdRidOnsTCvL2G19VkaKIqYkWx31
UNXWY1HOA7WJLGM1+OI4qE6cMmmxBXULlZajoi6pt7yDaww/0nzrdmAYZjyrNI+1XuwWzXjheXxS
BegN0BaNYoiMErkNML0b4FiqV8snGQaY6OZ1ZnhT8jzXevnbVTaxtjJXp422XLyYlAfDfJu7gkwv
nH66kxTbWOBKy+ejXJz+qLk+PbONqKK2UvcbX2kQ8VCO0d1YFFvL0mO6Q/ugF+CxY9HIRGXUmC3F
hya45iGe3xsTCgTTmuvIVVoRD373mcEiPZlMILEPPnXzF7tJQJLKyJS1Fs+Eb1+tzYbCaCeqpcp7
PFNQvqyjel299KsedW1nqy24cFskvWWACC9w3NHQeBcj6u61ZSbGFqzOGlEuR+xz5RuJrv6lHzvn
qEYgbmRhgM6r/mTemeWtqx9b12z2RTC0vwe8gofFVPrFlFnwc6Vo9KOtmuWz0JuNsKZxBQrNIASE
/GFojcv0sz10bv645uZNIxgDnJYX4Ldb+7JIawYPhcRAdRo2i8SBbQS/q86K82BqEs9UeLcHwX2o
qAIEC9wiBNdzDPQl24hdk53hmbN7y5CnxsLr3lyyTXBr+2gNcDwn/eJvh6wJ1tdhIYjLJwL3DUvr
VRh68QNehdptnKChgd1YuHyGlFHsp6Lojh6RkhEFrthT0bWkZL6GFk5PcCmiWISVoDgUx3xYjVhZ
c3Fs83KH0Ku6A2HXNq3VI+kq36lDxQRCCHa0fjP7aM65SeCT6OOgU6dAv6yZ/j0AKOSasdPQjg5W
c4ereHqQ5y9mOI6Wha3deel1Ms/aum4PuPqtf4hE/1tarP9pKivnXvfwX6usXr4pbfq38JtKqP/1
7/Uf8U96q79/7z/0Vppr/o3gQh3RFYJOYjPvMsd/dEzdv+Tf8/R8kqcpO8Ma85+KK8P7G8YB8t7B
1UwcByZf6v9RMsWXsHOa2K7QNRKfozv/HcWVxQ/6v/RWiOfvpkV+PrF799Tmf038Twc4UR96KTaJ
u4imEqfWMrBPTOWbJZu9npl7OXh/gjJ9ZcJj3B5gr5VaTt44BNFgFq/pxVd+sLPX4HMuoR8b6sua
lY2qHId3yEQsmKK9BjWmaPTmUTFoNA5NKSbbbSOz09Cmvbd4EoAYEQkFwl+rLp290j3OB+c/RKf/
/5biP0sDpz9qGNWff6Myrf83MO3ftIm1zf+EXrS7++K/Xr7H4bv+pyVLl8z/kQga/t+IiiPYFoeS
TV+ji6fvHyvW/dvdVEYbH2ps/e/dZ/+5YG3vb3rgmLipsFgiA7/r1f9jwVoOXWqUzXCvxpAGzGb/
dxbsv7hYscSgqsBgZ/P6HLTa/6LnbR3BQctihhcd5nPp6d8uYyV+CtM6bCZMT+4Y+f8j1hUd5P3H
/pMskafDIcIdFpvn0vzXgmDTFpWyDSihjhb27a2b/bI5Cly8XkxLfTDGTGyle2nTteseytJvQXhm
AiJIabEbeS4bzVEnKIla7awJ6i9Je49ZctI3ciSBDfCp89n+NjLoHaSLcEcReTBBiyXCW/Uv7B66
degCXFsnvSebOnassuP8ktOCjKRKrXPH0VPQWmp2H1k2rr81jBYywtJWxFmlB7jRvX76nKoyn3Yz
KQAmwVn5rJ5Kojxf3LKs0niau809IdrkJsPJklrHegvsT0cbt2xP8kS+8tKWeeRKcs8+THr8hzhU
yoLMMElPbRmRfK7hbg0ISYNCQ+6wwi+pwjvn04SPJR68WlWhqZQ9H4dULOLWB0V6b1idAlLAx/GZ
0CTjkZwzn3Qj0ju/hNAfSX/J+1gjJuSKvrLZ5cqd3NC1Zu9TNKK3iTzo7faJtvZWoI1sF+2lJ2PC
SobZGmuyKDC7YAgqF25DuVF9zUbjfhB9nSaNqVyb0ADRffmdrx71xp9/jr1NXLBDsGcaI//njbZz
wYBIqoYpfuptL+bElvQREbmSg6/5Gl6oaNCEaRyQxPHvpLMEMOyiI/qJ3Awv3NaM+Sk1rZcprTxn
RyqHBWYFtp9knT2geppRdkOxBXJ8Ii1qml564fM7U1fIL+ArYAzKUwmi6S0ImowbyqkshvahwgEE
+NCK4tWz8WHsyqyfm2Tt0/KXDnDih0shnXtMWW0S3GQNZHXJbbN1ICjRVGq/kTFydyj5mwVJWCIK
+e2TwmdYJ0S4JYooO9v0DtHlKNrdYPcjVRZY0/onobfdl074dP9UaTZ/+4lEoX43FLXJAEcncNs+
8qtXWe5Uik0lIX8tVU9Vb1jVE7lmQ4WCRyzIAOAY8nI/DBbrC7mk3j9zT9OIFm7XthnneCbDe37S
JR0Wb6Iz8/risOxZhW51/99kDZGtA1v+j3/0N6OYDvjywOBx2PKT023x8Bmpynd7K6o7AnBgsGfS
zjcKOZpsPBIo7bk/4DOyNV4z4fa7jugR7UORMePut5wG5siigueLsCHXSjQ5C8bfeeRdN1bPF7OO
8Y8gN3Ducepl/7U6XKrj1MWSx5PSOtyqPbwbIxRkg9bE5vu1Ud2d2d5iVG9TrXhU9G5ZSaAY27p8
9xgbqqcZgE68ciaJPlGiYN8Yei4GCT76oohLt+xfqWnUiqNcS8AcuVq+98skGcaL3WXsddS1svkz
9FrxVw1uegM56ZyvvPE3TufWGHaoT05UEKqdlm3+u0U4TLCbnd5+zWThPbSjoV/lWh/yjOoZUmgW
3TSjXKqS6Xa1w9IgVLD3jsCHNiF/admFhjvutsx5s9YKICLjb0VrZGhJmI6BALgnIoHqJ+kAS43C
L/QQLdJytiojfSe0e1RJZWqF98ww8NpY4i/MDfMQtgT67PV6MI6IsJogbAr45LWwHnJ24xpK2J5f
GjJB4row298mNZJhRabac92KA7OQ2nmZ8zGVAUhJg1QWAv+989s/gj/01ZODjHPbOGjL3O9XctaO
XjP+bAbxiFIdGd9ADJ2eai9aic2BMq81Du5/mWCVISoNeSK3Mcbd9jYXw74b9HzX52i5/GL2rlOf
DqwHJnWFgnktjCS4q8OxTTx4TcPOivwdDc+YFQ9Bmb/jcEoomd6iOjOHxLsHcFZ4nD6NzGBYqt4b
ez3fW0Ii3chO4+bv72GRpwGmSrmVfVwDuatVetlM1EG2zWGA9Q6lOvoXge4zHFPkvLpEZy6t4WwN
NbvYWMLQejOTHs9sZouT2bGPlhuCF9NyPjZvfbVqgExcIPoh702yh8xNHWlBPWZDjU4bzC5Npx/d
RjaSahxgSIl/H9sBzR9kLUQBfFaYjfAGqDq2wI+tdowz0/pNZ/1RM+pDU5hA/r1Yv9KKy3aU5vyV
8llH5aQ3u87QLmaZvVokJXD0IxkjCCfcFnWXvvpCYl0vyrxCYZCPO32y/Gd0dprDUCqvduaesoru
zjF1nnUinCIyOAYyCUZUlN6zXhJzOvbFZQicw+RjGcUs82AW5BCPC0UTmV3us24tE6syVwiJGtE+
vS1ktCTA5lZ2CrTKkZyTnFRa1RRHrQt+llOPL5fMvhKwcXIJYiPVDygt2+bnwF/Qq7D5JM5cPxtq
08o4G3SyxAZ0kshdVxIpho29Ses8QaDVgga12Jx7gJicZNIBKexpf3QOAKflG5pDxPTjkvl81Gom
1RKo9ZN+IfpSChKsQ9h6DHK5OVYnlS7dazN4xjeIW/Yj0LrOjVxPIbU1VtyF5bo+qp58SzwW/qcH
z3WCo22+87RXxk7ksID4NTHO4koKCdfMEJ6Ae2VuhQ1AYSvHnS+BiPuOmukwL+ccPG6ztaRHYoeZ
QRbXPKtqNsdsy2J9mfqvJR+Mg9Jz70eHkDTBsVg8V1wfOSeqadq5y+o+jkbwrTs0I/kkjUGH0fpR
7ZHLte5PpwoG4wJcgLDfp7BdDwW3BYZ1tHP7ziUxDGLejTISEx+lkS1/BbIw4wDREyDWqhUfjt9t
UUVNkxtJheg+Hg0k3GD30iwSO7XcKabgCh2ZqdcrmjzudB96WQ8PxK4TWdjAI/q7Rq/050wMyxxr
esObNucUjqbElSu23OXO1SlvP05UufSTyh+FZvT71JwRdOlTddj0WT/52LEjAHwrUf0wxHUGlhu5
C2YGcyn/bsao75WO0GeERzjPNOvQnriOmxW7vVbJKwBKEdX5xATVVoi0HFXJFynX7UC0ITlJtAsZ
R71YyCw3ejKUVqDtX5h2173Vl8an7AyrZktEgBs1Nkx92NRjfsjAPz770SUGX4wDJOekYbIQstDf
vTnYk61KEDo45iG1lTjqgtCuUGnsOdiSHXQGs32FV/VOmSnaF3/xPopa6XHfTwZm5qmnWrtrHgpy
aujecffUFhh7JzNRlypLM15Vj12VM7aJZNqAzMtl3lMnbz3DVN/1i2NLLbdZIl1o6x3SW4ftEGi6
4zw8I/5R+2a0Am479QS6d49TQOj9PHHZfgbcmzmppHseHOev/83eme3mjWRb+lUadX1ocB6Arr7g
Pw+SLFuDpRtCkmXOZDAYHJ++P8ruSluFdCJxbs5pHKDgqnSW9A8kI3bsvda3Rp2sQlwFLMINRp4O
d4OsN1np4bMO6ti4AMagH2GszZcJhIwS62mGLyGOyvKlwXxdYh/sq4NPK+lypoVP5zvaebmkD5bM
Xcujbanc+6Q0SYkVu1m0Qx+BF6POtOcJgNoXXbaSE0sgioNnWEG099D6rDGk+NDFSjAqxCmfWq+E
xMYU65U9tUWYr9Sw8wY0MDDW5JETfrCyhgFnCePza5YeIItsQg5jB4EYz09kt5+Nvtj1Gti6lWhT
SSPIw7TXpuMRO7O2zcxZ3SrL0vpVnmnTPmv17IQgRm1Lc7AeAk469atdRy6YX+UG3al3Z3WVt8Fw
J3TiKLaidF38irYm+pAmofrs941/YUkP8UNX9J84UjKdnjUPQXvUc0rzx7gO2wIMWDgxt6uI12nH
m0E3Fpwb2oZvbqlzSwPiMh9jD1NXK10E5vqEjaCxJUnwnVbgO+4HPdiJKva70B19RsDw3FaN1U/P
YjBFtg3yhMwa6ZrjlTtoPlCc2E/l3gWmNoRjFtfeqZ2d60LN8OoQZtWgMXrpHRNsvjc4i+jQFiXY
QOCtx6pkQNLWfrZAa18E+qQGCoTRn5060LQVL9VcayNe8MypmKlLq9iYKeYgkJEx4QnofLaz3Ub5
yupZ1IGVIrU10wlRFqST2H7zcoLv4/LHRCuCbJkyzukMQxJSU+2mTHeon811xJ25p5v01Pb19Cl1
VUFk8pC1zppaDA68EsUFqGDtQEsyPncJOqmuT+8AxqYnVnXjxKDTuexTaeCocO1d4Dd4CjonurBZ
xa+cofI2JiYFaoA4vXUGvGFeQxwQnerkAi18u24zy35BryLuoZ63Z0QP/TV4vHyH8e42s4rmoE9W
fnacsrqVY9NucUDhQtDjdqchldxHpglQjzVIrHPm/nSVdBcIIcyTi1yZbNTkc9Ubxk1U+jTEw84b
WJya8dPcj+7OqXQKDUYGiVwnRdR2J6LE5AaPQY8oyTCAr7Ll70az6Q+Ln1qd9QTZ0NLuOPqVq+Af
umCvm3Kot5assE3BjxK8aEqFKAIG+SQekslMqAPAooqDdxbz1HZACdnE0XNzrGQcCNoh3+XKiD9G
o+tu0SSbF0VTeXcxQbDfsoCEyFDBKL0qdXnFCRJSc8O73aB+xUnSF4vktEG0RbutC05RRq2IYKDW
TxCBEOBkvs3VEilkLDl/UpKQG1VR2u+KQcs/ul7dB6Fmx/in8TyxgMVOsOTMWkZy7AheY6zNLHJj
NpmCG12kX5saCXAJAGSLqsmWTA61RG2rBoPBqnYwU3GOcurT4A0eCQmcLc+aqrzD1JZR2Lj43ATZ
Alc29LNnd+oc+MjTfCzaJdFX72BR9GlnT4sAHyBKzAmDuYxEZbfJatwjI1Gs91acNw8gQpgroW75
ZBAruXGmODowBkuPxK9Z3JDEbN90JKIHK7caIdUxlQ2+OSxFN7ruvZbxyK7bxxTBidn21oorj00P
jYl5P8UQcpmOCOtForNdW4oNjjKg4ACKnpYDqsrFKZnN/NDKtN9qMsE3AUQk3jSor4HoZqj241bV
TLkZjuUpSFBTMTS3JSISzenaeza38tAOmFgQa6m91BpE5LAKhbkah6r4TK5QflFYRXoD0j2/RBdD
Do9QM98+pnEuyzHKZM6wE/HuJnIR4HIAkhQKUs+zr8zH2m1fdKn1MnVW/lSUWsmFnbznVE3jUThC
7LKqIitOBilRhYGky9rmeQqGuIyHayUjvHVF4pXjoesN5/PsDWa/F2gW71XPRV8tKblkqehaChWm
SjkFUkyd8qkhZ4GpSQDHk4H0zmyShugqlafXgGkb/Ki56T4WRlx0K5o2JWDuWTBYA2qqir2HedzY
FghcnhHhDM05d4bZW/nTPFqHBEzoEyDI5knXyvkWFeiikqrRSvMYUZfy7ZG/cEECAmSiPs9L+5Tn
07AtMz+5T6DZIyZRuT7vJRXnN4ozhDE18cF1qMEqWLxJcQfDhUdstErjgfaUHgPfHRhGp1Z035Te
Dfs3Qjp9aOuvQ4dUFqI1ElHurKl9ykm7Og6o3hbR5dLgcoqe/13qonphX+iTw6Bp3jWz+V6ArHXl
bZp3zIXNxCL2qKHnsp+TZpYrlYr+qPlzs0kMfbihy+1t0tLBLqYTYnjfCb84EmNYGnjxnPgJRRGd
BUeLELshqdVoNoyDsIpDZ/nVfe+apbNNZoP2mqZAUgFJSUbg8h7SyjBQFtDqMfX5s2FRp0+RELSw
UkSmPI52wQYju5pWRBJUNKP8EvjZorI3xDFqAyUQ7ifyhZ+m6Hd6Sg0Mc+KB1IfoBDQ2Gjg6ZLnI
N5zd+CXCYYtaa3EDuLUQHoKhCIP/xm5LpsxGO8NGbvi/8Uxa3LxBj7YKeS9u6+9/n701npyleWKm
pXXw/fgYx1WMGCKDBn5gDKYzVsgHyW4Nkh/rl1ghsjfmfdGaY45/ASlGfVWSuMynIKlBn8Jkdufy
VAT9gCZUTAN9J6bs2rxFaJvjtxjLuP3ozgH9mSkYxUNlO3xXAmwRKh4/4k8jK83yRNNar28ts2rN
RTllFbfSmLj8Uglf7RXKTkxBWTHxBsehsfKL1gnM5pnMSHowZUSL9UcvhwYWX5KpyC2kryHTArwc
UG7U0MzHN0EJqHWvDxpWbdfpshGcRiMeNMfiF5iAbZlEvzV3LEG9fAJL4bTbodW5BkDc+XAu0kq6
qvXQ5JvWiQ13Nzlzs8hpJcj1fYcmblypFjX5SnGdaL0KUcFjMMj1Dem0GeUJAznUw8JjFkSyIhkK
t7rZFeM1y2Wc7Vo9sPMLDVyUu0s4rud4ekY7c1C7ZV1+abD0lGf0Xd09hX+r7ip3jOSt0epMx4fa
wySj93GkkCTYXrOSPukOFyQV80blUDvFJVZy3hXwgc490AeEdlqVeHXY0tvqMpMtK0rPexhP/pgg
GM5ci76d71qRvRo0UXWb1K35iEBCePum2Q0jBZKMd2mHsg9BdHnWXCZXzKXsu3T0Cd7pAOSWjrHN
K28ubxjVDm74HzpiJvpt8HlrFTkeKpoJF5SgnSmu7KEymM7XrfPw02Tl4/chwf+qOuQajATbf/7j
PVeF2Z+JnY85XmC6PIfvuCrZgMNPR4aBfM1qrqrRSg36KT0JMNBYiECFLY998vev+UbU+2lewWvp
5DYTZQyAkrHMe5INxTTTRIonBCyaeKB91+uriLvhVXK8W5vd7BztqYVR6/daRRBFB2NkO9FqQTCM
j7sYykysgh5FQkbSBJNznQBXq3EeG4bHA/LQxWLVYFkzw4mhcsXBRfm3tqv1n73GSLaB0RhHAAMG
A3cXR+pfsEzfY3L4eIFPTrgP942Z5fvvdNZMYbB9TCFn4JR7u5aHOMkbBHDO+BE7xnBhecObLrq5
+f03+29XE5SkBSDHp51gLbMoBkUvT5/SKubSG//R8Kgh9J/msM9MCktE0gfaxslr4ggOEAEjqOwv
rqWxMH9+vZYUrQyQnWUiZxAl8OtLyiptu8XExCJRRJez3ePhBSCBynx2BOxYkPlIh7wrzenFsfJl
gK19bGN06n6rbTVVD0ZI5IfZ/cUb+3V0DOc2AG/q899MBJfx8buvomqAyzVs6GERmSOOt3L8CDiA
clFCaPgrzN97js/yYkB16W+CLeFpevcUBeRH1HVrdCGRFxyu8H5bKE5GwtZ+f33ffyj4TwzaPIMm
qQ5L4T2zbQIrlfFMwd/XW9rtOr2iYkNidU+odlmzN/z+5d7fyLwc833XtBiRMggIlnHnT7dTNRkp
onIWMfG28aRjyvCBsJBl+YtyFn041UsTio2BzjLIQW/9+zdACvW724thJ5Rkot5I1YQa+vbvf3oL
6WCm5Pcoxi2zajo8y8WsQQ2wlcsIUouvqDnsHo0uHuKtg6P5IZoLDBVO3HQ09Dyp0xzENxmEiqni
ZQuGJAKy4vlio0w4RaHlo8RdRcrCi2dDHaXJplg/Vk08pJwxZnPej1Y2eByIE/RgEUs0dhS9NvW9
iIUGh6tTrP3f5zJODzhvzSBhqUFtixmTSW8adxnVbbYqtbF99AkBSE8Vhax5ySTCFWsN7OS0l8Rv
qo/FMHIRwe0b9S1nCzZURjeMB3FHs+mqXucX+xXYuLDFKIraS0+XrXeI+LOGNpFvcnLgTw1UnGus
T/wtfj3HQVRjQXkigcQwdoO+kPtUllANmH3Jm6+lSnfKUlxK1rX4KRb4A7ZpZvjHUrY0gm0FkyPD
b/RNt/DcrviOU2oAskKbY0cKRnRfBah+QiT1yd0s1XztaZNiMzVt3oJTRIylTPrvxZmENjb0wusp
QpSvkcuRONPUvTqFTRVdB0mnfR4zK1KHqe7Z7tsOThyABKRl5E/4abmtLZ/fY6V0kjbm3JAYbweU
VBjYEqqo3PL5oujTpDttzPguI6Y58z5qY00dVDmyQRPijfb6ez3iNHmQHsfa1sZtailaqaj4YJso
Y9DL0+jBfg5V2tC+7oIJD1j/9hu61OZFOgY0aDrboVnoIGka7BnuvX0JHh/aYw4uuWlq3uxMjY/O
veyT9qMaA/HQzplieAPInE4zTu4Ue969aUnumkxnzjFpQ3MZKURWm0jkEWN9zX+K8vGizSpmCy7S
6EvDtTlAFtiuteP3Km2EJVxzYXs71Jq+XNt0Nr8ZGGmvp3hRFAPKsZ11VFaIKTk24cr9/cP6Tvyw
5GK6HLC9gGUX2vgb7f2nRzXAeiIsoyKhq02p6WOGitd8RtYp3440fWU0yWVGQqj5F6/7fvFFubRI
gzxeHyah+b6aMAfOh5E/MPAuAtb3WFtSc4DkjH+BoEMk8stOh7SAhpZhBM4CbENy8etqSF/V7lVW
y9C2NO8uCYzyNdNhtOyTLHAIt6qwr4eoRDFSRrNRf1E8FN/+5lccBLbrspkBMWVTe9uMf/qK52Ay
cXYR9qIP/vixnijjaTV514YJ9Se0nOkr4n++g9+/6vuqgk+MPMbnT9xNSLvefXBmcEkAmYHOiO1n
J8vgfMOqtcy7C2A2fZwSkfX7V/y3fY7PiYAi0FH3oWiB2/XLxjPw7I5lzhx4TtBmj5hiBbBI6zWY
JEvJ71/r/e1j6g57DKl2yHXIvnpfM1WoVgI1ZiQrBhxFyL0RuXYNnGSunn//Qv/2fPChHL5J3zEQ
oBjv43WTLq5saaPehLaXPzs4YYlsSAr+Iuhr4iOkD4n/TdHx+9flyX935xLfbrtklsO+pTZFy/fr
18mmV7ktAffUPgo+hE7SzGTrZJeTcFGJjWnX7le07+M3Bx7QV0eDvLwC0NQ+4SdI1Ubzp+arWWfQ
sRGrOKecCeK0FlFQXHtlb92KyivPwUh3E+NSn90FDKOfynRxqtSR7wM/orvHVttPNDKRlw5rYF79
U0HiG5odDB1H/HIOeOAhmJ5IZGtBjGRak51ZneF9NW79PKhIa3bE/40HxBmVT9qOx3Y1pXi/v9SB
Xyq1SuwGYwJoBbAJO+/tfN1RGGgrMjs48et96QE5oyfWvQamYhlqwfCI47DkGjFOq3ptj+KGVRuE
ChJdpMBpzah66R8EqLDZxt+aS5rFuQIJLXPoj3Y/8RviQqTVpa7AUeZebDDGnQelk93mRqB2Wl8J
5ENdWXLmNVu4TnaV1CYbJ37PGAQHuhLfRq0yg1nBKdX3F00voTqks81CVmEavmrRBwAgWBpBSSyh
MDCz/ZqpaumwpYF+1Tql4oOg06HnPFEkgFwbd05e2M3KIuHvs1H1MMMsEoFdeIls/JOvA6BFEqqf
Wwf/EjgHW62FFJ29r0U10eHUnOge3lPlbScAr/sRBsWXVqTDneNTWax9zcWSCOHKOVUSI9hqSjI/
3VSB3xL5tKxMCjnennG1j6GyXjLfp8xW9sofh16egEmgThODc/q+Jzh0ByXrWqTl5+9NoQwOZvsg
kmG5VIFPTSDilHrs+/+fSZAfn/TU8fxzinPVJk7Rzb+MEDHXnu8SqwIgJ3BBZLXag8Z85gaoak73
yNaj+RFdTH6qDA3PUy+0hq45Ze7OgbWwHaZgUNsiGKNypc9dF11kFQ3orSxV22xQgZTlRTpgX4NI
6cKvc1D4aCt0h9zM3/Uvs5x4y1WlYrFzS5+OdTGxddL+JtQ9lDwjxGm8XdxM4u1dCVfWwameiNZ4
e/L/lp70pi75z3tR6C9C0j8lUf5X5EuaHED/XDp6fJXt6/QLXnL5gR9yZ/ODbro65OelUgGZtPDf
f8idzQ9vAFZ2VewQDojZP8SjwQfCbQyy5JEbeQa1zb/Eo3bwgaLDpjrzSBTlqPS3+JLmrzJOQNTE
i/MSgc1b0H0OXr8u01nEqWCSNhr4hYHLPLJuKWq0WmwmeyB8q6ir/AHjQLfnDIpPGpgRWvmGqFqe
m2H82uYDTn/JMRdJfX5Dr5QnqqEQ/xIN2CujUUrQ40EpH4ZGe7ITL3r5+/fbn95Mv9xy/90E928a
99/cdk8VKuzptfr1zuNO+XHnLYr5JTKaQ7RFO8JfJLo/7rzggw4LBq6p4VuMbF2durPiyJX88x+e
wf1FdAmqZCIZIB9zx/zQLXv6h6WpYWEJXu7I//O/+XrjV/y/xQJnbN/9888dwLe6448OjsNs2yIL
weDOc3Rypt9nA6V2LFpow/OawhLDCo7b+JD1hr1tXS/fM8P0aD+D7+83UpPdZRM7XXrSZ8w39NWz
uNhrWsqQJ45AsYaqcawYI9mAHEqDyUBMsxek972juYiGU29gUJOk3jZR0UgllOmgbkZDZ6acmXG3
UOt6VGn1jJbZFNZHF23IN+NEq5CZFJIuiyDPoANZtZs5jyAHsUX1lM2KiY4eZd1nvJXIeGmLMCBr
9VvQJ3GJpSUoT/S3Z7m2Em2iU9GAfsJIPdAnl21yHFwne4FXAkTHbctVZo7xUYz2iJ/aFd0dpRXD
tiRuml0LDnVLS9MgsTSxP1MsR/oqm+PuJnZLpG5OVD1CNcEtOLp1iThTM55MtI0T1DifeOamNZ9G
kanHCinQvh5smmWqLPf/8xyq6fCVHqb9W+PL+YlJ4dMvD+HyA98fQtP/YFoBehNvMaZwy//rGTT1
DwEqDbD5nk5N4i8d2x+PoON/0IlFMeiOM77mpMDG8OMRdJwPnDxp87LakoRh8OC+e+x+9xjSLvy1
SqdPbNHkQpwObBK2vvHu0JOPHtHEPuJYLAzVtzJQwUNV0rVCf97tCkuLX/OqbypkaqO/tLnybuNP
3XihN21jb8lWsu9cyVAebZ0m8XFnbpxtJkvMu2wWkEAl5/8RnkbuQS2sTcgNtV0AYyL1qH5g1Od0
m4wHAATG2KGMkV2P9K0k7ZmHyYmmLgQlWm8NDGsmAs3cHVZLqNwN35rKiRydx5fRpie3Kx1bUQIL
H8VaDF90WIE2noqVz5wI9IuTNpDHmpTpR2LrGODGSE9xmhfZF6vwAQrY7sIYaKdGio1lJRaCyV6z
OC6M5KwSYWzX4VzbUt+bQ64dI4PhhdMO88c+iKpvLY/cMUeSDL8OSYZXzPKasFDA/DoetHFbAml+
wg3ud/eT0VVIV2DnYeQup0vHnMC94FsGITsBDt6MnUgOAZiyEgicD26zcnqIQMTgBtsGLMYXCXCc
nlNQiSdShyW9ohxbK4g/He4ZazfozaQn9mrjZ8r7KgcNM/isEpujhEidC69z0UM2DQDTdVrJ7lvi
xOldbPMyuDZ9N19Vrad5K4Y0CdGNjOguDEh2iOvBu95OwgZfHpQD3M0UwEtYdYmDXtdv53INkL1T
+E7aGJNTBq5LlnXQIB7ykXR6mYvuVbj1oI5wf2GA2jPbxKYqkoUJkhsMOaMZecUwVapbxX1mfO26
wDpaQiv9EDITWqe+z8EKFmRX7RqTj8PltegUg1cena2Y++44EYcoGCh3iBTyKCVfyzDLPqJI9kCL
VIwx5b5nlgp+0W+CcPSkBcfL7NddrU3exhBdqSO/IlYElnbbnbveAuGEA4r3gKAwHiCPedOzpTnV
F/qrNfeMX4/PNiklBJXa6No2nW0DyVEdnd2V6iJuJYn8FCR2V1VniceCeOW0ba5tzQPJYMx6tUJk
mn9dBEocKFPPvS3LzE02uZ9hSmgaApA2/UB43kAIxxeFwTfHg1C47BTeculrolFxnQadBFVfd9q9
PeE92SObiL+RmjFMu4qqzF0PUK/zqxGFJqJEKMWAjkcx7RK0+0SmI29GZWnK5C6a46BdiMCRhA8q
SKXKlDXfCQ5YdH4gGIJpmlpDwBiQ8FuS0vSSrZajaluVtmGxlWInhgRa0OzN40FqodsE6nHsGus+
wgQbrWnnICcR4DnaC8vP+yzEAuGVhPwRJH6sS6+yD3FcQ5Rj9lFm27bIbH+FDRVyQJHRCbgiyqsj
5MczZmPVtjPX3IAXDF5KRshCZRHAdyUpOEbI3UCWxatDSbESQQDzoAHNNh5HI4luPOynyFVm5v/r
VKT9Nca92jimmo0FdWR2OnwehZ4bj2ll2dBxNKw0zFyNUawbObdf0GY6dgiGsB/DUlqcscwpw0BL
6TNlCAvdDJMyYm4u0FWaJ050HQ8mHCbUVy1+eICYw7lDt4/jvoc2cplbQfpNkTPZh0keoGeqiBTl
2qa51e5QGOp3JM4FPmQ/kb1AJvfUdnAJIlnjqLDiZ1vr7Ucw2PHXvlPWV5mUerFJKmzw57TrCdlB
gK3fQWIBeSJYRzbSNTSgXqSK3gMwdFXo0GoPQum78b1Xmm1zxu+QeptKOOq+KqOCkFb6SYRO9whk
N2NbwxlwHNr0K7s2QXJj6HLja3MqN8yqsWOVbTM/B72hjcs8AM3n6A5dtxa+M5uhVaXWzezaMbgn
3ehIWtc9rcFo3EsUN4UeMS81UArzsu19YxftszXkKmL41LReqKJaQ3ph2DUMCqUhO5IOjN01VM/O
AM/q1um2m4mKl11BGr2ma943is5xIS1FCKsoN63pgAYwsNCfG6xXaQRrjNspZyLj2423QcZKxIov
RImEIxkRwzmJO6Byoin5JWUDMHYa56pnqYO3Y/HIXH0tTWCsx2SOFHOGNJcBcEmhXlrZdNj4VTPf
aEYU3bSe77f70vcfNI/xEGDBbN4BPXWPcySHZ7ii8alzA6wA4P8JknbMftXVY30jbV9dDChtv3XE
Zfo7AFXTXqFcY/3kJV5E5ohvozZiAyoM3WMzGYrexF+OZjgcAOCi7AXl+cjy7blkJ7nZF0fZxnCj
MXv5NPuuuvcbo4USmY7dR8+25bDJ52i4z1MNKFlkL9IhLpCz80quC67DqTjMUwSuYNIZV8FedWkW
V15GeHiUT6a55rxBILah+p1NOO7nGpVFvC57xkabxCkIdGkqKnV0QXrw0Isy8QjcjpKnHJWxH9Yi
04twRofabv2IkeiqF7T9Qpaj+Rufh7YOk4og2E1Qt+0z6sQMKA+GCVTFlRyvEplMC6vbGImVjdEV
h7ok/mNVG5HerDDP5dAZtSQBez2Aofk+Ef5b3ZD/T0+ny9T9z0+n5/T1JVGvVate019PqMvPfS+O
gw9MT77P8TlSUlxQnX4/oAYfaIy9RUphaA0QNPxRHOOrNT2KVtr0LGwcg/4ojhfLLf5tHNwGAg+d
5sbfKY4d3tfPsxedCpzlkDqbozMiFYeezs+T6E4fODhzN3Mq5JjVuVN7mpV9BaY1Xw+R6raxU+C4
cqBjKHQ7G2uku2hVU77W9c698Rghr5vK7i5mzJjsbT1K8fiZNIEvfhlLZE6lvSpd54oh1rDOI8E2
C9ZjCXhn2bin1mUhLnzzkAtPhH4mkPOQkz5sBI5ixrNp1ABuKmsquEKs7RoE9IgcYpViTr3VyrpK
w9z0DoIkRzQvjovI36+2vl/YVxwJF5YVIfeZnnzUNMoYXx+QvxsDzrQFpa3whSFZqZIdOCTvk910
9vrvnxf/M33CX1o7u9f68ql8bd+3HP8rNhO5K3/33HTja/lMaRP/eqLkh74/NO4Hh7MfNybkM58H
YeEXfH9oHIJnkCzQNGRb8JYH4I8Tpf6Bfj5HTcaJdIToCf3rREk/0bahLCOnoePD4+j/nYfmu9zn
j86Ot3gbHJ4VnmziGgmg5Cj881MzCSeJrS62QxPzDiedEWZNSXYUWHT50gjoNRg3SuaXoKinAE7d
gqzcZHpGt8Mo0STnc7lpI4TLnH9MogAD/y4wi2ennRXDmGFYownkDBKrp7R0n4QX3dXSfpgZxyeN
5aGhT79ZpnujTxUkxgTcrZFAFjMl9mJVnRXekqM3xZ88zf9q2ynh6bZoDuPMRF0kCS5RnwoBwDes
SiZ/YZNEz80YDA/KkBMM3CT9PA7ptEJS0IVzrAPkMiIGQO4EGS/WaU9xAtlUEKT5nEDupqqdt35M
4kVSl/aVHunBPnLJtwnk0K7ihHF+q6odrKBbv4oekaWpI7nZ10kEwzmkHsIx6PTNLnOm/NhpAcca
TggrYrEekbtdmwkhc8ifXrxkLI4w5bOwbOvNaEQnP4HzHsUW8vC6fHbSwdql5LKvGJw02FuCKBxa
d97qs6Wgxi6WKoENBQ4PKOLSwYfq+k+DYoTQY+REgJio44iM9NQq/1G0ZJZzeDKfa056nHul5+xt
lslTks0UHmhVgLh6t9VyLKq0cgJfrJahmJ6tMsvMqdY5DU5EHJS+dsYJgFoaPeblUIN3UX5GLTZN
w5pDyqfEHpGzz6SVi8pl4p3iKXDajDe6uDXSxA2RTJY41uWdNZm0IJrJ548FuBM0xAJMpDHE04T2
C/9CV9/ofeQDLwaIiBnsDt6X2ubGdOEMEN8GcEeX5jIjxU7p085j4UUUzIgRB1AKAi20I6IcEqO/
VwOJSrbZfIbXF4VT218ou8OYixh9o6NdDVMxbUVlbZ3lHRA88xQtGUqRgYFDLT7hMl2Bcr2cMb6s
MXc961PsbroGUVsh6q3A6N+5MFhx/4ZGic2SleBE6M0cxjEbQRVQdfZYVItqvtLi6pbCbZvXLsKo
UVNh69yDh4y2KnLH7eT4DaBMTke1gL0rzcrclBbsokHoe99KQI5E9td4cGiWVsO929o2BCFdQ6m+
xNsQo0ioY/cgrfhGJGP02UHpsU+J04Y3luwAXbjryTaPZuvv2eSrkFAM91A3HrxHPqWxTWtFmERB
B6IVY4sBxQjgWsqH1itszrTQrSYI1/sMK/hKqv6o992475V1wPHh74PJ2gnyQ3Y999e9ruSzcvFP
GBW22Xq5CHFiDTD2m4lkHv9R7+IXnFa3vQW8kywowHEFJ+yW9xSWwRzsOGdglcDRGRZ9cSmCEau/
zRddt94px1956E0SqEZOR8e2MmfgLS7yW/xMobUcyyAKPLImcOz1ua7JaOqUt/m99GWxTW241V47
fLac7CFNB1JGxLz2zd7imADrAVB2HvYG9TJro7mzW04btePPq6Bskn5NOeJvfU1dOnLeTBzKVmqG
bupXwto7KRSsRrCVx7Ts+dZy+9Pktc4Ntml/zSn7zbGIgWZm9V8bxnQiGfHQZqbkUXPJqSiSOTRz
Uj0wPl1TcJ3MamBV0VJjVT3Zwzx+auLiEDFnhuXsSSQ7tImCWffCwVSXQTw9y2jId6jTcGE5UfQV
4BQGVLGYUL3bIIDAFTdgJU1Ez7iN5tuu8p77qDwXMLHDpo5dznWNtY2i5r4YgpwZc7Kv8gAGbKM/
zzFXufBcQs6KLNrit14XUo1omboJpIkGLWDgNKwi3o+hxnhPmN9rLjs91Iscya7VX4zm+BUf6xhm
dPctrA0HK+bk6jGGCv+ncqkIWZluJvH6z3+81F2l5PTpNaat9UsR4tC8/vOK/6Kunl7qf/uB71WL
9wH1ED1wj2Yu/XT0ov+vauHfLNrlgArEdxBVLVF6P/rgtvXBQ7fCT9EKp9OzSHJ+9MGXf2Uu8lAU
ND+mVH+jD87c69da33zLwrTNBWaDWMU031UtXqI7U9QDBmzMa6QgmJ9P184as9U2WWXrfn8xgT/U
qzD+7K/047Cp1uUu3YG0mbYziJ1hCk93Mcfssl7trJ3a9OxuX9h/j92WtTvbDl+mvXPsNygm4r3j
HknzARTcXt6RhRKWe1iZG387yzMIv1AwIXL3ZnmnT/tyZVG80K9bzeTIXfTOJ5GGPW+MWmTbr31j
M26h98ePzrpbXXe8i+tuFW2CdbFLDu4m2aXrPKxPybU1rNzp3J2Qe3ThXRcmZ/3SvC4OOh+HrKSt
eRRnd2fuxNp5OGnrgl+irfV7ey+PeDaf02206fZ3tNU/WyEdGV6BpoV3BcnFOkdbEI6pF+qf+gfz
olt14XW0ajfGFU44J7w7Xt/dBeHFafmHaSXPxaHdPNorclxDeZbnOpyOecG7OgFKDL9sb27i8Hlc
izMGww1Uav4yv2uwwngs41540mkN4ahdp6ybQdjdJdsK9B2/2wsf0/CG7yrMDmqt+Ltx7b3gCQzJ
E/XDZ/lgrfNP6IPC6sw6egmtc5XeGtQYKT2hXUa52tEw9Agrs66bl3mnHxB0nOxsndshEYkkeCC5
i8/OdfqRSO9du+9C40rN0CTbDeBk8wqWdIczlowD/2rwPsov87ZY++v0THTaNrkjNjd01tjGyOFh
qrg12PnXngcj8mOzLgryFkKtXeXX4tkeCE4Lu1dxZdBZe3W2zXW3YyCzVi+odwEGnaqUy0bkwONI
upaGznE9ca1pQ86v/YUDN2e3dI52eRjcVwLLXajfQi6FEQmEA+zORj7GJMyu8+TAKpscPlbJ4UGO
h+RbxwqKc5gSZRtv1Ek/WGvrLB+mx6EN4eNhNkPDFSBAtDNGsWvCGYxh15DGdm71Td/fz/Fqsbdc
ZyHAhp1/Ly6Ss3lhfZbnYdfdut5H7Tl4Zta61n28ykGor8iZ5CbML4FJXtX8c6ZdDP+XvPNYchxL
s/QLNcpwobElAIKkU7l2jw3MRTi01nj6/hDZVRMROZ05tehF25iViKoMd5IgxL3nP+c7oyfDqDyW
K1h8C+SPshf+3OCknTZG5Y9Hc0+jFCKviBCL0Hs8RZzUdt8blLFt+i82vwqQQXsDb7Z66N+AEunH
7gI5vSkZMRzQIMtop7rBIbom++SoM2n6Cm75le47SYbN9Xo88P5rR76vXYlbQDltIMNGLxLG9IeV
36I6MU+rL+ObccpvIt/eBxZrWEfyCFRvJU6wdQcjefoHUjrngPDdCFHSyZ2g3Ia35YKEuqE6RKII
94WzrgaM9CyAATn6qyvB8riXP5LthpXeBlrKTjsR7WSJwLP3gw+GMLyNtv32Ou8Ue+OE6Q0aGUeH
Ndbghmf1EjzSCuCuV7CsPs7PEYW+8qZ9531BgC2c6gWmLYL48BLcJtfwZvo0LK/+Lr0DQQZgzKS6
VbcUrOl+ET7XFK/MD4rqit18Kraas5292RvwWu0X9wJf4eYdHuaJyya+ST7Ts3HAh2W8FS7Qme9B
wSFhHGe9Zu85hXU75fUanuw3dFUmUslVuVOvsc06nXXX6zLvO0fcqifl1TpWDS035WbsNx/yXiwn
6+ItjulbL5BjTmSvHDTAd+W6V+980xHn6Es9W1d6B7z5Xj2c632yY3BYU759Z6Z7hGLtSWv4QM25
QrTcpS63Ze/tLdoljWPv5c19tCuvB+AmzrNXbaLNeXY9nf2V9wEJ0A0dIPVH/rSRXe2leHtVuZmz
yQE8se283h230RvA8A0c4o1wJg/m/I5ApTcez8pWOOdi0zxBm9Quy4GPsIkHB8jzsXc7j/rCvcxf
QeLZVJvBMVzQ1TZ/h1yzscnO+mF0eUP86/kI1Q1Dzo79CURBrXDSk/GaAks7dF8Y7vlj9vVq+j/e
xbl7mhmN3GQ+W5gn0yMzjspDpXN7rI+gAtjWERnZDF+Jcmhdml1Es1mcectaree/Oi/f88cjiG5W
UzqPKspO9E1wAfkAWFn4/bylA6TZGBvdz/StlNGCBrHF0eWT9hHKjPpgennhVfdfmSDyGWzNxTvJ
5snnrHRNX3il+6a+PSab5HDv7L6kfUEM64a+xu3jGcqWznyWEsk3mhX3JGMP5kmc09GZrzGHqN/W
bu2q/vpvvKK3JsOobzxjefsU07L3fKCWjFJy2yeLz3bvhdX+eTzSmARzh2Y0OMvf5sCRPlegOmNT
wvPaJfBubZe6BeI79LVdhnCngR7leZjxlhk1qKAOrG0l7dRhZ7ug75h5HAyiAv8jy8v/TZKXgXT6
FwvHt6z71T+x/v0/1o1C+wdYRfaQ2j9tEv9cN/JPMC/hg2NZiGyF//9f60bVwD+BOx/CKKs5mRDr
v9aNoBct2QDuKahAQy5T/y2168cK9GeNmIUi5j1idxRW4mTClPer2iWPYS6FKTtuoOsQfsFEjOC0
KFAqjB782YCO8QZF5CqytyW6Wv1jX/qdQqx3jm7lPqGpoKKH4JgzOmvb+zFgsdYCAXpSNWWnpjIp
duGFNSSphO3jsrPE7aJ0RGZflupEIY2zvvRYPSiT37FSGG6k6qPEiStBMdqFj8Z0K2e+2aDDMm8x
nWgq9l1Ys/bYlArTmTKAD75b6sznmWoEIdSc5lDyf5mZTC/yngQb8yxkqBq2TfM9yxPcRjyM22tF
+UCnAUC5GpTkxHVzPwAbT6uvZeQuYb/MFd0Xef1Olfqlk+e9pCLDpGxcw12jq6eU8CRtepspf7HS
dyRLzLqhY/Lolrgz0Z/i0ulVjrbXzCqVoR9KRT2bfi8Hih8Nb5Na4gcOvSkYt/qM3qSO5S4PnoDO
bEUVbvOS9suax60absUk9ujbHERGpWLYlmCFVpprCoMctckV09c0Ytci1m3ezvE3jYYJOjq08rUP
b8j8w0oG+k7L29wAOsLZzI41wL0wBh/cZ8gEM5nbZfJ3sXxYjPbsN2H0Tteonsh7ABrv65yzC+Mr
A60HIC5Uce10GiQoH/NlGsUm80WGdzmT/+2r0ZM0crp6dwpQ4jIKPcvIixKHaJZrF5DCl9Snp+AC
HZD7Ve2s3pJUFTRbqv481Iybe6+pBs+cqrPKZoVORqEgR8E1i6J2M0qMAZGCovqtAD4n0YY2xuSU
b8YhOsRRi2UHe3bPdmeObypZQWK7V2v8cp+MO50aUa4wR3JZ+8mibLn5Jk+xq5SZU+jzJuMpCnma
71f1J4YLNFt6tNM5xJbJFCsOTV57o/WlUnYneiHoWzoa+XBjouQWRJrhBPqLdak63VFNL4Q6USjZ
ITSehuG1WugdyE5ZG/BBeQ9cCesrhvo30SNVQgbJi9d0fdhRAQiGLYk/zIkpSUMqTp1cqEgbq1JR
JxZ34Lm0gI6ZA8XRNWnbIkhgdtoVUYc4NPLu8coIWnC7yS3UjzyNd0U+hpupmN2sgNcXzayKBOu2
CYih4mTmFVeLI8nHQdxX6XTJgz+mJL8YJ38xSjLN+vMNRpcViI6mjH9rHVL9lL5RyX/CnUemVrKv
mM1Jmz+mrMTHIN+yelyUK5QByEhULDTWUauT/Wzmnhgir1qmrRSMIKwDan+r7QD6fUCFCTUKn6Kt
YQt+DEuEeC+gyDBhtdzue6SwJeJnRO0Im8aiOXOxX410KTSpvVGGmzK6W+ptaUq4MSKy8ALzDQhu
9dvMglsFHCM/2VLpKVzNBkPWweIaR59Zjob2CRGAtlrpxmhvanitWbtPojfVxnUFLAFpaXzIeBOF
1SLPAjM1Lm10t2bi9f+yqP+3B/VHZOmnGcUfd+2fDupvpufenHFjrdr/kj3KXXrVysRdtbkFFCAt
ozP1IIX8YkAptXwxUxFe53/zva4u2j99r3iuCeageTDi/E1wIPghWRR89czcTA8e/AazXDpRBX8l
f5EY74uKkE81nelRUc7uR6dlxNgX0ktt7ica/eh65b6kPMnxkatemulfvgktP7NdGpw3srGriCFL
/eWnB/P1j0P08+n4eyqLxx3TWORBc33nKDK/no2CMybG9EdQxX7vOzRH2XAWk2KY5W+Oz/qLfvuG
1rEv0HuFw0MK7tcX6sMeqP6Y97DmHYU9NECkkBCHT/tMWP/da/3IZf/yaliQbZK+lIYami4U7ddX
Gy15kpQg6je1dISHdGcGYh+3447p6m6Ae1dQt1TYNHYl6stYYZPSVV/otO96OnaxdDxllB13BRJN
OiePqwcRgMg2TNgdZGjW4UrAA6ckrWSgfJcV5X0S5vixniIuXqYrn1KDMFuNjg0oin552BHczXsA
UOF5bD+ExkBWn68UqbTWeJooipgumnxbW72nshsM59smEhvcpqAFvmZddRqVkgguTCxmTI7ZFFKw
JOP/Yd72bYA5UsrTccrWKjBuJePkmU22U8InwJbcY+s9IAkqaqRdmHmYLHLpGqbtoUHrb6kpsWiU
Dia3G87IzUq5zqAVNxYMSXggWjXgl+BBBmNi4QzqdmZxi8WKuzpYjLjdwGvZwObcmET4IC5Vz5L+
tD6GTRw/OvtUzdio9Ywzc9kBFXUG7b4yKfeKJ/LPp3Fiszx/CvmYWrVrrAt56WFOGKRkn7OVH6hj
MxL9MPdwpOwvS3yaHAIKjCUca2PxRtIB4f9iirskvwzdrpepf7kbeHIYdG7W0nOYDq4MIZonQF4+
dz0YU0t3ZBFDLq6cVjnS1kS1lCNhe8lLEjYWUMVo9hd1do2oov4X5wqLts6CqTa5bTlx95xhWI2O
xrZLI4djIGJTalcv6r6DwmFlVOGEFs9P0CjaQPe2qe2oPmEmyKCMikQ+vIq7llj/ZulxHGAZr7nu
M3GzsIGCgmrHuwibXqY4SSB8c/5IotrFl+ipXCcQdUCbqE7fEE4/ZqFNRBW9hLXZSmKJDOY6Grb7
gKzZU4rHczSY4viF6reQGwoEl8B4olDRG/p6ZxpXPI3cys3d+kiF34IWk9A0zZ27aHYyDPuMImDb
OOvxJ/7L2yn1AhD3IunoraHRO4Wc92IJxhA6P9aHO3XS/FC3nEG/GSwWjzO10Ym913NmDpaxSQEq
RkvMcIrysPZuUfT7TH0c9OGkauTKTbjclR+Ej1ZUwCqEJ0lrcxthJ0bVUuJNTjCOT2JJV4pSHNHf
1v0HXcCsvkZnkJONJh8I0rmU625Gczta7aG12RGyilWwVo1Aji3Ds0rljgCll1XjXiCdKNVXKe+M
7q5qhk2iuiPX1uolG4khpil79vAlHkbO1cTN2BiWpbKP7CvLv9H6vhi5Y0Ws62zHpPhdEU+1del1
wlzLTmXFlas8xHObB7X0oMfP/fRAbmIvwby1x+g+pcR5GUJHFB0TvEsgS56Jl7VvP0jD+a32Mq7V
KXbkzuNIqX14vy4pQeB5vb268AZSn8M2qj6K9rlKK2zMPDPSCz6Dbde/Eu5/1KbUhY3uGHVIdnqj
tjspOLW2F1pPAzn+pYmcOPwiHwFph2lqbDoSFVmgVll0Y7ciGCRvSvCvam4442Ryql4zxmEqGEx1
vsPlCsTw2VROIbfZdnjG+73RYs5LDF20UXmaoTiFRUWs8lLKh1byKp1rfqBMrNwX6G2B1G1V5Sp2
aURnqkYJ11MtRYdwRX+W6ZNNPRBQNyjDNMaw+OhFdjHN0DMYC6qUpNQ5APei89QZPQ0vSx5lxInB
N2fYP4MWIqoFjnLaJTa4MGOvNqxbmDYbBpcxUmkzb5nR7fm2wB499cmjKL4K1koSMSjdyFxmCvsA
UnWcPLU43ZdSuMl9Nn3qbHtqslNTjq18vpMkwycheIhyZBOsD3LU3ErtXU17GwxUPHPUFTaaY8S7
eBmZKyJkMFNW4A0s6uRZxT2PhlYQ2OyyB3m8gfruL1Q7WTdEq8SIEMxb6crOFdI1ZSJosl9hWuwZ
gCCksmFZ1W40/WMcdccSXLYy2RTOVoSMeSKRy8vVurTlRNpGrGpDeuh7nkMpO1umm16IxKSYz/pM
2XjhWjQXQYs4JNan6BAzrUMfiBs25H7IiCFCKK8d891aDoO9IxGDm//E2OUm6B5TmWpNlKfGh4c9
yK8jONK0O9YxmpFZ7HUNbAuoQoz+t3TdQy4PKbgKDlp3VKd7zPJ1sKP4lE9wNJsKD23uMF7atUjQ
rfS9nV4C9l6sfWwddR18aqpQBKBvEsMf629L8VStr5Nn57xJvkkByrhefzMs26H9z0me6rKlAgjG
u6lsoW82ZnjEieAOnLS2DJotQfILZaenco/UD40zjkmdx1yZZ4n9dzfW24VBazOU36x4lw6KK031
TTfCx1y2GnvY1Avl6QGsUkmfU/o6mN+Ekj2KhiZs8UW97WZetlVSunOkbrKJ85QBVBRsFmh8S6S4
y7eJNEC6bJFVAzZEUUw0mdBT4OEm3fSMbbXcnWXmLCY38JQ7UYXz5pZ6LrpFEM6E6U5k/TApO8DQ
GRbvssrACetOgoeMwjXadNsaBdhE2o/EoeFmqld+3qm7QTxSfXBLibA3AXiGdOynzUADug0hUnqu
udWP5QBKkVbC6n5qj31fb0xCFVlQHUV2D7Fn00njxhojjyo0Nvdn1UInqR+D6bskzedWzfcSgw9F
0fBTpF/EbDd1V7Fh2xc2OOSSL+ZVUjHb2bZXYH3QM5AicnFaAQzkDDGb9q4esJ1/GLG05Dn0Urrc
W5X9Cqc1CORNM+nO+vmtmf1RFGLYJ5ssd05Zhz4s/QcImtxN1odcelgY2NvdiGQaeBQ+eYZMekuh
hg6wYeHkHB9aFLyVB5fg9pg4uiqfUMeqWy/FSaGL14gowuIRkw3MYyCYJHhPSzunQHMX5cmhk7VN
WgGyi2JvzljJlTdDwcOXbsGUCDOa+RzrDhzhs7RGrNFVuuCrxmzTKuDni8DVzetkHwjyMv9ON3HK
Z1Fx4C9+qEmuieSTKrqf45KxKH5e8uWosuOXguT7IOtEKaxNmld+w1RIW4HosnWO1lWK2l6SeGJY
JLuxtoPBs8Xc4lIP7xhyBUK8JF+vsWmnN75/WvPKfZt4RsCZyjyI8mFKJc4ZhbBWmp+q7pKnLD/y
xpvWXetUvClJfe6bcK80MEbyqHNX93/ef7bcMgcjO0Bp3IcGKFRtZLtK63h9XebYa0kBJMayt1mI
RthHqtAzjfxTJXmAgYbKYIHo8g2/ylaZaETleyRT4QYmTwcAg6nC6pNjZNGeM0hbbsadfKOC6cEn
vQmleKsZr7l13xMUH0Ief8ULZ7MWOGKWfS1vMWaSuJHIdYeRmwXfWsHKRMp32sxWuVzcsXxqlGVb
qHzfMHSKRzYFSgUSZtG3WkalwrBtqrcwQ5ofTvkivYQNXi6NiGHyElovecqSchz8cT6pUxmD4sku
0ticyWvsl672Y2X0EeF0LTtQBu3mRXz3P6I4/7/5mP836dLrRvC/16XP37voe5O9FZ/tL66G9af+
6WpQFNAz2ICpGFQstpD/VKfVf5D21nVcmoT78FbqP3kx1X/o6z/hBzV9zdci+fyXq0GXMTyo2DOR
sxG3/81iIOU37Qi7PM5OayWRGbBG0MN/3dYKyLzTTAIB31XNRqnV0Xw71FgCZ3iHXTPtsOWnWtt5
LWALP6GgOqeUpEHTHBUVP/7UIz+OysEyAvt1SabiuZ6mbHR0eh7AoxYR1p6wsoMHDTvZ3q7kwSnY
smx/Our/F9FhfZs/7c7Xj6FzMBDXyYxQNvSbVCJrs1WrBHPYyS7qtlIHvH1yqCH7hl3gkq2p70rw
tLtRstM9GWHZ+evXV9cX+NMbAHllMDMgcb8m+H/W4NY4WN6M2ArbIEuOTSKnp26M2cV2dZdsgkAF
+9WGQ3CoUkvamTS4E9yV7jMD0bOoGJUuDa2WNlQvLWovy5DWF8WeWn9satsnskjMiTpKzSvbghtL
UUmPtqxKTqwZ9mvSt4t20hoBln82efLrYEkOfxzqHEv5X39Usc4rfvuohEoYntDtxIxh9er//FEL
3GWDmeJo7OO0ukvbxD63kwx5alkq29hGdOmeRwtQKX0ilkUkpZpYgNFiTY2MZUfP9jBmb2YT8FCS
J9Vu8W7gTWMdq/c6RYpJwhn3N29ZXt/Tr+/ZsJAryXxaeKL/BNMZVW3IREdOqAOcfRZi+g7WeEFL
VzXPVtLhJi9HRqT2dK9M2rIz85Etetjp73M+IASoU5G5JR5ZZgFR7WNlzaoz3Yf9DXa+8RHHr/UR
trjvvZLiJpw3TV4/akvB/p8O2APprX6rGoV8tQi/JEGh+XyN9VbKO8MtqhY9PE7r93TqmpOwVYz9
ijp/laot3dUizw5mbPe44irlXEkr0wMumGdS6emIJm1vMEyaF3owLA/QSnFv6oP9WQbLI9U9y1PZ
18VzCS3lSTIzhqKE6DZGSIl9HLJxo2RivsIazlb9hPg+j/vpwFPaOFdz1Z7KpSguDVxj0pKD+qw2
SnDUxTJhqknvzGFpgYHFY+qWZl5t0ybD1ahCwXWB4u7rCY75uqTAlDPM48k00c0UJgNhu8TnKWkv
Q2Zvp0bHokO41u7lV6WiOQgfLCFVVlPIGYVEpYuW2fKtiCkIZ20wUMc0kdLMJythmxhWrjHEQDpt
nBqjUVbzZu2lYGFRPVuzxEbZGLprbbYA6OT+UKe1AGudl97fnF+/337EKndC3CAjvSZSjN9uP5UR
xlMJldtprWFk4D1hYdfLFk82U6kGvwxYvrkTjIgh3l5GZkWn2TCfO0mRmJ6lA0zOqZYM4Qo4RSR0
Q4btdhnvhvXqV0xCGDMGuOPfvOvf9GWgCgphX8RMw4DcJf+OXyLqr5oQ0TGcVJLswrRFnMDlyU19
BqvDGWTm8fBdQIH1s1CAdQxnOjLp3X796zfy+w1lfR/EAeBP2faap/nt3jmpUhktJrOCYRrqByDd
oZuYdexG/Sy2SlODyKlE93ff2Z9flYcF7Y04DTXBpnM9Oj9NTWRhhIrUjxIDOiUaPOqq6hfNbMIP
aN/sIAwCCaOvJyzVUmjqPoCpHJVtArzzOtSzhtXH1l7rvm2PEiQhHHnCujHqyWVuyfbur48QlLrf
bmBC8HTj8WYAcUBfX9cXP7/bZsSNzDQU6xITTEfvzQtvnm7jCnWYCE/g2xEGooYuK8i8IIO6wbgZ
IiUsiaKyFWtbTLzsTd4qjXmsTq/ImYIek22/ApFQz6iYp0X8vVClHRG++DAMXeNkevGsQjln31kL
B+hRcA8EDtNHncs+xuxHQJfInYsVzL6GZdsNwsq6p/EXDXEMQUChNxROBKTxbMn8D7rz0A8E3Wu+
DX5wihT2GhpS3jQjby710D+3ijp4gYYgpguQ5E0fyJDzAkzPi7xE32LbnA8lBAU/AfvltXYYbNMw
bRaHQh8cJmNt3Lcz8puE/9qn248lcWw0nk1F3aatI+0VhqaOmzvjly+JMF6AqjPYqssEtY/+vSNE
X01yTAMte1Saq67X7S3dm8OnFmJT53aWnuUKAzO76GE55FEPLSSpKPAMSwkr4VSrp0hXbss2Gf1K
UasXI2A0HwahftbbPr5KRBsOYVCwYWTxt5+SLCCQjYFmKhUA6WkeHVpoCYeG7LafM0m+5EQuuGfL
IZJsMJaYuCpTL3eMRbT3tjaE14UGGUipZ2qtJ+pQbnu1in0c4XDVMCY4sya1u6m1Zs+K0zhwi4Kd
Bn1AlQtb07HkJdnnYdyf53g0XCsOpiMUyL1lxPSYBPqLItOTqNbRE9gGaUNzAAa/IT5ZMyvFOldW
5l/RnjNJL4/a0nZ+qi82Ni4z8wujXrW/rGQKNIVViZLU8z3rpXXqrOZxmTPUw7KzLtaP3HFaZCdz
oAUmgJzto5Fd5Vb6FlG3cjc3C+j6pMXGWg0oJlGdGQSAkoZTXvEJyFe0awQvYaqWtyNt4xfYpTWa
bbo8kvUQT2sabl8SR7ihdXuvqj9mdhFJeiudH3L6mx1YadUdfQHpzVRQU0xM97lgTw1tTBuvjVHN
18GW4oNUWNoOBTZ4yErLDzL6saq+s0x3oE+J99bnUIPpxeIMI42SxMXIuG7qvvEdjveZTjU2u2Qy
OJNyHYZYP+okcQ485syXOiUlnihGuTUMRsR5CN+UHsbvszSDrij7ib6jSR1MxqOZclhqu6ViCnwA
/Tjo33X0vdQ6xBlqeOItZd8Tb0Y8BMUcI8ku9amXWZ1uG6WUbjsumNtRLOl7UYYnMmGT12hN+cFa
DOAFjAvOIMuwDqTZGSiSXXQWq+mfilq5TwCrH8h8yzUtjmyaFSpbvCUuE2S/io163uvzLuMLOBdS
pL0JbvrP1HPku5J7z6OVLdWlapXyhaVq5C0Eb44t/RasjFPJTHxkAXxjY0YVY9HGEcaN2kQ87RLB
ACu1o+BF6ugMSWEMfG+gMuRuF+XFKW4lvA4l5ZhUwCk+51j9jqT2QYkftq5GsRza62d8K7bhizSc
cRSE3U2cxculVRr9xtQnstzm8qzGxlfJFY+K0Po8Gu1tKCu5I5LkqmRUOOb2hKU5g8/e0/b6NsQG
ZFimKjKRGVAKdmo+mfbqBxls1CjWRzDpTKWvVfwMKI1szkWNpSXtLiNhh485LVF0NGaGVTumwEOK
YfH7sEaD0lvc01UX7OyE3pF1KXCOIohMHKhROo/1UNxHjMm5LdBL5GesHVhfy0Qelh7cpgFVcBAd
UBNrnt7nPkT8rcriBFs/rRyLtA5Rnyn7jEFKOm2z5M9WERL8bgztvQeocg/tlhv/rNG3CuDVHiCD
J0bd7LigMdjZle2NJqUd6KImikdrkbo6DFOhYTI1wemFBQU3uE+mtddpzNJww/OfhuKafg53Nsbm
ILiPUcGiKRJXwMocqCoclwoolR3pt/wSZ6mSIO+LwPaGQFVmL54KZXqMmapuKxkMvjvp/YoLVmXx
OfaI6ZchaWO6xNZXolDAOGF6IGEYrJfBvPYn5PUqevY9Ub8Nj5FRuW1iGvc+exDBRGwM+TyUgZpj
qqYBaxMaMiV9lAfS8lXbHg0SFmKezgM4SYD4VkU/XcdibjG9ABHwk2kRZ+jNFh6L1V+ic/OFp5Hn
zDnEdC3MUuFGHDSRDjk5bKptCzhC3Y5DXI+unLFGuSnjPuN87XKOrpzG/hhjeJlI/x95jttPvHhW
38lplCTvwVSE6lUzaujkGouRlFWwqAgXNQH0xFBYVY9hO+8+h0om4Ji34lwl9Df9eKvkaTSmt13s
z8ooHio5x/JaZOKc01G3g6EizrLMj9mChzGbt8Zy545HVcBT5ijyoiWls376eMJ7lWvpfEe9IPWq
llKWNNYvGHuVcGYJpJbDdO30FXncmcZwN0k5FtyllDCohkJ7S2oa5DZimjGzakAdxTZhQ8mwOR1j
vw3WXyQXWbNrp8amFakN3UVVs1f4nrwPCCfLxpSb6hWmSUd7QmlVd0plU6QgKMshETkknLBlpO37
uOeDtMXCt9FWCV5ORTKZt7YwGwK+TrDcmPqma9awI+ozaQy9mY7fXdMq+qVkncjUUtjAK2mfLG+y
SSZ/aOqS/UQrJ4duShPaEBql/dRK036alznCEr4Ab2JFMelvWSDkZ2EP7UwwbJqqbVVqwzVBEvla
LCk5gYm2QHeFoLwrmxM0moiD5QfAJ8zJQefY18KGLV4AzHZHUxtLL6W8amvHUuS1wzxvI7m4lZtF
e8uwLZz0uaF9pRBeu7TFrV1PDMCkZTxTaAUOtx2AoWSTGTyoWdpMHm0VmAE7gcWA3dRBzbJ5ZzdZ
ejFxHd72maKdFnvlpWaop1mnNoeR/jBvtO11p9batquxktiCGzPfRVuTPVMrjHY1AJ4b0c1AR4I4
+2xNVh214qeRbCdHdQa9rFd9vgP9xoxsLqdTHnQyycGoXzvg1kyj0TX08hZ11b8uHdn1Tq0Yao2l
4AkC4h0nfF4Ds1zI0vtNre5QVTROPJPUqVOUS8YANgpmnqBqfKPUPKZNOCH7JNOwLBmVaDjaIqDV
rjJEsJOngmBfK03fAQm3rpYpYt/QC3IQAEDuEq1RwM+x89+V2hKetJQr28mG+SlQtGfWmPdmFOKu
UGJHqisIorMs/Kzv7jTVRO1XmS72UfMelsj2nYnOHnHGXyrKdjeznku30gjAfSLt6M+LdBtRzebY
8CgcOKYzo4mg57VWTpCiT5ewG/qbskzKS5sv0w4VwfqmRoVyzTu7pK0nVS9JaBUe/YLCE3qMqQEm
06nN0uC8dtveFlGdPKLBP1elrO1UyERntejfpCFAoNYrUi5SVNmbOKEplzxuvLOD9iksa+O1nyTb
abWw+Wxi3AfLYrWcBx1hpMUYLRaGluYrUrWFhg5RiaTMbRcVMlYOmFbU+6imX/aKxrevfsaF/mgr
8wnmVIkI33j/wTy2HCnv0jd6a53ZvIQeEDqsJfRjFCw741m+yCnRlWJix6aK5r1lwm71JB1S8Qyr
AwiSXN0BdbpPpeQhijD/pfEbfZOPP3Zi/xas4/9LJIHJ/vkvdPCyGd/mXyVwfuAPCVwFF7kiHNls
mBpKicYG/w8cgfYPiOG4E2mngNahwCr9l0F7ZUyalIag2RlgTH/80D8lcKiVxPoQxhlGAisw/y2D
9rpz/j/SIIoglmwBgI99NV0zQvy2s7ao1rOXihCuFon61pBEdTVKnRo66lLQoJREjHc/HZrrH7/7
Z4fcqmf8+ork4hFPwZf8AC6sYuVPysOiUk6vNIvBjUYqHlnlUB9Em9L+r1/FxBD/p5dZM5MqR5Ay
HW0VrX56GbvopbqIQiKK9EM9i1aT7vVZolUvznrkpVhXHtRuxIBby53FXijvtPusA3+0GeqWFEgZ
ySwS8hrh3VVbw17rv2kT8ZpeCT/kHweHdvqZ9tVp6hSHgsxstUbGtNsWci5OQH8oAAxnYFO4S7CT
bU1cxA8pIgWb7azDDSWUQYQOXXdknfSp11LHRF9i8K+GIlhFwv5TjuMcD/FY9q27YsDfkmhJHuw+
IvvMLjsNb8a2GO9B+ND2W0dUrXYWaXLyJ+i1G9MoW3tDk1TK48rQ8+EQsCu8V7NkpFY4QGzedLls
U1M0qxlcTCuNzN2iCTyLdpQy3G7NVHPqeaK8CxoRUGQRZ+GemoK4BObEBE6idqQlO63jcs7DLtSc
/yiySmeL2Bis7GrtWqQxskdej+VNukx1uo4KOVKxTMOHK9MYMbl//c3/+YxGAVmNkZzaMrGI3xyY
gwyxTMTMWWuIX14fSLiR9YY0jMbmOsaW8zdnmvarOLVeQgbXjsXoYz3dtN8vocgqgxSGteKywSs6
t0jKzMR5MWEx1tUqubTsy8ALLJp0Zw8d+K6Q5VvkQ74zaNlU1zKOOqaVxi3wRr7oeh+9q0toJnhU
+3HcQTgRX+lsdfGWCD/Ea8mqCCtWg3I3tBa+CDti9VSkbatizx1pNRryJnBGEawW9iApMX5lUm2T
Ga+ifYaazrzbXNhsqjZ9EzxOSumpHSAPkEew7d6t6645pHlNH7Vuzn3AMyqMMYaUuDX/+qv6VYT8
48hBJ8G8yn8a8o9r+OdrdBallTOwcPNxWHAD4K5np25QDBI/KHLe7eLKFqe/fs0fyuZv9x8wLsBh
iFsjWSu/3RgEmzSQWqFwVzTuOy5FnM06ixO6MOkibkf6zbMVKGj1cfjAdijEe80EDfnIrp7CFXZo
pnrzWEmQoRmNR3yhzDLHzM9EVr+owUKG0c5LGcccP8XkrvibE/yH2fbXTwA3hjGOACNjYnv/T87O
a0dSZFvDT4REQOBu05ftqupqe4PaQuAJPE9/PmrfdGaWMjVnZo800mw1JoOItf71m2Xr++e1RfiR
RsUc2gy6CZbdNNz3XV5klJ/d2AcpSrQpfMoUeWFbR5lwbsN5Zj6igNcaepYmh7sfQ7jaQIhMnXVN
IYLEtVwsaXDOZLRV1A3cFwdA586NpD/gxh5Cs2I2Y33I1Ugqb+s3sIFIugCJuvz7LNv/ycMJwZSK
BGamCqZzAky7jSTcCBO0TZJhjJONxVe6qvrO1mwol68kjqeWy/LzPU5ehPMkhwArLyfVP+8R8oen
QTANOiLTgEeXjjNEotTDxM1pwEvBjiZAUPiBf+pZqTvflUOAj+hiiHb5Vs4/BH+ZPqPJIsnjf1Py
f+8ElCubyjiKtxPd/JZYnS9zbSy7Jr3QKhoTCZocxLvLF11slU5eNY67PjNjPAUYPyyevP9etS2i
lKzLFr5rP+mMLEi5zOdIhn20Q0PDh06GNN04NOHr0ktRHfRYT+BF0utB7gmimAXUo8zDVjAo0U6l
VuR8sIk/QOJJJJlYdZg5h/fMPiy9hooI5Gp1hv/SE3jLFNe0SC1RUWavSK3KuUQn+g/YMff1Lms4
rG51aZO5HrP7rMiRTeatZ07YB+IOCW8qIj3ZXI3o3z7jxU2+qT21OO5EMZlfD8nUqQNsVLC9AXdI
nDIFbKg8gdWcVw4SGjbSed8EWI+t3C4YMaisurm6spLPDiLBbIXyZSEXkCwiT0qrNp6jMCD/aIu/
avAn77z2Vg64AI1JHEL2ldfmcO9fDzt8FBOkETtUk//+nCOngWW5ebZVDRIvTxOmusJX1IA+3Eqi
jjOnvrJsz75VZlfwJlyBzsHz3jzS/73iNFqRSwOcgeON+WFOY7Gfmni6M2Q6vF5erG8+y0f7wnKt
xTMLzgdzIG+5l38+1lxkTZlSfmzFMA73Y6vsfSeTibSUrmu/VOQOdhtlOMD3RVh9nGMXul8bDzHd
U99Zf6/czbI1nN6NYMegPscxjMnN8d20scs8WlfZlg9UtDcZ/dwjugewaKdP76vIKNdlks6/Rx/D
X+Xo5pPlICCfW1dt7ElE96VW9b4I6+zKTyKOdSFsarwnCDXcm4dttvNWrfzzngzhhER+OhiNjipM
901aimcfr1X0iVMLYRzDSZwi6oEjYT1gkUfQhcjy77OhFbLxKpjddTiFQm8tB1R6XQPUP5mxqvwD
c5cI0mpmZO1dNnmG3l9+qe+sJn5eF4s1SCxLx3T8TsOxnhN7UOhzjAl1DtzcO75h88UkMfk/b/3o
WVxejoT1w+w3OLmWA1SAMSOyk3IqxM+WOIZDIqP8x8Sc69GXbfQ9dmf3psq7edc3lv/Tiev5SuH4
zve6dIQsIn4uSseTQmTG9xu5GcRALMElYwtTlq+dmyf7WcIlx0mD1LMrBddiFXO6bnlowpVMtgmi
Ck/2iMS069QA+NtkKmbM1Db5QsQ3JXYbxG/nnwo7bz9EYUbgZ+YYpCVCjEJ46fKrISTMR2s1BL3n
bqKuJtFlyKZ6N3VWhl+CjclRMncz/UJlArIQiFXtLi+QE1Xa29peHG2oth3Xde23//7P2i5x6Fl2
HG/jmCnq9wzbOVzYQg2SNYQuBkspBjYjavzM7JFhqhCzDNPuBX1Z7v4CvTHynWcONvzmYLD6K7fn
nTUCApabtdjVkwQCfH+yRckqIvmo6vHBMfCDvR20ngwUv+HwYQgHhWqX1fjkyMKp0FkOxl3Kj9Ss
LQYvxm5MfJjTMWbki9AtQJSf9KhEMbbDWRNUCE2nIWJjWKtWV4/Yyio8ddJC/zFG0XJAGjZamtaa
4W8ySxf91oQkma2aAKz+kx3pcdx0XRy/umZcoaPjCv23Ad5G/KBml95AOUn6GLrZ8NrhvPVL5n72
Fw4VyTg15TuC3YrUwFVX4dS+y8wgm1dNZaQkq6FP+TCJYP4YWv34p7C5sQcHNFVues9oWS99wrSZ
EetiE6pRGixLRT9JbIohzHn9S5PUsbsuCM4+NJCfmASFUf5NVYb7O7XH5o9gymZuTTPG2sabu+wH
aZPkTUxNwdGGPLZVq5CUUxZz60+Io5gxG/vOx1J4MzZDdKV9eOejXaiCBHAveI7jnvzGLowzu7Ir
/H/0WD2UAN8b5ojDKo2b4iYaqU+urPmzIpVuG52+WAyeOGzNk2K/rfqkUFNuoMNx9EfGmFDevSUI
ssviWx+HZ4G6zbN3NJ3NLwe2wQ4gx7lyqrz31AtPhMEnD05Bc7w1O+lUWAQZG5s8kdNhFvmMCiEo
Nk7b/RyJnXq5/NDvXW45VDnMOMhscfKSfYYVQWr54UYPmAAmwi83YYF+PG+L53lwcXe/fD2+gPN9
Ecdx/HVt/uZfTvZFRxsYRxq85TgKWmxoJRy/ct0VNfMIPWd0Q3RNnY+uORv6A0ngSF9yU+rXPsmh
cPhj6BGwXZh81H6Ca0hbUooR3eKPcmvOSr4agPvJBmWb+bNMswSfDTRyzcGZFxh+lppvnfxqguZ1
ngao643YPTR4Llvr0AnUS4q4PCb9LSiMdZ37jVwFmQnvmvlhXaDgTmekALFoXgXBV+mqyEb8lSKj
+VTWvoTt1+bPLda4Tw0UCPIf/AT4vWXgLPaVLsPnrOyreO8Z8/zbYZfM1g4n5KPsjPhnl9lTshXp
GNvw5xIq5qHNxhJ5f2IthKA5exCDyfkFvQJjFOo3zNblDJ0fbcM8B7f9EA/fcb80QK5zaX7Hbi6B
OW+lLZgMxvA/zTrEe2WctP8yTcWIgrFJYKW0btW9zI1I6zV2BjBYU8w5V1bdqO8VY05B91nBiuts
Vz0gZ/c5CZIUNb4HA+hD2WAUCR9/SZeJRswxMPYuOrAwojm8FTwAsmjq1hWIZfoQyovb2dm9X2rN
GcJY96siu/U3Ka15uoY75j7yAVRfnX4YUFSaZfvH7Mcc+6kl0Iypo/NXpIjsoPLJ/GmKW/dT1ZXB
k5Zd/bExvOHzFNh5tZJtOETrJE4515tgkIQ2WAYRABDQInIvLPQJSQ9Fd91AH8a4EiQLNFKV+ksM
96nZqZY4kDUBdXhg2arwX5PCRY89J5XxIB2onStSAzA3VGWJIChPgvTWdSfTPCRlnmBE5gwkQcSF
uJE+YhGy5RYoMhqGqPtx+Xs6/35RCJPCIhABwZI9rY59BXCFOt7bTD1MB05AdzV1JVkeMdISM8C7
6vL1zr/ehVsOw5V+C8zPPtme8hipemPkHLx5hbZuGMLXWhv550YI/d93wqW5grEH8k5izcnWlPdZ
6pQqZWtKtf9Z+Vn66A/o/CIN3RH4LbiyNZ0/GoMD0EWI3UwKKOiPd17R2x1DswZOGezitZ/r4raI
IsTeBUXD5bd4joe8DSmoDfFSgBL0xpb/p7yyVGSkJQLTTRsySkL5FzgPxegbN0MykRegWvlpllGT
kpahhjuq1+Z5SLs6uvLI73QwkNl5uSbjD3rLkxPPLqUzy6QPGASPUDEbLQZsotI4f2IerEz8g406
3fEI5TJjhvF+5fpnsAivATMdG4TQdskFO6nLUfIJqGeEcKgss56DrgdF7j1vU/VhuAsic3qIjTG9
0vy899CwZ/EMMEElz5ofQzeDU44Z62q07GEfMycgRCSxHaa8fmlSi2n3Q9535JAErbrChT3/Xk3W
NI/K9bmHt9Px3x++dAW84RIRPozRX0q38LoEGTN+mcAU6Kqm+nZlqb1lop800MydTFADnCUxtj9Z
15Bsc5XONfY66OTUTujZ/BGlXQNxRM96OvTBNPobTFKiYhOMPvQIEUNsf+61DdMqkOXwm6oEe1iI
eOWPmfaqWcMRgvTsm8smXhiKczCd5ihfZ2g1FDpP/IW8UCc/i66nJ4AJXT1kNkfVRvktsmQq+3I7
MOIlMAZ9rt6RzeN+NT1rIQX7I6fdYCaNTT0S4GhHRY4yiszYLyUiuG7DLhjYjI/bZFoNFXqNFYFj
0V3vgb5sXemDogYqbG9FbePx1XRRxu48JDCjDYF13pwPAHEKaAcB8hQmuMdZw/ehcH1GZGGGnQ6P
3/JAMWce9ublDw8OfLML+1HZ69liL17Bs+eIG6MU4ViNaqLcdLbhPorGQVs8t71TbgPlhwmxmHO6
YNeW8Qpvq8JyrCBqd53XbciwoIuJIQysFh+/mNTSVTPyx680FhbtqgKeNxhUEGxApIvzom2R/KV0
JZN1qKMo+qgSs002QxxWf8kjxUAva7IOb5jSHj66rUqNLSSQCeF1I0hZy+O0IxeGjHO8GKtc4SPY
DDq6rwbTfM7DoOo2Rtg1hwFAEFwCXNDblDqNs/3ce82fQAn4ZmY5ml8KxiIAlHLCo7KkxLgNa4xM
VzYkVByF59BiLlfbVf1lzOrhF9sPmKpHCmm3hkdY3dgVhQtdFFRLODl2qXGJLuVvth4cdFLJ3H1v
lmWefbCnuEccVzVutAnbij8lV6GW98x4ZnEjoqRxsXeIQgstf4n/AvyWtN6aLawnnlPillBaimd2
orr/PuRZXsD1hPiDUXLnfR3VEvORKSPg4I/CJYcOPhYejmYhn3tbQ3pwiWH+qSKNwYRviPGXGY/O
L1LlkVhW0gj+UqE53q0PF7TEC6Tz1CGD+VXfKjAdfD5Lv/xrz/MIPROo4d6xYH+vIXYhJNZFCBO3
mOX0DSvs8a5i2aiHWNnwrGASJV9av5C/xBxC709qg61IuSOjPILKNOGXqnbaHVRmnEA8TIkFXBhn
xoJq6o1t7WBTtYFjDXUSLmjUrhlpljPsMWE4OC+EQ7PRuI1jz5EWxSt3khE8rOIsw5x5Hu0bYbZS
3ekkaiycv1tUhpc3pPM9X6ApY+RA/+4TnHGyHU0JtJ/Mh86ndAEWgqR1KTuHmsLUNqfkponKeJ+W
zbUz9x08JrAZ/QOgAtoRBH18vKN4dEZ/AofKKKOYyMUeLq29HPdli0bfcES99erFpCzvnRjPLaD4
yw/+Tn1BMrwIQA3RH/j+yQ145JC1BgTUTaGc4tbpS/EQhTN7SRB/v3yld16xSX/lc6bSQIpTI7i2
IvbMG6W/gUy2dB99UW+FGqLfhjPrvVPBbeynyLlymJ8/H6UoqiHBhIdASO/k+aAotqY5cXrnWYk7
nKmnfefM9idGMR8vP9/5Cc6VwH1ofMl1AMI8/imn0c7MugecsmazfEhd/E2sItXAEjaEspwXSvHt
dl+J/bpymr7zjDZ1knSXQHiPVNzjK8NtjESiTd6sO0BfLCHMz7H0P8+8zyvfyTsQHFwloA+i5SkU
QeKOr+UUfWR2sg02RptFWI9Nytx0fRvBMGbOj68KB+qtKjx3RkChGw5v5OPxmkhvQ+PUHPUlidRS
NjdpXOgrbcc77wFo03J8RqO2yao+vjevLNlBIONthjQZHoLUsbdycvReBnXxnz8bIRFa+hL6DJXi
6WKOE6dN+lmGG09jxZbmIm5WpIbhLKdVe60gPd8kuBhAsWVKGg8G5cfPRUp1Nk8GJr4206xon/tW
cUgIFBd00QbhkZFvYJfA/IxswV7GHxZFjPffvyNCNend6ZWZeJyWiIwCcjLdzHBDeFT+F4Fa/L1s
R5KMc8aAz5e/pHd2CibbtuU5AV0dX+7x82IpYUuXMEicTcjh2RErVk+rmN052QmJJbOC2PbZacP6
Shn8znUBj9mcFhSPf5HH160iR9bjZPkbHSRUgi6K0lWVmvXnJsdml2jDdq9aNf/3Fm/J+KVzXebd
gor4+LKjGxpuHUrFKYnX+96bWK0UV8RkkF/SXsEv39mleEKTvoofEb3uycUK0zOaiu9jS3YhSaWF
6UMokZ6/7aMJj6iplTe2A9F25QbaUNvLP+w7H6iHBpXIGzqNBTc5flIv7WMBoyLeRpMffSz6prsB
uzcfjAzu8eVLvfNb0pxzsElEiTZ74/GlUt9PITVBwRHzVIp7W1YGZks+VhU5MDGGP2aKFRWamv+8
MVg8ngNADKcA+6HlFfzTStVwyX3HZggrGtv765l1+cX0/eQGHaFzuPyIy3I8bqGOL3XyiPaAtnqw
mIgqhBpYLeYJ1tsOjKorn8Xy55xeB6HzAnYAfFMnHD8S4GRHKs2UbpMiLu59fFQ+FMyz7o1ihrEG
c2x3+blOJNYL6msJ4sTo/33Cd61TCkhHb0UsR5ptg76G9FomeYC2odYJbsPeLKvHUOnhYx3Ewbjz
y659RqZffWF0pvchYx1Ub2TtJrsCpCiGBZYUziofsOOopiy5QVXBcPbyHb/h36evyOdEpHd3YBs6
JzsHUpesDnQAf4O02oe416p4LHWUfYoHhEEfaiA25q9h12PZLGTQbgfqyb+dl7fextA5ovY+yIp0
H1kxdqeQLHDnLxOiQ6269L7rrGKkYacoELGmi7/nRpA9JbNwSB7I8v5TPuO9u8lz6cMBlw4mc8Q8
5s6Vo//84wURgrrJj4MzA3S342UgvNym68GKpRnVt2gU+dPopz/CUFqvl9+meGdhgwhwAgQB53lw
WkkRc+PlnpFGpOeUw25AwIGJa+8/EXtkP4Jcz0+lWQ8vHb3RoywD1FGOChsauWpae6kosGQoCCFq
Q485zeV7O98+ATZhF7JPC/h+p+r/uULoVCmF6azQxV7N/rfY7ZPbOgehi6gCdqIN5xvlkON5+cJv
LMKTJUae9UJ+CCj2YDcev35f9VOCsJqJNbJ5LG4yUxyUmc31xmtwRd1ZVAS4JKTC3mVkSnqvThTh
yG52dbCY5Y7ZmihV8JJwglm+gprmYTVnq3yfd24U7K/c7bInnNwtzDRBsWLjJk0XeXK3noiirgTR
QPyQbGU75Rik1kS1bhLiU/EuCxuJD2ec3zl2Qi5w0dnNVhZB8khLGPy5fDfvrCduBkwRhjX/e1tv
/+zJHPR+6gvYVfws+U4XRv8Had785fJV3tkmPapOuIVLG2m/+Zn+c5WaVkO2cwjeHTvtHxZwu7Nm
21h5XtcaVA/0+JcveP6dLMw1XwKj+dBvMAE5fsn5VFllrfFzM7upjOiXq+zVmb36Ae5zuENWLp5i
CEB7Z6rwHgFnwwcpcpDQNqmnPw5xZN63s0r3SjDCunxvZyUrpqSAmBAfGVriTGcf31qddGZfa9fZ
SqS3ijlAVuZI/FBjbM3GrsW+HOtFmJ267mtb9A7ZILkLR+XyXZwVAdwFLGDLNymuAnrc47uYotbI
87LHGmIsBvhtjC1hSkPIaQ2slXry4iKW4/byRe13nh21O0cYVAXg1FMGTmtFAyLyhDiYRjbAZ1Ji
CEz1imU/+m4sUYPCTexdlIX2i5WG8R9IlM0vvoXh50AKFyCb7dd/JwL3kpW2DWLolO+Dcy2K4R9W
aVYm/LXZxXe6zYa/3gD7nW0/0z6OgmH/PPRSP1PKKljgyURsc5FDWia4Ovf3vhpRR2ajPf50XBLM
tnBgxFPWm5m3nrFqn296mWAdRx4cvpSp6xT4Umdh/ES93Du3mRfa7pUq5p3fCJsfeD98hUthevob
kchMRpbWxOMk1aaYcv2hxQJih3PBXWa08Y5OOri2MM52BMoZMGdh849YzpqThdGMzlSXVbOtadwO
JWgxWqjR84YrC/B8pLLUTZYb0CjyNyfa8YW6wUXbKWaezrfFQ8cJuzZw8NjLRMtt7ZMwngQNorNY
oxVwuhHDw1F8vrwg33vDlMHg+nwBbIInDwsNzK59D49OTVI1OI8inKTC43OcGhs1nawPMIXj/Mqj
n52UfHkmYzmwAg4B5gbHTy7gAkHMHJvtWDT2TTHjApabhrpx45DEbZQJ+0k3P3TRmLf/9XEX7hjM
DCaQOGqcHpTwsa2iSwWBQ/wc3ywmSesUUbS9Is0onzdhgyslCmxDXjmhz/Z/HnhZUOzI/EUk1/ED
6xnxuYNr1DbHl+ZxJIN03xNQcNO3ubgb8qT7efk5zxmRywWpRni9LrjPKUtCSyNs81k1WxWk5rTR
CSVfmCdhvZAl/L9ehMDCTXTurVE41tiqeu30WA8jk3llabO78oOfK26W+yGoGjzThWHhnryA0iBh
k0OlwTd1Ilt3o0NtY45Z512EKbCBRXo8axzwETQ6qHxjTCzWTpFLizTNOsQME1joztTYQdxiZ2Wn
W+QnzbBC9BmS04X1nbFi58TSFqsdJtmWMcd/5gzO0C0k7uTDQN343ZCNXmpsy9gGbqbxE44QxGzq
0aQqTksl53sys5NvRgcLA2NpryciLGyaT6k1TLgLSJObyjrlfoi7LHxl2dhfbXtMia8YMIEwjXQk
LaaZeyzzpCgxS4zM+qYpM1yBKxIVviKmcB7nIccSUzC2OhAQuHgO1XAyt6gtbEwJ66wcf4cabBCM
Ic/2FiMJ0phqXJWJeknrQL3qAGG7lymMRwo1xCVpfliR3FArk9egmjG/sekPPhUD8ZGLvme2D4gF
YAH1drsoTfvOOzDMxRU9dPLp7xRoXW9lraDIXV6ES9V5VOfxm7v0A2zgYIJwdY4XfRUxRBpUVW61
MfUH2EkeuvZkPjiA9FfO1f9htScXA94Dn6cJZRBmnjSiqPgR7EZWjpuR6bdfe0MW3zK/wFi7x+Gl
wSLQ8H7SqOJv2o1q/EZ5ZFsfi8bISL6sMuKinGbs4TRmpbku517/FVYbGhvfNObprgsjrFcBUr0b
vfAPbzPDHHG0LoocwrhOcPDIZq9/RfSJE6N2J1cSDj2jqhdtWnxMMtOO19jIgQeOI83pBnPG8VPQ
uMQjLNR6/0lX0Nq3o+Pi3RBC9tGb2rRR4HQewpy+a6pu3ZtoqwibjbOGpLMM4pMcOgenDB3r+kDb
G5Btkda/M1VgRJVaHWbaGZTGZzFNpoc9kUVAw9BKKIZO0BkfS3YCc+tFcXnPfDOCwYd1Rn3r1XPe
rlH6F2hvWXfOOnLy8ntqtD2sltYtkQjh7uKuncH1DgTLR/0uHZlAs+c40XZhemNkB5NQrjVz1mEz
oZV2N25Ok7gLcbOUW0QbWHMHxVAcSCGO8InIW/FbeXGdf5VRbzubsTXBhIGRzRu3dzsIPaOT4Gbq
MgNapQhrflPOVNYWZ6nooc9a/8vQglfxZwolH6Xk111LGDi4+EuyCZ+nqK4wmm5Tb7HmCNpvcOxl
z+jGVn8aK639j2MatuM+nhjSQeMhoXyVdVoim2L8RXWTIzRewQlQ33VM8p1rBJC3+gm3MdF62UHH
DekzXYRHxyvLvUk/6L4dnrPIE9mWbESIWG0SzMwLx0rumkQN/SZIyHR4KqtufBlJ25T7tisqEu4M
F0f3QWMaQV3YDGszlNjWWpTDCPMyV6p94Bgo6ydzahLsAHJ8qsJqCikn+YuMroCp1D6o0hkpHUEq
hHUpqf8yfkz8HTHXiOex93R+qHQMxgd0n0w7w9ieH6PQm1+a2jS/akgdDQYKEaETgxWor45RJtHG
GZvmNRUjOiKRdtxUEzJ2WiNxmx6hu0Q/XVQTi2NZSNAcJl/R78ijpWNqBR1rhdpZBSvpirZ8bqJM
Z892584AEknv/4S6mtroeobpK64Ezuvlreid83dRs6BlgSZD3W0db0V2rTkdrKbbgj0OLwNxMjdT
WPz20dc9gzJc4xy9U98sIN8yL2TswwF8fLnIqYspi22SrEMLIwcmHjR4I8wUEIq020KyqXfIO7Ob
AgbblZCJ84rOAccJYEh6C8RJRNMRyDhZ7WiybvItDnUxEFg8EzibtQdcBmAitaP1NUtwEfjP75fe
GXyaW6fEOU22cGp6k74ey63h5/DwysrZpjAq8aEdrc9xPTj7y9d75yG5HrU5EguOmODk9+w6OXYF
vknboojmfeXa9EHuhGdM0rQ3Xti7wH75NRrOe0UVdkg2RBimebCATgp2Q5g4mLRgSEaLb8c2K2If
L80wmuAa4z4DX7CMxG0Z4aewglreZp98Ly7qA0Qw92uTykH/P1477cPi3wgBl1b/+LduzNwtJlfp
rWcE8ecaW4sV/ghwtFQzb3U5XvuM3jnRF4QJSTiTTIZoJ+s6bfrCSDzZba2qTF7qGnIETJzgHvqN
uvILnwO9zOqWkTtzCGpxpNrHz6aq2BvsLiHKsjLtAwyF7Kbi/7sJqe23gALtNquVsWvxQGJUEWUb
Gw+hj+x/xEUkHmFZZeGSN+RaAyHL+M9sXKwnd6bVOv7m8mJ8p5FzFt4zFCPLY0TzJqz4B93pXBNE
tJM45TVN9hnVHB4WWTHhzadmb4VryvCtRjK+jQ3b+QhnrD2kXdhee2Hn0ILj857eONGMx04XQ7hM
dQpP4eQvcZDey9aN8tc8gqKAr3JpNps6neqPsWg6d9OrRJiotNP8U2fP4kvEWbqIovPqcYCz/Sup
lHk7J0jSoPhnpNuTFd5/gSIdfpShmK/szu98zRDYaQ8gsgMLnaJjpYpU4TYzFqHB6N11UFtxYVL9
nVkV1TaBzH87z2l+pWRcesyTghH0mBaJ5tth3nTy7RgRfEm/Zc7lLcYm2HXpz2UV2VeBuOWbOLsO
+D9dvh2Qx3OyacChSFz2TXheZYfhSTL6xTf8c6JHvxkkxFtv0oe8rtpdFssao22q9vtQhMX/4x0z
KIbTxKbpM2k7/pyCnL7Xwf1oyywCT8IBWyU9x3oDbJncF838W3B0X2kAzk9dOj4G7uBdQCpgfsfX
hLAR4GbINRWxYzdZF08/FdJkf00LiNl3jHvelS/xDFpGTslW4SARBluEuHh8xSRz3S435w5XBYGX
f5+NZJlU4F943AugKoGt3SLjtSDsla1DFCimwuKxBon+bqSd+HPlfs5/fPQZNOILZ5QR7unOALaQ
47LXD1s/imMEZOwR9oDpmzH4sLUafAGKwuwfktRctLQBIYiQaL9dvolzUTsvhWKE9DPCwKEknOza
QdDrZjKcYdsJuxFEm0H5X1t5EdxNgUso6KyJDSSSoiEbByhIP9fzNOWrcvLlsxc51rSyWvyZV6bW
+lvojjXmM6LC03EEzfg2GSEqeLdP9U2K7mQ49DpVKR1wbF3z7Tifc7DJMvILQOAZHKClOv55MUFN
VNTXxNPltEnYKTeH3GdwR4W1BEhOYmSP1clNCpa5LQ0lbIiMsPNXKKVAQE38M6pWlTdeU+Vk9pkV
JbxdHS6/7/N92IUHsUwnl31Fno43qpZoqBjHsK1D9b5H44sivijhuUGifUE7MD71RWfe5JAhtxZW
XFc+9HcvD2BoWh6onnizS/3nMAI9S0b4YeSWxH07rvrExpF88jovvM+90vCxtWPsDeM1c8hMkaND
1nqSh8aVMvRtEHu877nUoQwDCQxl4HH6GmbHZwplwXrhGKr8B0zGkvheCVzmPsBNRYUUMUF7Ql8B
UciIY+PRsYa+pHTJg9ugaIv04Ma2jf9COWCNmUqcMLeZmHFcqad6xElQ0OsSwlcExBwwfrVu7BBy
ArrD2K5vpKGMH4WdAHQXZk1NigdfDvk2LIG7xWAkhzpPfbnK+phfYezg/E7aIfhyyDpnlSr05Zsk
qqODNXtNuCvwL29xYImSG50V+KuyeMJgVabYUtz2rdv88Nux+owXtHyJ3DhNPw2hTG9qGoR65U4U
xr6VyWo/+YG893q3CNag3eYVFt15eQb3BoWSSfMBgeK0ZOoxo3Mh+fChu5O6LyTNW1Y2LHKrLHaX
F/lbx3Ty81ILMz5ZCD+cKsvx+s8yGwLMz3ozHLZA3LWMV6agGd1UsLhIRk2kpbcxmEf+KIyopi2P
MNZB7jjO3i/R6Nq8kaJtrS9mYZifLt/ZO4cOI0WUWpSN4Nmn2DJUxa5uGtyxu1kZmNqGxQaZQv1z
6JsvGMNci9p7p071GLXJhe8Gko3hyvGL6OvQ7NpiAZ4iGzHyCvYX7t6xG5u02VGfdTviYEv7Nmzb
Kt8EHAd60+dlJnbj0PT5FipaSZ51T5IaVZaLJr2abbRjqW76pz4cw6ce+rfcXH5L50vFQzrHWcmA
EBBenmBzXoCjLULNlNlDyBApabt+1+lhuKsaXBL++8W4FHuSBWEDjufJWmk4WqLJIrVLiNq7TceS
lG6TuVfErO3Kpc53P444auBl+wMKdE+quiILHUDHYt4SmTVsLb8qfxgg0wSJuFG1aj0iCQeqzB1H
JplAVYHF/uUXe17LAt5DoVqG8TRJ/vLf//kuvDCwGJoH89ahsP4FtcR7HYMSvw4dV97WgKTbwwF3
Su/KqfP2cR99kPZCArQwjrWQcKOcOL5wjLFRH9Y4YegRldltF5nmo27mNH1w8tGsCKXC4XFvIUgb
VmqgBFoVhA6/OiJFtEPIrf+HmW/8VKXUcTsHq2LCjnLomaukq+pxlWnVdKseu1h46+GyifOcLeD1
SH3QphNRQ9OcE93clRKauhtiQCeN1v9a6inqNji21nA/yeN50aPCntR3uwreDvf2xwXL71dj2JMA
BFyJDXFDosaVbeHsd+H18GYYiKO+9oLTBQ8hMpZWpObtgsWRE13m1Y1uG4Fn5NAJD3Ndg9ic3rgq
0l1W3OnvAj/bsnEUWJCZkwUxFU5ItyzN7WgNcXE7hpbmJEG6QpA7qOu3MkQPuEKCAzbcSd/4enk9
nn3oPDeMM4iSDFIdWurjZZFGaMDjtKHZyzLOON8ZUQYm+HX7wE+XL3X27THcgZJpSVYhYrsznayM
oCgVmlfcFOQeJd3wOdYMpnGMJVE41oN7P0m6gSlASYJncbS/fP03d6aTVw0TFqc6fI8AaU4HDkqZ
NFJRJba4E6HwRKBBviZ8qPq+DEXhb0ZmucWGTEDnkCmUYms5FKCmOM4k8YENnnBuugdzvOnDCA2b
iWHpBrQdv914lERT4ekmPxrcPr6vWK3hluol4S73BLnMrVnixeuXg1Wt57asPswjBx9yVXRJCfNq
vOQiP4KIofPmytJ+G+adPreE7mEujNgl0P34N3YGUdld6Iht4HdDdWsaQvwebS/Wj0Q+M2EYdSe6
dW0hyVj3WKZaD21kg5Ngpk9yna4nb583WhIRWzKeIUUCizBdZKBJl3+gd77BhclqQusmYAAq3/F9
dpUqwsleUPuGUOYVUv95MaTx/fEBRNQd9hEathi73DlUV86F83qFz951sKPhBXnSNU8QQzRbBdtj
a2ERUxjzepqU/6nv2+kvr4btKFUAz74EMYer4z1qfP8rJCxx9A1P03GN5lZd+VrOUSPuCN4kKDEu
hKzWk43Bt6My8U1Wq81U76Us+ulmZovGGLZIggO9WnlLhIi70XlrvJQw2l/qxHSvbA/vrR2E9Hw2
tM3sUaecXysLh4mYDUwUPKxfN0Zfok3wgjZjJowxRLVhrh3+qjx8P9bSSedDXxBif4hbWKErE/kf
7vNh3D6xr+HBYNeouNcoyPXT5aVzVtXZtFQYW9oYK/jeGaJuda7y89KTW4Ed5mOJLGbNZyteOuLi
Pv0fZ+e14zayreEnIsAcbkWJ6ty22/mGcDswZxbT0++veh/gWJQgwhuDwVwY41IVK6zwhzyv89d/
Hg8pQ2knRXREYLc6UjDhBRhL2J1uY+IWiF9SeJ8qSvbNiQYUVJ2SqtLG6Th/KBBfoVAkP4YB/GG9
QysriaMpMw+c1tDvOg8pA7XI2hYHUBgTaTrTGUzDJXBhFywbpZoLu5HXCeUtasmwEe11gx6G8gSb
3DUPQ0xBt42w/kGHsW61+y6Nk/BgFHN5o7pwprXRrO/SRKjxvQmEdWNDXvjQJM0sgexJkzrKVfor
fmoyUVvYkJqHWkCc7KHF/+jIoXOiC4Rb/CkBN7dxEs+fSKjxFBXomaDEdR7BL95omE2EMyNtrzsI
SqJE1blV7ls7MbONxOnC/KhxWlIKUoIh3rivf80vq3Ta9VMhbSAFhekOI+Qhz6PHOSl+AROpNyD9
6+FwryHskMwMNhQqUqvl9BzAuCJpoiC1DCQmEX68gy2CWY02htZdDNZtaxuvL/m3ERGqg68g4w0U
aE8+IIInXOUWBru8H/YDfPkebYKmeq+i9QJRXa/8zhWbmNK3e+rvN1AOa9P2pzWDbiNg9NNhB70M
nQmB5wNymfoTkaxXB6j/T181ATRuV3u98ctUQwXVqhrLiAN6ftqdR3O4x5cs9CRRRlPfoQCCGNxg
d4ZKq7vKbrGpjd8jvjuRxpeGVftzN0cfmtgoX2xQA+hwqpn4NSJ4OAZhFUk+aRl3P/pEFV+KqUcl
V7UW2yHitgUKdEqn5j7a0ZBFKkLwJ+jbze+lyHFajESMkTLIE/x700nc6WXjIFsxJPH3OAFmQPu0
HrDb7Sqn9r15pEhfKS0xjNtF6c5V6kV6Z1qwM1ylG35EgP1b2UaPhr0Me/irgMT/ZpeI0C8WAmw/
qWjIzxUUND82++p3FrdgWVJu8wbb6HlKQaumTLxtldDcg15S3mHzkMWHcHbSh9kaosVHir+/9VS+
9SHNTK+gMW6kP0kSUM8o2WjhbvLs9lNICFodwkZHnVSzZg1n+rGlbjcKI3tU1ATaByRgvImVXIeZ
m3QFGMMOxX2EwDulW57Q/UkXX6BXTqZgGgq27ZQqH1r+7H1YREjHevqgRJiLluQScZFgg07KYSAJ
A2QhGKp6+G13LlEhgond14qO7O9+qNAaJOt1Qbn1UfVVL1oMjo1xbu6hWIb5HgQL+t12qsV/uDk1
bGAnu9Z9ISZvBnYeIiM3Yxlao1USooOUAi/44ghVi27SUk1vQt0ZEcLUwLYh3h3X4EpbVYrOYQ0A
vKmq+tIn5JhmjE8R7KE1EhmMRs9wh9AL3u68zAYQkIHmDMRfnNawyPbwe0l10Ud412LUhOaWgmS7
Vw7YoCCuO/9a1BCW+gi7HaPRIskfBVhuxMPE8icNQ+sX3sNu7kOvoOQGvX7aczMO8QNV3Ox7amWc
XK0Y7dkXWKvaOx3VjJ/VjLYC/IXBeWgqL31l4SAhWwoiCBuP4IX7yvlvU0b2sehpnh7jxaQkMls2
imfKUu2TyINB2ElXYWQwH7psHjY6BrL0sLo2aL6QF6I0S3S4vq2suaoMJVfjIASCm9IqsIYHDEHC
DZrMhUuRJggCnrB+ZH1gFU64VKYXO++jwKBnqh2UKAuf6a9iyWA7Q38c0iz92GqYAv9bFMOlCHmY
yIlwG8TxOuBGPkOhUJzEQT9EJSZli3aDyI3xRAraPelhbG19vjOcnxwRkLtrgfKj6bEmuzhGM5eR
aeDRQq+0exXL1H8j3a8xmkqU1Lt3myi+KYxSOlhBN//aDyGMVFVDK8DvmzDMPzudDaaqoFL8lJVw
3G4spBYaHyUez9rrUafUftdr2id8J/Te72he/Exo71ZBWU+gLGYanmjnJFCGd2GCyOhuLjPjXgkL
FeuScpmfKUaZ7c4LdaMM3NlSH+Ksxs53xgEB0y3IIwrQq6KUAH12RFGEQwWMCsAMZ13VbN9Ic+OT
UHRyhTjvxRc7m4EGVY3iKHsaFzXdCXXoe3oOUaYjUhuZjZ/Odf0irHkR+Bki0hPA+NWQ65hr7bWu
HBT9plznSk7n1AHlFBpJt0d4D2OwNC0d7p0IuYg2Azqzy7oYF8i60sunUIumYa+WdLKkAN+SHqiz
jvOR0+n9aj3KsFhKUXL1l8jLfs5qXj7mtaeKm+u7TD/f3YSOENS5AklDCdBPD63TWBNOHkMWLEas
W/5cjsiQu7aC6reFIEJu4QSEX5kSiBiniW4Riu+JLBx9nKJQnbTbUV1YwKT/XZbGDMmxHpG6JuMq
+mR+MULTuffcdiYBV6tkP80LbnxtZPiI3ZR+a5tYJkdWOe+Rtv4zKZXYCNnO2k5IitLJcbmO4G8R
oa/ql0J2VdPRKwLkRCYgfbONGPQSD5RzkkHHE0JFcQGggmXXf9QpmmLi9Ln4CUEtcvZmNxbvkiZB
lmCuK/emxmdFx17LXRA+Gkpd2bhBL3wMGygIgBBJaziDxlhZVyRGWNcBqATNrxrYBAng9R8iT74M
sfmVSaofr2+ANxbq6S1KaIkEHZotFMKpAJ1ugMpFUEXUePeoNiUs7G3C6mbKGrU61GlH8bCNpVWM
Ti2sOJhYxoGYVYpp3pd631l+N+tNu0OoPP8IAq5EC3Hs7fDZbrC0HMOJkI3jnYJcdnL3UwKbodjb
k9bUFGFsYA0uoNl3CWSW/tGYsYlVxqlq9x0STcsHUcVG8qzHxgwj0XTAtccJlMBCmQSchjBDpMmM
fkcisr5YgAgT6MPeNN9lel7/WOiRI/wc9XQNHben2aQOMXaAbhqVT4ky9a84yEZsalirCI2kWv8R
hqyJuRtL/MHO+UaBp+G0d0s9zPlCAjIOdxZQTFRzwIR8E+NAWd9Jx+TRM8FfEyIU5Z82jlWaWzyS
SHBHc7nvGs43rdsQrzMgjgpI1iVOMRbNBV7nDZBDn8hi+FrjpjTuYyMT7a3W2iKGupMjOhM1Xv6p
X9DwOeJGhyB5r3EX7jd2wNkzCpcL8T/bQH+X3svq2Y4RqreXAVdj0x6c49gbSJ/05b5uLNoZTlvc
907cbxzLN1jI2a6jsQC6hrYXueLprmuLxXD7wUsDI9VjLMYj3SDLUM1uF9oNEMphahy0c4b8xpo5
wmi32NanCnBsedRjezLQnW70732Os8PDYLR68TTJTwB0i1CfrGyorEc4oxkC1WpBvIPvFxqnGBEW
Y8A1OhBSq2FZPXtD1D/iiTCPexy9DA8tdFuhuhspzu++zZV3hdfavwy7QJny+rKfR0toiiK3Q+xC
AQeP5dMVmGB8OhhxZYE1VeXdvCD4lkaUtEtcCY5UGqONTFme49WKU60CQAKXQRqSrsIY3InbYail
wFYRxxo6R1rZPXp5vmzELeuMnAuXaIWaOYNRk1qrVVtaNC4lT0MwoKf0mDptha5o2z3PrT5v7NwL
Q9GhNiRshH4RpNLTJQTgSr3QmvKgA8p5RHIRLHxnu+8oCikb5JM3bupq+TgisqpEE4Km+Gr5Qsy/
nMJNkqAvWqsIFNLxYacA07yJwAF4T+Mwub9DrQtvhSXmX5PgwRaiB5jvpsImsctRPvVT1ZrVXbbY
6Y1X23g2h6m7RHvV6o13XpYLYiUBPG7Pxmnju75vsClrFS265WxafwYdV7Cdqwk0gqgxic+NZUo+
bLHQ8JnpUfe+anXtp7nqDBs2GIXZh7CzN50xzreuzTl6a9QC4aQpeLrujVIBwq17VkFVptIfRk94
L6GjKPdK3pKUK+4wbrGUz/SvKRzKHuSbog0AkjUIKilyTe3GsQxSJfMwdu8t/dilnXVfCEW9g0Rt
3RSYPe/QHRO/TSXCG7HFfcr3jNK68fBw2FlIfz625YLDpzVIGXGvyIFLa6oodzqOjRuh1fljzo2K
UAAgTzAUBPGnq8S9RTAFLE/CwtQAbVVgSx34R6vXM79FWROHQ7PdOOXnR8JDTEK6R2jynzW4Nqzd
rOCJaQMYG226Q9TQ+lQ6eLfjxl5uTFCGhqdHAuol9CTgYS6X+FrC0IRdiK5QV705pB86mFlelQeQ
/K3DMBfeU4Wkng9pQ/12/eY8myPdYWaGko+lkQKtJSBmm1usRsMpaGf3EzWHlLaDmZnBPBjNh+tD
ne10hqIPbDk22uVcvKtTr7gThLJJw/4rnrPfRtGZRwpMxSuAACo2TrRspLRnpVygXgjP0QTTUbfw
CMxON43JFe22XVUHPRqhL3FYdBa2JFAH664Zj4WlQb2I454/5wG5oydaBqiruRu33aWfYRF/4qEB
+IwAetXtKfKhRsQgbgNYDsrPVBtcrNwU+zBbUMGom43mvVmligHX0M13QgUiNbtlvXG/n68+rUgC
EvCALjnKGjI2043CH3IRgZpr86NovWXP4rm3WCGOKr8CK6uNR/lsS7Odyd2l0gMvJJv7dPm1Af5M
mCTI7+HddJPrFDuh1aTHIpqWR8srMFgRKF3TP8w3qgznmxpxIzq9wH+IwYEkn448CMNsF6S0gsQW
mQaXThd3lUVwS0CUhhvTPLuamKZUi+fssOEo9Z4OxplVZpjGXeB2hvED4IF203VqhZWSPu49uJu3
EyTqjUEvzhB0J1p4oG6I/E4HbQeDHj4GWYFLArVXdXj7Te3pN3md9f96CzI/niePRg4lR8C7p0OV
GeqQkY6XsKHG9k6I4QfafMMXs3Oif+xtOTR7UPmRktYOwdxaQwVySl7Uo05QGSvO3TxO/Xso8q9x
Grs9yD0Sj+sX0vkGBbAkX0FuXPpp9upCgkmswPbs6elg4/zTCbPYd5bQtXeuRXN6p0+F0cJha1GV
ny335frg5+cRyi8UOZUgSArbreKtGGfMHhQiIauWu8eYY8+1pHsPjlqED5An/4fhOPUapFuJBluj
YqhX4LWlFXmwdIv5iAv3vJsaGmtW5GTfRmQIDtend34qqNrxGQHGvYWwq10jIzwcF22m18G+sYU9
3amlCPeNEPVO6zTlvpyMLXzVpUHRhpXoFlAKEI5Ot2pB+DEBReTdFLMdzKXnHpG6mQ4eHYmgM6v8
wa6HaGOm50fRwI0IyQwHaDtg3NVRrJ3Zc2uzy8EK6dmzUrvIh7Ct9h7tlI07/NL8kDch1bMpoIGy
O51f1Dr6SLacB+OkDQ9lRhYW5gU6q3HhvqKpNAKp3BRXPkMMgOUDo0A2SwuYNv0ayQU2yFkUrIUD
Oxqr95HU0z4uBf0QoFH6LTqBeCqgZUorA92xxyRPxa4uPOvVxeoIX/BU/XF9a50fW3BtlFikshx0
AmkI+XdnFHhXVApUQQOvUKt35Qw5VRhkAgDdkaxyu/jgdIay96rW/edPzcIjgalBX2Bje6tNHZOi
uDN2IIFaZ9nnoaOOYumVuE0Sd8s16Ixj5XiQeOBlkCFRQGZfnc7S6rHnI6108JpyvBvSIOeJLtLy
Top43+SDZbS7tBJuMKYGfBErhPGUafnnHD/VT9fX++ym4pewBzypoQKUb/2OIxbk1IU1OODGgQdV
+vSRxnvyfu4iPKwK09p4vM8+rweZTXIUQcYQJa7hIHlaGmNk2BPWcFPzAeDIQ+WBN1C6pr5HtSB8
Z1aifRWOrtz86zxBGqMtrZOG0a+1VgeZxcYrKV3UoBGVRbef/MdE5vnZyaIfWalvAWbPlxWeD6AK
AhWXws26AZ6gAqtXaa0FPVpzO+kSf8SigwbVSGl1ELXy8/r0Luwo0kzWFjw+TR57nUMlXqnOtrJo
gUoZ5p3pjemziOzkWMVEwbs5H5pd6Nmkx2lWfE2tUiVMTZzDYubzl+s/5U3Z5iTboethgmwAViJT
j/VFXRX8TFqoC1yfQp2fo7Ttut0w8UrQ/Bii6KYCv9q/U+tU+wptBKycN1rxuCf76k1km0s3wLNp
rh9oFPbEzLmxfNYdroJDExraslMadbR8/GQaANkzjJxdVzZ275co+eK3jrpGsiuxE96qQ53vXbo5
ACMgB8pC8FpcE82YPre6UQsqkOcz4CrH+YQnZfUuMR0ZZuTpIUGWa5/b0xZwRd4Hfy8pliOw1Im0
6d0Bn1lTEnuwBAIHq8XPRkP3o8q179J6qDZgFOsXSI4iJef4eqClzj7chJKB2cbq4peavvxMneR7
Odn5U594yiOdIdq4cbulFXT2AP13UHoO0KTg8a617kfXhJwwmIsfEc03NA0HA7So2+wnM9I/ai1y
a3kNOdIHu5a8VL3n7hZvLp+w7W2PbTI0GxfFxUUghCL+5g1GVur0ajYnG/UqL1FBUJTcu86bNS7r
NYOgcJGhKAbj2ABv2QhX36qKq09MrRw5eGJWMlp7Fd5YRdjSke0XX8FechcahXdU2sz7WJpV9Ctt
AHOkNWII3aBOR1jAJWX4JrrNdbJMRIrmJ0BpTeCF4IpNp8RaPRwAjxV9/nWKMNuIcjfeeC/PhHD5
coD6YEZwTfNcrx3E0qqbUIMHVtiavfNg4x2/i5DzQ2ZNiaCf2K0DMyP3VGQc4jFozcze4+zqHBw9
VT4C8iTA6dOt8uMZU0H+Kgl9BOnHFcSFePr9NAV1uDLSJZqxH7/reTfg1zIP3udxqdy7KgkVdY9g
qxbtY0VQUTRRglF2Ra2K24lqKP1P0nUsmFRFfVZQJPxc24nxjgphMuxKCyBIcP26XEeY8vdytMn1
SKKJ4FfffYBvW/ZDNoP0S7p3CIMndwInlb2w8UC/PtRZseJtLLhaqARInsLbF/0LljXmNlFbDmgk
yRLnMy8/5vMKsKwoH8RrE6nmDtBWyvauk8OsOF2wCLv2r/+IS/Ml3ZQAJhlyrCk1dtRxcfVo9lbG
8isuY+AtoeZ91PrO3PR6k0WI1ZmSARa1L/kUQRc43QstqTNEaK5NYxH017o59hXqCjfgEzDuws0I
f4Uqc245bfqxABK8y6Zpbna1EY7vr097HRCw9FISTTLlQOCdBQSDhzhlFTWLX9CJ8du0X/ZRapZ3
qtrNCGAuxkY28cY8W88dPXOiAg2aBHiF07kr6I2FjLdgoRE2t/oI4vvJqqaOhhvsULFzuxDoYa50
xPqiFKntR4DrfwgLbuHOlPaAh8xIWzRJQmV+HVIF6ZRSxKiROsaiHCduGkzGWrP9jg22+T7Kp4L9
EtX9rWX31rhxK19aPsCE7FsqmVzLq2w+mjvPQjSIml5X5DSeM+U5igqFC6eTTNfQfLr+uS68ApSk
QbJAcCSYWoeLqPqnUVpVs2+HzeRreZwdlMnBSKNpCkTNlW8iStONOZ6dDAowRKY26AICcWSFTr9Y
s0SAxVD0wVrQdO+HpYAW6GYR4jP6ljHr2fTkULIqbNGmIfWToc5fF0ETLeMSKi5D6Z3ygLXHeEzK
cobNZtnosVX2Yam6fmNNL86PvAowOA8d5KHTQUPso00jwzONTnLzAwhJvO9aFT1dKYl+/fOdxUvM
D009CUEFhc9nPB2qTdn+E0Jae6eyq68phBPfTkDKbT3aF8cx2SiyzCOlPk/HqTEAQm0XQmcRhssd
1RAKLx4Lu8+WJPxohFnpI45Sf7eHYniOtRk4Gy5qfmkXyKaEvWP9JCI2gwzBlo0VODswWLFDlQJn
TSmBV3oVxrR6M+ohjjaUDw3vhfxvOkDGmeF/zt5xQBRpox5/4eOCLnZtLINMGo1r5tGAR5OdYCW6
byrHCYBCAATBpsePFm/r416aGpv2bXoc0fWtniXpDGqBc4IjN1D5FCBnF8W131ddfqxnTdlYyktT
I1WXkiDw24Hen35kyGRZbsGs2Asaky9xgbld6dTNvXDcrcqvvMZOLm2+GtorzAkGAE3hVVXdpWOv
mguYQERv5mQ/pk2BTPlkvHJYjIcOn5YnBK8GJWgUKz2oWd/vrx8cefDXP4BpcuXBLQRds7oYql4N
nbDEGN12mukR/JXyXLZFcyM9PJ+WeUruRhTgYhqCUxFcH/o8cmPyVGA0WZHiOK31hEhrq16zYbKO
aV9VB9sU6XCEUYJ3NkF3eNOopF13FCVo7cbIPznH0CxGXJfB5Jp/sqVsAkdDpv+xWXLzUzNTm911
CzL9EeqMSJ5CCtq4sS9coye/ePW5oqJUopY0f4/tTPfi2PNwC/sthQtrgthBlPplMInKr6/TpUHp
NHHQyBbYlPJ4/HV32046pSTA1X7wwuTP3LZIcmkZKjxFNz6DuxNBBIThcH3Q8zSNj8O2pLHMpQqR
Z3WfIPFAVVApqn3caF78LfHQbiU0iMLyuCwa5MowBXS5r9vBvM3jLvveLVafHGC+T9O7pQ1Rw3Kh
q71c/1mXtitrQHhDms/JXH2AKk9BnMbENMNYOAGmftPBHZAj1DNDf59hig50vTGLwK3zLSveS7cQ
8AjCA1z+eK1XV7+WJiq1k7zGMczo0TdUEZxh9a3PLvVv/GCbH/88VWmizkd3EVk5Q4s0GHzlMbDo
fZc1+r5zzRRN4Sr0seZUD8UU/6pUI/2KWuOWj8CFidLHQPCHsoOUHFldf8jtJKlFMXZfRPjvaWZf
3Io8E3tdUcxjpG1G7RfeVJvnW8YIUIT453R/j47ZhFUYsbCjnemBcK0yvkV6ZVNGRX6h1V2HdAQR
l+yZAjtYDVSjFBO6I73Y0JD4smVO7eMgwu5hbLsRCZtJOTZKnflhTBt1N5aif7QngQpAGRX2jspE
vBs1PX1//TtfON6gIWRKyH/Y06ucJZ095PWEhuwhNIAnofeZrwCcuCnbsPsAus54aNPq0/UxLy05
IQCkMtlc4Y1bLfmS5XqpJqQGI341eZTbj44SNxu98rONBCAINwq6jNQnGWQ1SpJSk1NotrDSZeKD
j8QNNqwgrE5CvRPghjbeskvjcStIuX7MFChsnc7KqfVOVwfH9Sv802Xp0TvSoLQfVbds/CYZNxHC
8tOcbCgmKPl77ClAqSCPTgdc6Bk4+qQzoK7AtVHy2Pm5LPUUHTq8X5N9jVjDM2gkbEqtpUZ1WY9Q
8IrhSehIcycd9GFAIMe00lvjoGAm69s5d0xgJSIug8lzk3nXGEhQ7+ZajUHzjepwxMe083ZK5NRb
6hdnO5HpkIsg1gFHQTPXtXoD9fyyrAvXdy0FUpoObBUZHaiIh3Ku9aOGCGVgWP+seod8lEH8QX2A
BhDX1eq+Uel0zcheuj4vOIpGzWTjO9aXxrIHHubtp272qHjVW97lZ2dADovsnUUwAMh+fe0Us4rw
t8WwpjQau3FTB/MJ/OejLUXsSwOh2EGhDwcwHtXVS1orZNKNUniQlAGHm709fqgqq/h8/Uhf2vx0
WKShM/cbC3q6F0e7MtR8nkHf607/QRuxTatEXqEGkai3fYM81fXxzoJkumaSg8/Gp5dEF/N0vDYW
A/ywAtZVmVH3E2VXPfRIFmu7Sq/a1+uDXdiZXCKs3dvu9NZSGyMcnSTNePwscISPmjH/WYwx3Zl1
Jm69Mi8ecjbvRqx3YUGlgrkm1ecoMK6r/zMaZmQaludX7gClbWps0IkTlzPOmq/LoG/i8S/cJrzz
si9L20HyNk9XdLKyeqkovvoLGk9AxIsC5woy5UYUpD4Z0vVRrsSHvqUwP7VOA4l38Y722A43qBVu
KX5cnD5Rlvw53N5rTAoSQ2El9DiUIApxLAYiq1EWWIvY+UpgnQTXv/BZYMd2krGVC91Ch9Apt9tf
Qa6DaUe+xFylShla+h1Br/OUeePwkMLqfV3MRb1pOsPFZ0QTxsbYl3YXFEgTM1gZhqyDSpNbph8c
iCtpiK2xhW7yQ5PAkyuLtnsRRTp+wPx3MnfXZ/zWFlu9Htx4EAuIs0C1qat7r6OSj69ZHvplG1nz
PaoxmfgGkB5hbFEpU1f5sFtnZAVcL3/v4uo3+OOg9T+VpcMotzMVZ4L2B4ny6DrSOlGfQvdDGOpj
6yekIni1xLSdd14f9Y2PjYpX7FlbWHhNOMX661Ko8cd0wIqCMp+NSLQ52Ejimgj3HGq7Qq0XwVuv
vM+Uqc0haEaxchu1SmvcI0s23JSJWo27tiuKT3Zoodo9G26YbzSozrMQ2ZuXDRIgGfi5voHl/9oW
sxomXZVO6Eq1s428BoKKf+ywKu4akLX7Tl+K7+jQoLolvPpWW9Jul9be+JIrtEh2eTTXWy4fF44F
vXwY1cQYCJCcIW+EiwJIN+l+Epbiy9KMtnwc0+E+RXxYyiBH0Uah5axEQKnp/zDFhIhwj09PRlPW
TTV6KRHD1Jm+WOiqAufWjnMB8HE3KD0l37RuYFESibQU2xKYr9e36oVJkwoQnRI149S8NjcHTaBQ
yGt1f5xHB/JNX3a41uaqd0BKWjwpaIAU/1o7xFaS6aL2JruEQBZOZ13hm0J7tzb8Kq2Wh9Fsih2+
FTmsTrHc/uvsgK1T92UQnNrOXAz0WBdkHDQc83Qk31HLOXBE+pq6aXLQtfRfNaq4UCHIc9fh0WkS
qK6ueVsZVSPhXx8QJ0IM0xAfazevPs8a1efrMzt/o0mnCFD/C1XFWfB0EedBb6OqtnVMZxwv201V
Il6FKG0noF0Epef6aOcbldHQQaERx3NBZ3k1mjMn2ljEBuFj5t67GYbDO3hKc7LLkGU9Lknsdfs+
U6Dxalldver5qGy9WuexloSVI3VO9wW/znVi47WmIyJzBH1bt+r9ki/GC7tGbMz0/DyAeEaKDhQw
/ArrzRvtr1tptLAfrXOoeulUIR9lz6GxzwwoxiU1oE+Lx617fWnP0B5y00jNA0M2DKGoyF/014hq
2yBrlRSQe2rPrQJt0sWhF517Z6HQ/g4cAQyq3M4KvymG5ktI2wEphDL8FuWN/u76b7m0qSAMoqpC
54ykbrV/u7kfmmmEg9XbMU6KVRHfJL2tHqVXwsY6XxhKQ+OJTN2GgEW4eTrraTYMxYEi4oeplj+b
qftCihw+dNH08fqczlvb8BC40qm2oIdAp3R1yWLKhitS2pq+M7XlBwpf9ceQAKjGYtCt251VVsl0
kzVRN+2mpHVwEu8gFO30xXUz2jdNZe8sGx6srzXQ5//9GEs3VIJDitI6Db7TZXB1Re3yAUh57lKb
8UUtwhtEIYoRSQe92m8shczKT8MSucnIEoBD4OJzVo+wECvpO2H4BQYiBgINtSYW/Ji0Jf7gZrMJ
cSGN2m9T7lGHR+ln/F24NAUXk//PV82xirY2v/zM61/E50dkD9w5FZzV/OXToxZtqmJ3F+cHlA2M
XwJPjAAnI+VnD0+5g+VQ4OIAGCHBmqJUg3npu42FuXC9garnxibvAXGwVkSMy0WKQ0boANXhdOi8
Wd/PKDb8mkgjb5eyTptd5ClJTNgx5N9okW49iWeiRlwCMhICTQdwE773apMmaG8qoVOofljm451q
9ul9nqrtJwsv4juqk3hgFVPlx81CCJgrkf59UNXqJp+S4Vi2Xf4C4qb6PlZqfmdVVvr7+sa5cPWi
Xc82peZBWrgGFromEqVFlam+XWP+ZKAUjkpIa8cbCqznmAapywlahFwXeiSUgNPTMLth1cwRjmB1
o9to7Y0gFtoejsUumuoGNqk5fazJ3HSpAKE+pwuEO0Rao43Q9MIbQHcI9y6pFirrtKc/Y7TNwXGS
ViUYK+KPepY0X0w9ST5DXbbvJ3CkG6dABjyrQwD1QmpE8erwzK5eVw19G692sQyxUBh4Ll0nOogx
L+50b6xve6MFP0XT8fb6N7245SCUcfrAUKLtI3/VX+/OyGzqhYzJt3nxfsim1F095vPH1kyKmylJ
yxzibhj+se25/VpIFSsg9tJ0hfxcfTKjyUZGMVILf8nc/v1YVBgjXf+JF9eF4hu1CFsCBuS2/OsX
Vgu9H54OzV/KNr7VO/Q4jTqM72CtodEH57p575hLu7HZL319diC9KODb3JTr0mbmiTErC80f9CrC
EraZk/cEPHh9TIWdNL4+DEjFXJ/ppQMGHFCyN2ySj7d22l8zVTpHrc1m1nx1NpcXfOI+4305frs+
yIUnlzj4/wdZ3TEZ5g/1RCfKn1tYTXs4ZgsCfF5UFohY9tP/soygV/Fpo/dJ8fH044VLy8tf4iyF
QqxRHMgExXjgEMy+OTY0vLp4Sx9f/v71MZJSZI5FDESAKOf/9yIupqaUdUJInOjFbS0wRJyyzgoE
Rjq3OBP9ou5R35WAr2/+fWGhUMAoosoBSmE1sNenS+Z0aBcA14WUaZgW+qLt8ASnrdvYKBfnyGHg
kZJOkGttzhTYgmJz/fudF03tN63QwvFhSvGEptVbGshVofYURAZuUr6uTdG/GkLLd4pDwYXBqQT3
sdpDaZXkY+ySseqIUgXRjCRCqy7luwZBlMP1Vb0UuDFDgA/AS3gR1op2NY2sCn8l3V9se5rucaYd
p2eE1cbIRxiBRcZmHExxqWat8jgko9nfF/msK+/yHmmPXV9rrRM4fSw+xyqX2sbldOmaQLWX/ind
bVL31TUR2tgkR6h0+noEu6vWEvw8lrh7wFXoF+yzZSNpvnQXSqYVojy49SJgfbq5ewEAxJqoYaFL
De2wMD4P2K/dhCLPj+7YOPvQjPuNfX0pNaFISPODj0Ci6a3mWDpWYgwa11K5tKL84mZTfGe2XjMd
8HbKaQgXVUPnclHETiSlYtyNXTaWOyUGL7gjVY6rrT1x4aIkEwXtSEpP+rsmYwED0Cp2nurHylQp
RzWytD4AZ9xkX8k0luoYxeQ2+742lvEYRwl8NEL7lOUZcvNrqhX6QHIOUHmnThjxgDzXoq2Ne+k3
yh0rPVTg4axppL2uFKTLnUodr9Go2YR6kOfuHFw/HvJSWd12/O1IkiI6gDn7G3L/r9uOfqcYcGHH
gZO04naqFutzIcR7NW2U47+OxKXKDpB9eXya1s+w54Vt20e1DY9/LI5J5KLIQaX8R9oM5cv1oc53
OUPRnuIzyhHX72BcJpHRGZ3tF46KuHGiqAGbCbcEBQbArGhjMFnztLGSFwcFpye7fcDZ1iIHzWI6
cBaxh+NJ6ilg2FTiqQG4gYfQ9ENSmNOt16j6xk1+fn/ItofOVUCNDXyz/FV/fb8cCxlDbxxM6RLo
oLy/aKNMqnVEeKc4OhVWdteX9kJwDS+UFryE62mytXM6IEpSo8go8PjtPC+f4qKm+w30Kn+B/tsd
gPKGjxrie4e01Y3HcHLmj101bz2VZ9YeEslHQVza5sgq4DrRiTF9HJGLs4muas3J0L2SKlJROg2I
r0C0bnaa3ht3kXCm730V68/5IpW2rBCCz05P7eaPWtnud6tM6x6d8LH5gpIBmpexNc3VrhuU6VfT
uI0XeLnp3iWm1Rp3cD2UT9dXUy7W6eljGpRMWU4grGf9aC2ezd5AB8t3tGZUj3ahJS7GfXpFUT7G
FA/I9TQFgissO2TCSCq/okZhbsTw5zcNhQOaj5Q2UFJGU+X0k7a63amhAXlPT1sYjVaavO+Q39jY
qec3jcyMoZhLKBuFitUoC96QtbK4pq9Oo1Z9aIY6V/amdF2uFxLqjUfn4mhUwUi7pGiLtdqm2I6K
LLI90zdqURt3ha2Z5eOiI0vkO3aHZOD1D3lpOIpQaA+gqCpF4E6XcFEnybbC3GPpE/e77ablQYRx
8rXS8au+PtSFrwVoQtonw5zmHl2VvHrs3qTnhEMW3cY/NWT1PtdRshEnXLhWGISVQ7ed5MVYXStA
gV0wjgyyqLVi4JBQZQFFvRimzdQu9m2BuMOGicelm+VkzFVQ6OnAQdyhdDDNgMw0qVgloR00BT3c
9w9UNqOXZdbcFFvIcTqmU6zeD900frm+uhc+5MmPWO0bK2wXc5g5kf/h7Dx25Da2MPxEBJjDlmSH
Gc2MoiXLG8LXkpkzWQxPf7/SSs0mhhgvDBuQ7eoqVjjhDwu6kSdH4r2nNOk+ugA43r5F6WhClAGR
z5bZYkNA8vUlNUU3gEhC50Sw6I/K2nJBKfN6VBzYCcJA8lAXkiGPTBA3q9vQNmy8onEDTRGFcWmS
wvhgWv1qXDytbPPQS3VUXu0hX6er003d13jJvRVHmHh6AO8alQdNq72FpjbMLmaidI42Owz3QLOj
R802znv7B2TM8m8S+Fn4maFPR4nx3mCcFbJwwLTUSDaDCVr4FRwHBiuQjuni1v1C/NBddXcZD+is
e0PhhccwJKY8Tpt1NuM0zYSWOYG2OIoWIjXgTn6bdPESJpXu/fn6dv1Vy9q8IHxMnhDkPKCwbpex
rKl3uB4H1Y11E+fSaRqHoB3SMfX1otA/p2u6UIW2udR9GC7VRXQGFZgKgGQxiOSjl5j65fXftLcC
eDMSTUImgHYl75bfQpIVBcM4QZAXYo05/lHGnQgaeuqwpi3tYKi9uxBlKZaaLW16W/aSi6R/WlAK
DdJs6v7KqLI/NsicJQe3u9wem0Wm+C+7rOSRYF032ydyFhwmKwAyiWVhmY3jsfoD6V2UiAbFMPxO
KdW/Muy6D276negAaUHQCyRqsrS2eVTM2lhKggE3mBrTrVBySNpzQnRpnvGtW2N/WexyPelqE38Z
urnAg3saHO3gR+yFWtwZHgQ6qNKSJ337OT3XLZvIaL0gcr3BfVyEoq1h5wDl9UGvKZ8SpSzTYLad
GNdlACqxX7taSut90sSLOq3rz6Uo6u9AYFnA0dawcjZHx4l9zHONPnDVHjVWZ8maB6VNJtArRoNz
rjtMQ/b2o2kRtkpdHGlaue2SVEPc6doInqvxFiybvAmLiEJdf/SEu1/fegZwHGEkkBt0Oomqbhet
n4y5FtGQhHQKhicnRRoGPcPihDtcdbA5759qhnK51OCyo6iyzQC0wcmbJe6S0BJje8ltqarsGtUl
XzAaBrBxhIW5P97QcmXITdEU7PcWh6OQWXkAY5WgieCxD1UxhI3VWE/umB0Bnu6HktaY0nCWjBFJ
BHn8f7tJ2jWtin6AvaEYekXZOOfxp1L1YjSD9+a9wVAUBODKy2xqC1bzZuFiWjbTI61Bt3TNOPrZ
ivVD7xr1+a17QwoBSMESF1wP3KfbWUXCaNEQwTvXjuzoXFD8CNCxU096g+jY60Pd7w3E5n6lwNCR
6IkYt0NlI3zHLMmVQNcLxO4yz1pOqRItoJec96Vq/vv6cPf3JMPJTUGv1IVkqd8OF1NoWwBKR6T4
dYSUAyJ+2M0Vy//muny/xH150Gi+E6gl41UxPCNOpbYPx2hzN6koH6NjBsRwzbnDfFo6aJZmSP+W
7/JKHWRXMoH8C3+t80Z/GCz1u4sYa+qXaqb/zJw6e/b6zmrhQOHa80IzY9Iv6KFh2eOvdYsvzusL
tBPj8h6T8YEIkO3KbVcgIoIdacUowRzV9mcbo5HPOY1jvx0xK+TniTD2nPpqZ8ajjnbyc5wiXPr6
b7h/VSRpAC0inkzy5y2WLVmsyaSshUjxZGNaWUvMetLq56wra+pvjf7gNFF2QpU7Q5cITtXrw+80
jGRIwisqTclJljbb30m8agKAioB/zjvhe5B0ggzJ/B+6oWAHgXZr75cwLb8ni9Z9Ssw1PVNLFj/w
G+jAvRvjxUo071wXQkSnzMNk7/UfuLeJQftS++f6ltSK2038qxaYqQ73W+u5JzOPchISLcHGKBkv
CE0sodaX3cGg8n96G2HQtdNQEOezcGC3vcIi7TusxJFKJr2zvkVNXfMkdiLUG2cIF0qSD2OaLkGm
iOQAgr93x0r1CuRraZHdObW2cIJBihbIyGoa2gaZ7oReGbmPhlUdVW12Vlb2xomN0d+Su+92ZZVE
T6vFZGXhOhMeOlO+AhVTDDPQtDkK8cnNQ/p/R235vUPHsISH0DId/r7ZcRg5p/zFixXrzuJ+T5t6
CGmVjqE6Lmp2KvQi/hdFHS86TyZqVVDELc9P5upIzmlnqfkdiI9x6KgUbCmoKwI30EYhni74JcaB
5Qpw++g8jpdcE0dYq52rHyQAilw0eGgHbh+0une0aBzLOPSK0UH3Qa+TT3Gs1ou/FnP0aPaWdZCL
7E1P3mscbAmT3TZ1RK2rbd1x+7feBCBHKeo/SxVkMJoVw7fXz+juUNL4hLdNxlibM0oheYw94DeB
YpI5F6ZTXrM+xatjRjL0PwxFA1JKYUmg8+ZNi/qpQQDLiIJ4zjwUUk3UNcoyrhJfyeyj93pvXrSB
sLVHCIlVlH/+W8AD030osY+NAtOMxRhW3qR2F8SXsVEs3XIQB3fx3nC8nmgv0QPQ2Su3w+VGyxeb
lCjQ8Xp7TuwpD+oCJXJCcyM+WMe9txqTRr4VuT6w2O27k+rI84x9SnBgiqZ7F1lp/9lM8+yb0WjV
v2uUtz3aPa35kqqpo57JaLIPs1lZeJRN6/zPiNlBxH0Yz8iqE8hgJ2Mb+fsROfofr39xTU57cxnT
FkL4HiEu3gBzU2GDYrIkKJLIo1M2iBsULgRtJWqGU9Y65ieix1Hz4zVp3jetmizhgjbjSRnRNE6j
fnyxUvQuwZQAFVXG1pgOPtrO+y0zfpmQgQ0l4L/9aHGP9lm1WISPsaOAMsqdJ9gXnt+pk3Gi9mqG
Rj3j/9yK3vKLHsrK68uzc7FAxUWOjXPO+mxJCHFaTp6ZgSbEQ3Q8d6MiwN3zNEbz/AJp5ahKtjuc
1OqAAQjjcJvedNZC0djj0sTC+FG3iirANJwwqS+mizarp9cnt1MmoxgnB8LKAwzu9iEuV1XvJxWL
xGwY0nNH8e4E4yJ58GbMC1ojbypsEKzxyyqK5lvseNVD0gv7oROrc5CR7OxCEJ0IBFObB254h+ru
dTEiRq0EhtDXR2mIi1qt2V9fn/DObqK2wHVN8Mzx3MoVEP8oXhzpSTji73jN1yT+oGST90hS3wQl
eMXzwNHxlwEdsVQb32raQACPJCdRj3yl6M1vNnNlKKNrLEB+cEfUziV+HVhOa+jMdYkZWq2l+i7q
IwcnaOfag0NGs/0XSI5p356gQZultg8Zc6tFzgloah5ipOecoun41rtHJvJywN+X5H1Oy7ZC1XF1
e5zEJNTWbk0DQCf2V7Od5sfOVJOT7uXzkzmnq49kMdWIKYdUMcTpkfTDzowpNKBfDzYfiP62+Jv2
XouOnx2H6Tppl6EmqKReU/xvJFg7uudlTrm5PU0psAF2BqCBulW2TrGIcoATJMhMFPVDQxP7S2cr
w6VK8+Iqyr79s8gHT76nFdbl0HofzK6Bp1JY0d9jC1F6HiC7HCQ9O7cITBoJspA/iRre7SfvQFiY
RgZ6Q/HSf40eWIsRJ+7JLkV2qb1+Prgj99abHIfclEownJRN+WdtTfCXjY5ny1zRd56wJeF+lkFf
Ql/2P8yNSiuQL8rNdIY2g1HK7VGSHxms7lWy19l78orMfagrS8N/xhjWgwH3HkjqMcDbLRps3E2b
8MuZ9CJdEfcI10bVL2IwnIsDsTaMrOiCL9F7oLgw3z2t83vNXC4NrqTv+05oYY8422NmoGAp4iY6
vX6V7S06eQx0KZqpRKGbZzvDYXVxcyMNa7VGJ7NUPo0mnPF+jOKDzyvnt93i6BYTn+E4A3JeHoHf
wjQKmerqWFwglMHf28lQ/m/AAdg3nHp48irN/mg58P89RykOCh47U6RdQtENghFffHuOI8U2oyiq
4lCpEMab55WAtE/h4RviP8SGQFxAx1DKkdzszWqCd/LGoWnjsBbVerFwbn9nJ1Cm8r46khPYeemo
hhkcy1/9xm3DYIlQ5S/lrNxYi56NJDae63pNLm/eHuh2S9FEyi9AcjcTgq2VFK21xGGVihivqm70
2lM24U3fp+pRY2LnvuFI8vlZQRoT22DXEAPwoJSohWK59eSVgtdsqebUT1tPdGGkmMP316e3NyLx
Anh7TjU3z2Z6eTWXemVwxS9tHV3cAXl3d3VXP7GN+B2IpSPCyd54JHoobUgLGnyNb89AF6uraB0r
Dvu2RXzXsURgIJoaJGvi/pH3bvofPp9MHBBCgIkF3eJ2vBVRn6ivzTi0J0LcPKIEYy8Y2mMFdkQn
2DtlbBSpN+Eg17rdKVWLwaEwpY1X26xhGtVd4JSp9THiZXp7KMIm+WW4y50Fm/h2Vs46wPaqjAJF
Y33142hUrmqMEUSCp8/bCz3UlxhM2suA8tgM1aap51SIu4bL1PbvDb20H7G8nZ6yVTnis+8sIK0I
mzwWJgIP0+Z9KFu3BNaf5qGeNEgW5ANSTGbbVa2fCzEfLKH83ZvLWLI+pHcuBY87fKchRnd1aMaF
uaW2X8HTtO/6+FDyZK+IhFAZfEMI5sQ32/0OnmqUffo87CGXXoggvyRWpF6n1cUZC0K773SaVOpc
RqjXWXNNOuetroYEy5APJYVOHgBta6bY8k0bL5tYVttpsAhyf4xRWn5BCHR4qOcsOtgwe888LVWK
xQxHyrfFXs/0PwpDa2mVaUh/oJlRte8KsAmPox1N4Rx55fNAZfGqDJVzGs20fQ+MsfrcgwF8iivT
TIO6bI2/TWtK/3n9stv55lTzcH4Cq0FBb/sOajTSO6Oss3BNhQosUoHikuRHdJqdZ579RGsdFD+S
F9t+YbQQSo2YmPDJFxf+nqLil6mTmmCru+b2ZZ4c+50yTqiCp2ljH0RZO4eIIhq3AgkSdeFtkAEr
ZQGkkRdhUSzZz8pR4qd4au3H1K0Oqml786RfD/CLcgJdm83ToY+OqPjYYECqzn4kO8kfiArUE9V7
4zSh4P+EOHN2IRwwr69/x51HhJeY/o1GqUU2xW6vv7FP1MbKmCNN1PTfwbL607QYAidiq+2vYzkd
gdD2pkrtmdIOM4DQL//8t8htSFYb7hMg63xUxZmms/D7LDV9aGPJOc9a92Mk1sbXzbj++B+mCmFO
Iz4FUbWF3JPypKj0sMgmQhU+YtbTH727/LWo83xxK895eH24vd1D8YAWNBm2pDJsJrqAOjKzGYkC
YVV/zp0VB9qMwq2aDPq/rw+19xGlpzdBh4x1trKiTYV+YLWqRahPlQ3PrdL+roai/CA0OreGXXgH
QLH7w0+FjSIN5C4K+rxkt1NLu7XrRa5ghpiueYDXTv3Si/VI7vN+AW9H2cQbeN3lVV2giNDphfaH
qCoqbFo1fJgnWgZvXUCuGIB2vCx8KJLm2wlpSrf0SbFK5GrifEa69S88gO2rB3D+XVGJI8iwzAdv
H0wJFaAFQw4HTnlbQDQnS2tzNa5CV1pn1KSqvZ9DlHtR57VDfQZ3Y9+ayOCcGYNI3rU87Q7utvst
w0/wqBAAIgDb+eux/e0YNhEmQCryRCEgO7dHPdVsvlhzPz5GCAlcClRy3qzYiGmOFO6QvRcYJ9vn
W1RmEuGWW4UqfbVT3qTaZXUTj1aUeSTHsLdzGAxXZRru4D/k5H+bXG82HVWetgoRwBnoOtOseIb9
140+IvfeAdlx7zCguCDTGkS3SaFuBwOGNrixN6GQaMK+pR9U+RixpkehgHwCtntGelkBN4U2cic1
l6OtiH4QSmBp25tUqGzhF7awaVSvepgZs3deFr04NfqwXNwkAmUQ6dHP14/J/d3NK0AfD+AE5cp7
FSgnT9za1ctQ1MLzjYmcqgKH8oB1fRZE5rw8sOmXUF1KcVCK3duuUh2bAIvsA/zQ7SLjLr86UcNd
MOTu8mJly7+FpYsScCQayZiiTKfXZypzp+1qo8VAu4lok9R48yBnBTDpWGU81Vl/TNpqjn5dTdXT
nAxOgDJz44/JkBzQVfeWV2JfftnfwaHeDFojkNIWQ1qFnklHqI8Ip1BlQPSltHKAHFp+yVMv/aop
Y/z2KrCDboEUHkaZShZlb9e3SpuB9hBKsUozJoGhVP3LkuAWNKBWFRaVVQe2nS0HCfNOqZ/HmJ47
PRG2FFXR21GVym1s4aGaSYkW1abKUwozSAvb+IsrIh5O8YA3+oOClOjgd040l6BGRAckWkj11X7S
346s4gcBigCHRHxC9+H2B1UEgWOmovO3Wp3mt7mzPiKxj36WPkT/vr7Ddifv4VOOwBlVvDsUudXE
vWXieYJzqz2FTVbmjZ+gndD4TtvxoFqpeKqnZP0G6J0ojMxRfFyseLy0ZuYFBz9m53aRHR5ePo8e
BK6ktxMvuxnKmyHFrfvGuUBWL4LYa74J+UtmLUqvLjbTRN5u+WChhBJGQ9yf3/4bcD3iZ/zyX0Xi
7vY3cI+VSpSTiceEZepzm1jTs+kunsVZc8afQxqpHywCxO5JsdPka2NyJ1yIXuvk4G3ceZ5p/0rP
DRYEmsRmMeZMWXBej/Nw1frmcZx095pr5fRY1UDGFCMyHutBFAFyEOMfMxTmg2tA3mW3d4+0ApAK
0Qju0S7YDL+kptY2AqmrdSn7QMe8L5gNJfHFqHTh62t+f8394pvQF8HVCVU6+ee/P5TF2Mwp3rQB
yD4Pgq/WfBVNvoToq5cPCs4q38zZVou37zYKLshkwI8mneYfb4cd6k6bMVbw8DQZ9GsP7SfMzb56
htc1hdigcuWstv4Z6sV1mdz6nTb35cFvuPvGLKwtm168aIA0fgl//TZzpej7YjBwuV+0FOBXnoIU
RSugLqBSCcXxNXe1PiX1kg74ZHdzdaJAWjy8cfX5DTSRaSySHpBobj70pIB50Oca/cbIih/zZagv
jtlmpyRTnI/TWGDnvBzant69pL8GpWuKMIKUINykJb3WD7FoGkQOlbpBECUZr1Fjjqd+Kb8pcSQu
r8/xnvwrx5MiPDAOQTpsQ2uI28JAg3lCebP0vtaF3Tx2XtI/Nuu6hAZKUdfBs6dHHnLnQzdm0Ucc
S63rOHjjUz2rxl9tPCzWwce/e2hlwQ/oGw10GU9sQYv5NOQoMXYTUFPFPVd1o+MBXw2B2RWzb3n5
FOQOgmW6wDD19eW4O9tyZKQhftVNCKI3O9/Cn9Mb6d8HQ+HFp7ZruxBWfRYsTneEMtydpKygSt8c
OebtISvp35oY4onAsTvlBWlG1a/TTLtmSdpfasTzTp3edr5KL/YgVt0dmSFlnk30vVWn8ey1UryG
SbqWgNHXza32XIHm+t+iQ+ytNbf7iN0kMqLI2xkH0fjeAstvC4KAbisvye2sowrneikHGIgVAatL
nRrGPzF11/zcT15x8GTdXZ/kirwPmHvB5gE9uDnACC7MVT/DrgCgX15WkYCUTHHA/TxN/XSpjRJd
i2XEzfL1TbQ7LCEDKQ499DulTbTeDa+bcwG5tlwvkTHZV72acV3N1vTk/TJUKdPuYOfufFQ0H9EJ
BioAMmp7YQLHJr+z0Tfs8y7DF7kbQ+zfDb+FsBUSq0Q/DGeKH4Y1OxKB3fmkUEsQvf0l4gJj/PaT
0r/WBKwCxG4rtXpYtCF/7xpT8VNrNP1g5+5cjpRZeQ5htMgWzubM5EtrDAShIiAyQ7ZGEHhgh9H0
T8VomM9VHXd/vP1ToqlLPZawUyJPb+em6zFSOX0rMLBMzFOcLcVDYXiobKhVd0q7CDHBOa3eSvxi
2/6CIlCZ4oLYXslcx64Gql8EWZ3M5wgFusep6eN3cMGTgxOy9+1olcLcQX6W5sqmsKKynLYlOCEd
CqmXNOvUZ3fqyiB1x+j760v5a61u4iY5LdhlNgVUepnbYvHQW5gwOLEIlEwb349Kns3hxJNiBdBd
vcRHczHtzoupjbbfKl703YtF/qkwvWjyMZYZX7SpzXGKjgx9CdHfLD4Yiq5YQTWpifM4FL3jhUoR
mX96q1M+I6sT/9WizT8H/UADwF+ozr4Z6UWZlBiUEwcTlHdqc5tpeY+mtPC4ScfMfBqNob8MbRJ/
rHBdkLjto7b6nU093Smptiw3hTzpW/ijrS3xarREnB1QBxcLj8FJflLLKiw/K6IpflyHKf/usJLr
VVRlWX7M2qWYQmqa6G2OTpR+cEVUer6lVwh+UBkdlm9zMc8oXFioHPvruIrPhdCmg6B55+QC8pDk
Ss4vN/FmpWiTFnYSKXNAHgUbHbO4+Ec3Wu3wHvLjmPiJyErrIE+4q/ywWOxrSuekcITs8jf9FkNq
WIJ1U6/hatYszcfY8/436LV+sK33BsF9lUK51BagBHI7SNmvqTb0OhFDUox+Upk23JgqP71+eHae
FIqRgM+AGoA42qLA1qZxU3VQCEU1sV75pOLBXAepKxAv17WsvSBPPO/gSdm5HAz6KlTppMEu2cDt
1DJzGbxyJQzLu676Vyxrsp4jxTFoA6ASdxDz7c0QhBuKN+wTgt9NcUUVa29kMQF/06RFC7DObD4O
iNN96xCFhC6TdWe3i+2Pr6/rzqtJmReoOQ1fxES3UKwMCt5Uw/cI5lodhiCu7PRjtiAMKfDTRf2s
sPIn1czT52KYlINvure8QOzAFrLFKbxttidQulSrPC4P2aw7jd2ixhdaEf0qSYLKdPCo7O1TNqjk
3wOvv+NPVKo3AyhK5sCpKvs731zXfTWzjwqBe5OSZrFQV8Dewtu+3TOr57WdRb88wLBuwR+56d+J
GXkBZDhQfHz94+2NJRXhHdqvlBy3TfSZ1xlqAMjjkdJTaCUz4U6vqd1Tlnf9fzgLUnieh4tYx9mK
elTISgI6xKCg0xAWj9gewUID9nFRtezgJOx8KbIxLm2aqhIYuTl247ROKJRyEgwVbfK+MSOoWl1z
sB92LmTqeph4QK+TmDj5K367HA2zGoxyoTOrtQkNhqnRHJp61lD6lkjq9nEpbPsg9r8vqeGoB1iX
CBVxQ0rUm0eAyknLk+QK1NeaVDlxutWfcJrMZxSeln/x3AP/oGV9AwrCm0s1hFpfXtRW6XW/7Wsk
qN68f2TyC/9D3qwElrdLkJQxSKiKXAS5Q9vP5sWhZT/WlwmllIOp72xVoFW8fORc1Ku3ROVsmvWM
MoeQLBP7YvWD/cfYZgZctrw4GGrnSrMo0Zk0HDnsoCFuZ2Vn3TR2ownYCDmRqy40VIQ0a3pRHH1+
b625enVbPA2Q3zU+vHk96RxLLRG8/6TSx+3I6cA6RgaTtKwleYmLxiCeSKcG5fPSWA70N/ZWlIRG
qs3zaqBaeDvY6KSpMS7OhAVon/+RZzCiVcWwngDRZg+vz2vnqEi5O6JWyjIgyDZDma1lN6rQRziU
yvSy9Jp+tiS2s2eLh0Y3HQHHdp5CxnNkIwn1WPCat1PLPb33Gs1CCLcaxTmmQuYrov3D1hLj6hTe
/FCphwZZ8uhtgnPuNb4d8RLk1C001FZUxE1TMQaLZealH9O7631z8eyXGLmPxq8NUX4r+G9tP27a
+ovu5vWRweLOJ6XaBqSDowLt0pE7+7crafQiDXId6xxbeflPYir5p0X1lmcbw+ijyH1vjSl60Xuk
53mvRGt3lpvGZkJih+n4w2jM1mk1YvGc4ZkdQkAiKQFVcnCz7y3y74NuNtKgZdoa22RAjV2JIF+d
5aFYY1jHSe7gNJ6l7xS7+lGS/UohuP/whNGgpA9KRxnNmrtcNletPpGjo/tjhvWkNWc4+AqWrtVR
r2DvS8LJABNF2iwZfbdfsjPjmFoSqzsnYrlqFYlXAUckHDJbO79+OH/RW7Y7Vwpt0UsGwX8XceAH
VHXDbI6BI+z+tHZN9m5V9OxdpyX5X7Vj9ML3srb91I56YGXjdWxKu/VLs0thGBTWRUbvhNCr/QOX
hDUj6R6tv5MRvdXXf+jeLQI/TvKBJM/S3jx+7rzqNkBrZPGWSvnhzMms+1Wutp/6Bno2giTa59cH
3PkIcBm4svgQLM02jgDVXQ15xnGCLYanpFv0zyU15bPTxeu3/zAUzCMJGaIlszU3MCbqfZ1QR2St
O+WTUeXgk/Kl5N5qhXGQSe68bzwu4OpZRSKkbc5Nu6AtKwsQYesiUq0YNAJ7zvmXscoUhDKr5tqA
dvS7GSe912e5E5gxMmGZVOWhfrkJzPSlp+BtzWNQGLZyxafUDjwj0Q72yT2OErACRQUJw/AkG1de
Xb9dg21DqrGabGil1MtHu8s/OE47nSY3Vk5mrESfJuFl/qzCRoobExVIp/IOXrzdrSOdrKTwpiyh
3v4EbzHMnoXgNVA5tWbsmqHikuOC51vC1xd1dyhZ40dnA4r11jCrj1WrtTKXXeot7hWjgRx5z1w7
c6u8GTQgF5b2ORwfKa69Rbi4alwkK03BwGuc6JQK6kVDosdIWQ5jMJBAIzteHxFd7lmdv0YFuYzu
obSC3OyaNbHVMqmMMRAIrp/X0slPKBKuLy5CdVdYEs5ybmqzPeduZmCJWBc1aNlIPEVqMZ0NPZsu
QpkQ7XPiMTkV4CvCiq7/kd7sznsoI3PZceJvHKzbL952bpzFhcap6mPxfkyXjGei9h5h7WWf0Wj0
QptO4/X1b7/zHtLlI6MiguM8bVEcJkoGQJzYZt04iwcYId33PFuXZ3Vds4sYy9zy9WiMnrIOor+S
jPqR4fferDllElZuUOjcvlNzNlDXSYh6DGV2L0Xvzu+6mCQvNpHnaRV8OFZdKQ6wMnvXiNwHUiMS
pPRWHiYd9F6vqc8Hwqrd5xgvE3+MpyN2+965AjNKuUjeJBQobz/obOoNouJcVmbb9ietqap/2rL/
GWXtcJBJ3itsSXQV6QYtD6nYssXNjxF7BtrcGDR95ProTirvm2r407aH6kVX4orepamHaqwsyMBW
gOrVuse+vTWfqrxMvr++p3bnLbF7slJGA2YTetRiSkSuy+fBioazMSj/Q5BWfKEDUh80I3Y2D0+Q
hVYHpVbAwZsjE1N97vJawZgeL5OvfTUqD5We9aafIgv3Pu1q46MZGcObqQOEyCDcKQLif4M4zmaC
a+aNol5bQPTU5/7Sotb1Z2uw38/lfMhI35sievMgSSk4oySwiVkSJP8j7mEyn1E1z02TzH8gN0Jl
Qp/sUVJQndBpK9zkp6EfMMVCFPGcp077AC68unhmvcy+W2WZCZ5wRNI4sgnCYqVWTpPVzv9hywN7
g9gmMe+k7nI2vz2cTaF1TTp5uBYnVGELL0nDIouyJ1t0b2YvyTyF+4Iy168m/eaBnJWlHpW2GXEq
H66Fh3/yMAPAScYmfWc7tXOw1XauDJnnyqiAjX2ny9WlqVLGDEnrhFXzers8adGgf3n96NxFVlAC
4eqxdGQI0tjxdv1SFZUbj9pBYE/o3qXNNJ+grzTB0jqrDzsX77SZ5xm12qPi7z0KgaHBgyL5AUIa
q4TtWSKEr2slGqRkvvb3iBTHzyiaaKKYS2+e2wGACFwcI/0Bq2n9ym6LPWlV4b1EGfz3U1MAH/bZ
iN2n15fk7gDI30U9E7MIKIXg4G6XxHFLbVYGbhNAD7oR6M5qnJ1JpGEsqg7ntsY6iQXBLf/1Ye++
N9AXWQGQvl1S8mazvZwoH0YvYTnsMsq/VZWbaP6kmM3R+3f3AMtxwDdTQ6X9h/DM7fRUEbUdm4Fx
ZjW7FGaCObvmzqkRJLo+/JHOUb76c4kjZmxW6ItRCjgIAXb2HDsbqJG8Q6mvbJ6pnKCvFAO/YI2T
iS/YDahR16ZfOr0Xtlkbn7rOTulAlMXXt64xhRNpqMTdBpBL39wW7axaZuokVBsyZ3zWImX53KbD
ke/QXdYHYYSIE9w6t4UsjN2u8JhAuuXJ7IM+izFH7IV5BTn497oO4prMw1GSeb9fJX2C1x4DL9BT
20mBnvbohEd9AG+ttlDbGMbHXB/ia2ZY0afImvTHTsmag5Ts7s1lkjBdZADAG4GxzO0ky0bMdm8p
fbD2mE/HdTmHdWmkQYqX38HJ2B2Ku4lQFTDkXbqwtm2u4+QHFqgqo7+Teo5+zFmhvReKbfzv9Q2y
u5akelwAVBeIpW5npWjJxFLXQ6DYNKKudtXEWljqcZxQubY792GK+2Wkkwo55SAH3J0laQrfUfYA
tpXpyeqWBpLRELi9nV6ErucPdCDxf8vSI7Df/QGU6toGSR6dIbTGNjdcOjfYLOt1T2gWuZfGFHl6
8bpVXAyjdX8iWVm7yGhazrNZJfZfr6/wfarLxkF+Wu5Uqp3cdLdLrBvTmuD11QflilGhL5yl+Vrl
1mSHWOWs31LTnspzvIrui+VW67/eiGNUoLSOsA6K5vcXLj+EXBulDZnb333rKMmnOdL7IC/7EmzC
EkWBVlSucfBh98aR6FHCRskd32JHY42S9QhkDgBL2b2LdaU9L3p6VH7bu3R+H0X+it8CIaewM9Gk
jOLMY450GOh/t49adEeHZjhTZxU/Dz6k3CU3RTg+JH0NYi7JcIJSdTti7eSuUpHYkG3kBup0qd3a
flTozks1uOt3wSX8OOQUQP3ZnYwH3V6Gp8Iz0k+w2stHJzH6o+bO7hpIDg0lKYmK2mytelbcNDfK
Iajzov9qK3XxiB2x9h3mrRO68GmGg0+7d2YJh0iAJNn2TtrRGoeyG9Z0CKJcSa9TlHth1Cz5acDZ
/eH15d4dSgaC8Ey4nrZsgHVw1sl2lx4nQ2U4r05VPCSLioijNllvfp9l9ZDoCbQ0kJ2txo5dKmM2
xNjxjapTOKHlZiC9k2hEgrs1Zc4OlUTtUvWsrkZ2efM0iXdpgMBdli4G8hP/to3XbFkMlMWGQJAy
PI9Lq36MJ6fw+2E+sm2nwLFzNHWEaFHfR/wVSfdNCGriwuu2XSrryJgWv1Pm3IVF0tqSlZQb9acu
UZhmbCf6eum0EYEjMDVe2LmdMvhm4uTpWauH4bOS28rfyzJHn+suimzfsAgiQ1x42yns3VbzfCDN
y3JZNCsWYVo4qXppRqv50aI73Zy7bhz+satKinitcMSxWkj7j4tKfzZI7cb84bZz/kMb8CK6gsgw
C1qjzfyB5v5Y+3Vuyng9M4p/CO+1r5VL9BTaiJr/OfWO6C/LWmd/SpJBHTiZ2ds+piP5p9Q0CGE7
HXQQHLw+yXxnMNXnPhNec0XGS9gy+pw6P1PX7ocQnV28FLajnBc7KuozASz4KlBXURTORdrZF8DR
VtAbkAXOibe66RXpQK8MMrdyBKo3C/rTS730xWlS02oNlVpL5zNVkeLqNUg0ky0qroGI3NLGHzsR
13+urRH/XXXV+CeAaORn9RrnXur6Uy3poqv1DB8ADLMz2eJlLRDEDRW0/dAk8/RZexdlmHD4XBLZ
P5U1JMqz6yTapw4kFRCo1Ik+kzhqXjhmuBKiRF4oqd+rlZN9ErTis5Mr6oHaoFUt3xbHSdAN14dx
4V9ps6/rvAqD5Ij02FprK/YNkfTP1Yq2H1idit80Wlo0B56zpj/hK8YA2LRcw1lpzuf+fTOsk4OK
XVw153hqvC7g8tBfFDrw6WO/WtVL6jgRM028/DG2lNI6ly7bP+CFMv+sRZb8jRchhjtU6KB40V5R
A0tky6XscBc5pZrVVpgXZhBqIzPGiL2ospo4G1DoM0WxZTrFtdMavpFqM+Z/CSzYx6Qdl/IyNAaY
qSqOvoly1axwcvtkDrsJM9+zM/6foytbjlPXol9EFSDGV2h6sNt2PMSO80LFGUAgIQkJNHz9WX3e
btVNHdvdIO29RlGzltJFzg8VnxPS9ByxmyqJqWzxVyTHweRjdheBV1+Ru26yuYF7ZUTgxl5uyznf
yzg6oHs1hbi90v4uwhTwl9IArZEcA76EJJjaXti8TZAmDHH5K7O1yo8FwganhkG7UjVoqhD1y+aW
2Z9ozVx1QeYbrOjQ+Yj8RPoe/7Eocv7OZjSPzmk/iecqVeKpZ5M0iLVe9XXqR/JiLY0BcsNL/bMo
aF60KeJfYbLJYza3I5aT/C6p+p40UMlNUH0CutuOQVchgVQi1/k3Tyv8mazcHc7h0eWqM9mg7REp
75AnAnY24sj8qigsIqr/vRWln8+Z6s1v0afLBzbLMB5sZDP0/MHvIY5+8Mm/EeGJV5ifKU6hYlR7
k7lyzRqUFmZls6i1ftVDhCdVeDXr28c7nx0eQ9FExcae+wEdgyeHdeDOAbEpT3BsYJ9cRLr805OB
gdUXiGBpOQT/c4MUPn0pS0ZyWHiLeDmyqLcBvh7Gt7NlZX+oE78AxRmrPr3MXov59j7svwufkw0q
tHp+qUFtVod95fYC9th+X/dIxI1HPOxn4fCUHBYo6dfLPrjxL5Zu/5lnqlCHnROLS9Kjc+vc40uO
D7KqI46e1q1+McVuly4dxnm4RGOwrjU8SgzssMjd6UhlY/QH5FscGr1aNKRg9qjWzqxzrxohYKpv
rQf0iahelGYBnooD3Bu9HKqDjsUSN+syTuoIPHKbHsdxA9au6eb3g0cv4X6m/eT6+3oRdkU1aDro
ZiwhTG0H4/b9IqqIQZ5j9Kxb7wawMZFHeWZTjnHkfo50cOwN2232J6nsCJJXjqt4SBTa6sdmDmIN
zxq/ju2Q7rZmJ+D+jl8TRUp3MgHKlHt8+CAICq8SJNzBeDiZJ494VHrfhwi5vqoqJ/GnIHvBfwwj
W3Aceq/QK9DsBXoczKnI17r8Kuigq68h8Saljel3hEF3/QA8/iOd8xW58jYPW/Sqsnyq/3qMihKm
Z7+sqPwae5dETY7wIVI3Lknh5ztGspqlb5ZhtT5G3sVczCdQGHr8BXgqZo0hSNT5EyX7rnIQy4VU
537I06G8RzY+jqs2obWJ34zbEveegOcAhZaIxD5CDkDNn3lDk/hHlKEY/T7ChUJaLYuh/7cSOO22
o6z6aVpOa7b66blw2AQfnENDkGpzNOlWUaN5EiHzYu3XSPyl6D5AUmdNjNhegTRTcT87q0pEG1QB
/qkVJVQ/xBLyWOLxibfhcYLwKoO6cnDiOkB5VsDaxnNN3qo0gkug3DNUgTWLRf7+S8QKPQ+dSGcy
4apSpq9kp7J0jF7xucXkgBDjVD9VAT8laoLmGp9bH7IB5b9YLXOxfzD0h6fdFC+Vl63T2JZp44fK
9mcE7pnx0fB6l385DUidaCzBo/+I6AmfHxO8G7Fq4tzMUdbFwG2mv0jk0cN62AksUZcR2/NwSPuC
P+6pM+a8Qt+IAJYZUo77SkS3RKCa14jQaQu0vPVPPhW3kqWkDD5DtqC0ddqIacxQkiEzwcxDFrys
H0Z2qyXwfNN93RTE1wrFUiuvizeuKb4UlOZFdkYlIGJB5MnN9YTGZ75l6VlUuc4us0Ct2LWIRT0d
ZZHgTchQ2KZbEaHrtg3oVYuR3DXWw/inKsM+PCI9rUibkHO+t8jr9KiT25Dz3OgIdsg2Jd4/abyY
7IAkFsykkhEBcU5qJVhEUcb8uDmB9GRlexzLUJEbWh+g5+S8KWaaxM1OFvCrC5Q1twsy9OMB2q94
aPJkY0+9XScHRXQyvY9mJUMrdpNHJ6Iy/1QvxUCaVET1dtj31HzEITGwfFMc44coRiVMn6ZbDIy8
dAhfp2D+D3QuyJNnTv8grrCh3bIoWRusQb27W2SNYMONAfeD2Q0p7Ujeg028LUrDWBP6FP8+tmz4
4rlAi7Os92E5+zywK7Te8IUSJ8W9iZJ4fOiTavFd2Pvxace5hw9Oq/J7nqLTcmwCCgUr3FXQpbZm
UUy3EPQ6BFlOG+aCcirTpd1HIKvttCL7s5W3vmNUP2od/5SzRl/2aOpVNpgSUU9X96UkR0gZ9xqB
WgIqdKsXWR1KI3Ayr1KNaFNPNg3iJ968eZPcWHWilAf7hakxzRoyZGz6O0Z2ktBkKGVPvY72zT0O
6Mmdj2EINkSNRSK6+lGhSSEujwH2JaT9Iipg7ZQuLOtUgtbor2Rf40+5xljNQDoof4ntaqumGDWi
vTydaNnFcApGjR9zhTbdqUrN/aLz6Rwjane52yGcq5oEQWvbcxLbOMbojYSZwxD3S+gKLHPrvTfO
u5NzKjWYacuN41GfTHaAUBEOhoTXgGjRyBRMUyS7hcwkrxBMvugxHOpb2mC30xUjWYNNeh0ecRgn
8yO4lHF+pmZJliePLP6ym4hYRWuiyr3yUfXsDGFmeaHIIJfolKAynDIKgA0hhmV+yhjM920MS/rW
rTPWlmdReEK6UarqTk9R+FvKNHp26jaSLowuj3PO1w8GaZRuShVjRFEOQrRWZZYXTUUoqpWAc7Mv
vDXmK08s3pNUBVlcZTBy60TMi39FtQ26I4VV/I7Movy37xkyPAccnleB7hP8z2ImwHEx2/I2yQVD
+qKq+avFMfGSaWWQdQgQDfc0p0v/CL6IIAxxmzmeHrUjbnVhdfriJJ1Eg8lYfAsct9tFjyluWrmg
euIO9/CKqOkRcWTIkBgGHFklckIOCERV7qGGwOsBabS1xk4VoacUR6pCs3eE3IlopVz/rCSfn3GW
IwOOmIW/u3lm9IQ3YXztZY7/6FZM6ApyC6eYzPYIsRh2ohpj3ACdZ1cYjx+v63o+R2liywZRXxY8
/lzfoHIdYRODIbtutcpZ0o6uj59HOuUTxqoEmkFTaXE/uD3mH0Dm9K++V4K06DyW6x3eyfKEvOSc
fBYjG8bznPFpasDd9u/7Pu0ojXd50Id6YGvcYMCjP02hUNCp6gXZPDtCa99CUfFwRdZGRFsgwMbc
MbfJrx3dJPiFIV0sm4EAJj6bDKcAn0S9HVW57uyuoGW4zCu+rRfRV+M12XEydn5NQ3KHV7NfLgA6
BG8yBU73aregNEI1QSQcZ7WAakOCKBRWuTc76UwJp+EP+CPm5Udi42JpllEt0zvCJ4u6RYpLhqif
aVEc3U8EmadSKfNriFi8WCw9CB5CCcMmy9YhMT0Gdp1iwK0WmQakezFb3Y0rQcsQl2O8/piI8lUz
lLT/keJsLZsCNfLfs8mMn/Ec7EcVMvWufLk8ei7DL5BcE7sgGyRyDd3xJB9SjhTHUy/G5Xs5mh7o
J8WHtyTVaH5FW0lsQ9aif7OFqt7VWNT7eTC6/qp6E/Qphzk3e6kRl5J3yqfZ7z5KXHGopyWvLjjG
caTmFJPqGmaWXFG5K65jgaGqwUVRKTwlMn7ZOXb1M4OBkjyOdjX6bOE/wyFT9mJ5YDps89lmckq+
87DJ9ducYN69yp2i7o27SSLwZ4/u8E2631lAVMEJJmK7fOMYTMk127Lt38hZth5WBt9ik1WmpBiG
hBbtJiZoEE0uIv8wUraWXSKETp76tIrmC6wp1Z8YFX5v6P0N5gIcg6aNndgSP2wQ7lwsnZE9nkdZ
tZ92TXqMYiZnJ04WO5ypiOm3aOcW3cJLauwZFc79cQQaY66LnfJLsSew8w42DfE9x6cDv1eZR8sJ
psnlAvVmMV2GhZA3MiiG4YKY+cYIVeQjiQMEbUYAtG0iAxCxXbOcAR7QJJ3x03POGijRsVQIKMp/
bLZXE4QBeEYnGfdpp9JEvqRWkaXFnRnd3wy/08GWZCV4uvGDG2XV+vcWfICprTcI0K9HRjeMtib7
zJ2b+SVd5QrQr0D/ZToa1JqhEtqRb8jqqY4r8n36E1zFKWvWFZE+3Q6Rq212jofpgBMUhxvmP/c7
yUbkigi1R8hzHir6V0yrRzt9Ubg7aqsVKzFLBgLcGJp5d2UCkYtNtoF0xupOEToai2kRx9hD63fC
kmcq/OFRGNHmmixQfED+UInHNI9mdwZvDRAtzpDY8Y7toV5v5hZ2n4Ypv/cTCmGbGDh18jzB+BiO
wLvS/LgX6/qBEJvUtwoGZXqMARIMaGBZTDhUxcAEHmOKEDb04InGKBElJ7zWaXLaMaOg5j5zKr9k
Q/D0fvLuphiopj5rmBEhwg6I8tm2wnekzoqM5WnzJKEHnDqJbiI0D+VHBD8iYK/CtREe0BS3m26p
Rbq9mwhzYhfw63SYWQnaIsYe4NYuyYy42ZvhCO9ojebORMWATTR+tGpoVJavSFJdSrTfDHxsBrEB
ZKnGQa1NNC896oBmrp5oBBNhM0Nssj5loy/Pc8ym9QDIKvmGQ5z9QL7miO44hPB/jVHG76ot1UMT
cRrPF2kxJzbJ/2zGNIfsZTJm/onfdoqbfk5qfZoAT3yuVpI3BPXN+4mlSrEuM1n+sdSeqoYQuz6Y
DJfTP2vi7Ltk+EA6rrCtbsNeBWwkBWAfoGf+J8o0Mii2d5eOrZ3SmF6jFR8WjHXCXqQgWnT9mCbP
G4zmEbIXIYG75mACtsOIirz7ZeVhPoiF1vJYVz15qXi0IgCCovG0KYqoX7H0/f/dBltHfwDQSfmK
ZEepn8oMyuJOIUoYvfOZRvrItib6Ncch8TfsmFRbJJTx/EKY3r/Ha0pdJ+ch1F2F6ybB6V/tVye1
wZOP9+Q0uxotsmKZt6+QllYcDBuJOiaZZaYdWRaejJKaXXaoykyD+5O88yQPyMbl29ific/655AK
h9cpjjAj2yhWiOgdR3T3TMgvaVAQV6uWGKRANVswiuBrHfC1bX0on2RpABvi8TFosVMzkmg9HFxn
u0NQ2KSSAJx0Sxyvh2xWOLNkvy2kLRFW92uP8ki2U8/QzUhLQYEYcjO+eHvrx9l7DNBnO2G0aeZc
z89G7iQ7Aqhd39Z8hnMQCjWztuMYgdtEnWb1B7uNu5QR9scGWII8cZoCe6gNE9uXqVOljwizJvJ+
yYc1+hWg2fxXrxSNH5qN2bVfmfxTAROeu8nb7PuGIMxLSPuBdRgZ0O+UW8RBNmCJ439kBm7Wjagw
vfmAtVUtJjIw8Q2+/Xl7WRGMHo7m1mNwgL2UXTIM06wLOALf6l44eKLGSL/XZHEvrsDVwzxwIrQB
rcmb8OOe3XEn2bPzto9fCgwF2zGKreoBRlcVyjvQl/bEUjw3DY7W5SkKWB67DGGolwoEYNoiw7ke
HnIHL70ldYk9ISSMd+k4mY90UUJfmGXsUTLdo55nyM1+SiLNzpUTKb3jNxkJlpycC4BdTGB0wh2x
Nq63/A/M6s4DbV7hhd0NwThvUZ06NrwIpkdrReXQxY4NpZlhW/x2i7XBPugqhN9ABmy6ErFIvzCb
MrSuGaxuB9RJo3YjS0r3Q9Z9/i0SauKnYS6z72uVAazbEdOEMvTS10CARTX92nZ6+6rTkHcFMso/
b4zH2MqwTFm7Rlt4XjKOFQ7JlFs4hLgfEccYBvUtiUaoxrktN7wIkpfHymbofdsLVQ+QUQTThWkr
9ONWRZiYUCU+P2Cs8TCtUJruB1cWNmlqoOZvYoCY7H1WM8fHFFisX2MsYJ+Dx+rSSgL3y6P0dLtm
IrI53gaF3w1HnsxIM49r+McEGLaT96t83Ku+CCAC0oo+EVrggQPOLJspnW7D9GAVauMXjQTLLJ6z
LiUcxoN0mpNXgwTT5T4faH/WuFFeRVjSKyJjIR9Lq00g3YXXfXiO6hEtXALO5cYBz4RBJo5k+jBs
Uf4FcDCXF+zx+UNQohiQO6tipElzS37mqK3/6nFiAcBWcr6iQouKBgOXfmeEsgj0TWQfCivgT94R
gre3BjUrBMFeFdWHqh/iqUElO95PvKq17ZA0it0Ov1159dVQZl2inXqaFvhWnuCzBz7h6w0mVnwB
VdwAccqiJh2r8CbXHJOFQmjX0vURARWjI9QBbSELSTskUg4NUA+8PNi0gIFi5vSImyIiVBgfwGFc
kKwmY2CoIZ3OwKf3V9zR6FCdfSl8V4xhp9ci0bh3HOY29QiE0k/XXdRYf+BMS+WFJ8NIDvmU+qd+
CvznpEpzzPYcMnb0Ltn4EZFX+NiWNKVRO0vDwoPjhH/sOSawd8YL84vtNM9fGCEaok6Tb8m1giL/
zruM7p1FXQHeqJ7QDFjqUvxhM7rBGvBlYnwYZWwfjNagUDTq5n7AUlki+x8I2zNseKFsVpQf3MsC
cO2B8xFtKf20b6/rjsroLvdsXZqMDBKkTT9Md4NDOuP32tfpdvtai+mwWys+San4eEH8pYs6sufz
m3JuxxNLEQ38RVaAcYMDQPNuLas+nL/90pQP8DXVBRpEDptwm4DYmfQSzXyudPesmpdnjwfU3xEp
++8VdIbZ2yJ4qdoR7LP7LOS03swkEL+EmKAaha+pAz63IxSw2XDmG8xL+FNwojC5o9GriOpzD5g4
Oi86ItEDo9AfIAKRTL+KiRTuNKwFxpJd6jQc/IIonIPd8913UTSRn2QzOmqSqF5007td0aOyINIO
ISPrOyCdOjobdFt+wVdss0dJ+PqnMPH0ZNhO5haXOw5Vk/p4Ps6Js7ItaY0gFLw6rC2Hsb54VOKm
b3NOwSMhOcJvB2jly/rDgUCbz0CU3X6taKFfUf7Tuy+dbdvUysQIHPQF9wcUwu+o2PRYwJs9uCK/
T2u8T+dhh+XqSoO81SgryDMvyA/27E2P40obDDFqBLcTAKdqLHg3S/tOKD7F0gPMLuZHm9tsea6t
Ef/g3sokXKIxEqV7PkTr2YAilGeoxfEH4d7X+GhGJMufoTwpfSug0T37qM/EAXVAgHnSpO/vwfbk
2AfoUj+gGASOPk7rCe7UWql/MMgSgLiLhuq+CFsRWlJv4rknzj2pia2ulXB197hBZU0PBdgpoN84
VLfDgLDr8031BaOILDf6DWzrDAWhyvrfMTZ23Sa8RF4YTKBraKsiWR8ppNJrMyY0/ALzC3YQwu28
bzTgRWDboJFvSFLu7kWxC3LWEp1QyILBycGnMPzWXPS8w86Nf2yzAhpsyLURli43oOfHiVf9n1Dw
9S/ypzFs2zmhmNOX/BlJ4LN6RNIQoHUtSdRhnIzGo6JqMc/5buU5wXwXgD6yXCAAGBvTEdh7LlHy
B7UqoC/uXwnio5IXhf1bnXZno/eaGZ80fld1cqIpZrXLHBmMpnM8um8VWJepM8gZmo/Y071tVQhY
WYAmmbgjIcE5GLRO/A/inQKPWC8Oy2nFFt06WLscwiRd/LKNrkQVygjvdfj/+Vggo2cHF5sF9Hew
yXzYIcv7Ea9hTMBkaPZ7SfrCdiISBuJGHhenvUKuMXL93PQ6qEglr/WyL3tjU830sV4V0afUlB4I
z0ZuhV+Ly4sj6LJsAswfw+FksxXqyFz0crkD/cRl06+5Q0yBpBm8y4NA8lyfpdVTQH8PRkC8o/8W
XbIrU8DqTiyetkOPNtqim3Ck3KBIrhjkKnjNx1repoDVphN8iAQQltxMdZ3zSkYXIhMxdRKIgHzA
6jlsDfZ9LPKEo6YHbJ6Td/VcgXlOsZqCpq7SXXQ7LgEAyEMEYG7n5tdKyAzCt1qM7NC6rbCpbKnk
zbJL97nbVePec4SdIoRZosxY8YyekdkxaYi4F4LPIbk9sEw61A0MGL0QO8hi2iJjCPiYFr0eDsBR
BjgrSL9kzSTSQhz7cayR5SbGOr2DdxC6iYgEvPTRYlncMbXJRzVT8JGQlYxVg8VEfmJ+nnyDRZ0V
TVJiJEOkqRAvC4XX4H6yJbagSOfOop4d2lyZr3w9hKW00zXPleQdupsqACi5G+7rOpr9NdoHehXa
Buh3TQoKL3Mj8n31oDZxxjUVfxcpj//mqYcvZLypU4HkCA4nFktQrxuiHlGYJRYa2SFFXyOfZ16W
T7cwDPE7EvYfEeB2q15wywo5VIqgllZFXq9NJUZ8HUiQiy50C2AWkDPMsgZ6zfF1phlLjmbrwWVh
vNnuwWLb8aSTDLRdSAb860FDgnNxkPKi2MxnRjZhXdgKhtPvLwPIKN2iwRYNoLbfQcOT4Lc7z8uJ
HjEzo60V4UxY4rBn2UvtZ7RLgmabFTK+QnjZ56LMDgPqgaozGzlNLtQN+bsCP3lnA5qXWgGafsDI
tFl29HKJooZhmSiwVifyOweu8r4EH/I2sjd1wl4VKD3uqS6xT4OyV3cRCOpXhbEp+45tUMtvGXGq
/AvcfYRCoKQgbzgAIXdgdkyA8UCGiKl3sOILpaZanoZapxjdSdxfej4NZaP9nNELQfQg6kYhSCMH
sOa9/1dEAf9wxxL0CpEG8uIC0YE00P0gJ1Sruj7SasxLnKfcp2fG5Pw6DYr+HDbwyO2okSuJEIl6
D3DIL9NfcBoJCIYALo7iOHeVPvogTXoAVgANBOZx9NiAqypcM9amvl/86gCrj8pDHMVzyIl2IeUX
NgWMAqEq2W8B3mxvHAUK1SUccS73fp5J5+Gv249hTNUhh/RdXrBrbLpjw7ZFhx5Q1F2a3YQHCDEr
eAvlhccNh8wLMOUyX2JE5WVhfRKeqQXYGEvyRkgcbYpBc3DeN4HzulqL5RuEPCp7jlN8Tz8LGVg4
bzjLESUU72PxOlUyLbtoQMjfT8ewND+C98BZB2YZIFyq0XfSyLlnazMA5sLbWrAFMAtHWgXmH/IO
5ghXPzfTsL4XFsf+B8sowwp6u/NxvxPfbrXRb/Ds9nOH3CfYC/Exyw9lt3J7oAvamC9AWcD68///
lBBXLMMXjFnnGbY5iA2cDNOHl35ESgR3KzoI5TCp60Qp8hSWLciLQ8flepNZIy0qVX2Cq3aNyh8Z
oAw8WdCF8NbNGCWOCc9wVZX4P38pm+cWqHoVvxXC0T+xH6ehgd4k/kJRaDHe96sq+QHkXWGOiZfy
za6e/60kW0MH699kr3LjW91SUinVWTL6Ha4ZS8ldkujhH490NSIndBSmmSoev2AHgvYc/UGQZUJJ
lIOorSDCmvLE4P7WONLhLeml7Zhdh98bVFFvBip69In3U1Icqgx1G82aZVF6WOtlsD9lqcUrrII1
9ElBD+wIf1AKXcFIC3TGaoMYVuBLPj7EyQr9QFC1oQe4eUZ61QzZEM00Vwa06aAB3itAk9cAIQBE
Rd7l/yC5tfPRUKm+G7KuZTOtlX/lhUySBncPAXM9V0N6DRJH4uFW2hLuDODh/kGtGhC/Vi4qO4nK
GPtz25c4a/dp3eIH0O+oacoWiWS8NOrZU6WX1AGpYrjFUBUZ9ufCRgX0wCtKWe4mGG/wpM1r9lD0
iH/oEOuDYNCA4tG4w/Em42asYIY6KNA1najkGmDxhLrths/661LppDjufk8QYyyU9N2CitICPJ9n
79EOZSAggg2f+Wwh/nvuaVnjwN5kcd9jTnjtSQatF6mhWN2B08B20qvCHut6LZ8whohPEF5kfaz0
PJ1NnDp7Fgr/6c7PbH5MMtREdYOS8ila5vJfERimBBCu1XIED589rRh9P0EWQLYPlwwENjlLU9Uq
6cqqyUcIIC59BoQpGtLK/p3JGHwzQR0CdtSi5fuAKRPSFx1AgUiuM9optaD6Y8w3+jOPh6kC4RFj
ZWqgu8EMGkuovrsNJCBt+h7thW3FQNZ0S84HiL9A57+oVADiMpboP73HMXY/GcgzDn3Ckv0gb5sk
Vtlpw2DdD/Rp046vb3SG1O8aERm/3fSkoakyH84FUGX9iXVWf4Gq5eTRsB6RPVDN9HkXYXK9BtSz
mDaB8/lKtXNZAz0EkoVH4Pvb1Tm3vo55jrZxPMk4grzJcfxVey4fRSg8cqeV8azZrec/C77l8x3u
s/zL9ht99EXu3mqtihlXZQ6hO+QS8/dx7HeUyMZAXKFkiqtvwPgzg4ZXXDyNXMe6aLat2P8EmgGS
txEZwpml4/yAPmQKlRS4fAAbq4YcAnEq1R2GdDIexgQMyMEXA3+zO4J3jiNP1/hpGnecPNgl1z+L
dxPa33oEiINVHrGI9Ww+JkZOEwhEILEffuFGN3uEeIgGw7x/FAgEWn/nIrgnOGD36oThvk8605u9
hnwxqn8GOedYCFlcAVWCqij5XRLIBLt5J+IUZwYGvo2TEaOfreuxxVFk9f1EBmfAHlhQzXtByZOM
8u0Xrl3rEa+KhtQuNYn4GCaknrS1rgGpLHXshjs5bxqMp+L1YyK3Imt9X4Fa3tESnZ6H2izfsXtz
UNKODk84BFR5GCHv/ZK+nD5RXQIw/gaOfWRcjW9TL0iJLOuQ4m+GER0P4zxXxx7NC7QrQzx8Z/Eo
knNhIDmCeoj1A0RyAgfq4LR6AfVRN70VApyu0ATgk4agFeNDNf5gG2W6m6tavvUwwhQHKAbyb9DF
QsiV4O975jqvcxwVw8SbbVWZfth4NHwCYKVjE1Mq+gYl2Dhmi2HWdyQLziMnjNrtaPXu/gLVmzFS
mC2wdptAcHczB5ffJaqo19suUsYv88ZECrmaQz06rMT8MdQz+bHBWpHe7VVi77C0pbjTcKvspzQL
JDzPAL9+TZV36FffSmwVWDOH4ki3vXwPiAacHtGGmQ7YYNnyie7XcutcgY8EZywN2EqoFnFX+tIA
+BkZAi+mrRYjlBRkuACLnpYj+vem+4JAdAxOnOFKZd4D5Q+Bpb8il6FfYmAMhb2gY9KHCSBzhKfU
rvKA4jKCn+PT9IfXhBUnSPrtOcUScFv3V/WtslE6djrP8WRWEGF9mpkDFrUDWaAaZ+MLXcthaNW2
5b/5zSfZ8m3Jvyd8SV7pHO0RVHLFDFFavZesVSVGj2PETf5Z7ob9pjTZ35E0WhRtgbg2zIBJFIBg
TfXebHkZ/u2QmmyntFDo64Ifl1zh97c/KFR86mhB4yA2OrnRziDlNjgaFRx10HZjaqOo1/AtxFkD
xuJFsnvTl3ZpV51O3+HhTXxrTemiU+A3yr8Gs/3MoY0Cd9KX7B0KnkxAjZDgg0ppkYMyxh7xjSKm
3TaS1vbXHk84bSLIAWDrh8LyaL2tbAOsdvjs5y2GgDbKE44ITMY9arPBvGN4rKH2GKicOmCk/AeH
kBHSLJMwf3CZkFCT61CaMwBSjVM+0SlQw2l47vFYQ1dOIwAVel0qSFqyYgmt20h6HrckXs4qyd1T
AUpj+o+j8+pulNfC8C9iLTriFnc7iVMm9YY1+ZKhIxAS7defx+f2lElig7T3WzcasU+U9KgPy8Ry
BqWOc8tlTwDQAumC9bmJH6MqtZ6RSyHKyAZdvo4jHF2bjGyt51TCl6Gvmgr0ztpm3s0ZFSGOrM4/
rEr7tLWqKO75BzPkdOgf5JpI9MM6yVXakd8xKAjDeMnpuO/HbPwiKLL/r/TT6Bc9UHTxVACQ7EzM
9eh0iGDbCvIi6R7wZtelVHNY/0Rx4fo7RHDmZGzkoQ8DeOd/U2/l9gNijGA8D3KuzTV3OvEE3ylb
0umU+1iSJ9qdR+k0Xy16byRXvq3npLEm8+BilpySynjFHSIT3SdskdYbDGGO5BiN+sbtQm4Kd2rq
J9lZ0fckCx3/h9jQ03tMx40PnzmV92jlAR8748c/chTASh7Ksp3CWJonaAdlsRGj9q1jtYzlin51
WdtzoFMqj5rBaejWQV3o30GGpI9GwP/vZ9V2wPBeltr7eSgh9y08cXs86hSHN2ytLzb613rPYhHu
1ZLbFACGfoY5ZO3EiGLNQCxWkG7tbhZIQZ7H3syf2SDHqwlF1u1NanoIglD1KTGwNmx6Ffg+SMBI
1sqeNSy4ZBPSv8QeYmn2Vc3p8za1fqW+I2vgnluavrS2K7K26t4TS9s/B00xzYndMSyg2R8rJzHV
bLZhz5KbBCjenSTUMNp7U6K72HepE8HEdEH9QGrNypSM3HHvuqOLBcLo5ZK1I0d9nY9Iw5Rssp9C
d27I0A08c+G58HZ0gXAWQsB2Lrrjniu8V+rW0hwF/ffkCuxGqZyUvwntqQT0EUQJc2v0Vf/qaBdY
h0UVdnG62QxQkfe6OZBmLatjWmftc1YV5EIqQiJaZupyuqBx6d4WK+gvS515DoBVwbFm99ghoaSW
aXa2vjcJZ2d1BM7fCzPZ7UE7ZmqPnSzshUgPJmGQJoDgxAnDiAsb49yxD5BxYzP2KoRZ0qm+WYp8
fEXKmch0KNC+oMLPR9QQcZlfgtqCE8qjvORJEN5837TKq3cI0dqdXYRSsu6Kjl+lntWnj3dxT49B
I0+x28Eq80TAh098G8PT0GUIMVXtd/dxx22RZNaShwnCUZVexegUCIYof4sf89jPol1l8qC4j0Z2
oY2zqNg76TprWsaNsB63+UzoGDRvr++gm6U8sMGap8D46NMyH9t14qTCVSeOrUGzqkn5KyKALfT2
mvSEYY1FuwlQM6X7QEh4WcAi6ZwM6MSe0YOTZMzN+kcVdfUTRfBku24GiU2ifjAfFjC7x2nIwkcW
ncmWvURqNh5EVw5otZyxfnWLfMr3TeXZTuJaXK47K+8CiOl+nLhp2oxQqLDsxNuKcoKBnCAr0I9y
Rto/oRtgn5AIcwvkuUBmKX1QiBnsaruQsxtspmAZr5q/Z97hUS/UZl0NLRWgSm1930IedUkRu7SM
VGvIeLvyuc+819UybyFf0WJoK7QOI6fauB8mz833+erfNAbzlD7489iBTlsdfXu9PY3vZdCqp0kq
zdrY6rzYdEjvAyhLPDJJ0FTFvPEq06yniacZMLdZ0o+AH/noeZF+aYYxLXYtHwSMYTQiNFZ1pLoz
OZHuPUiWMRswCMKwXa6Oq5rWqtyLvIuipFqKGfcN6kdFa7Vtl9ubmx/alFPzO8I04O3CjmTijYK4
Yh03s4O3VWbIhwtfIp6NfQ4FRIZ9yoo9Iorq0eCYfR425Ys1FpE6mTSw71rXCKA1BxfjgO4R7CCQ
XnixI/xXeBum8tkU3gDDFrXDhQT2iJcalOq7Sm0Z7gGg+e/Sikt1AzihXzRzR5qQgV1cARQCsSvm
wKuuUdCZl6n17Pm9pGvXPWlTIfNqx3A+1YOnLMj6NLd/Fpgy9dCqmRIK1O9+t9FOVetD6s7VwUWs
X/46op/Cf3ZnzzJBGJBbl9IdnH6D8NF+9JQAqOvWIXhZldc0byFrsgKOJVicR329PTLd0gC9W0oc
+C295YgTwpxrr8lolvJqF5FttBIGASI27zDoNjXc0zRWpwyH08zfo2DbU0C7jyxrOVsslPX/2sy3
f9KpR3zkWnl4TbEvAbUvGebFEqgpPpgJWHtjCsvS0LS1QUZul/476Jmjdl3UyRkadgx+Yt1hJ0E2
iXraQRD9qbvO/kqVisN7VY+reZ+46D64RtZ464cz8iHUHFkHqdOE3zhjgGkVbufiYWRjzXal0xO6
5+WBJfhaqunod9BFKKLyKty2fQ/uQZm3/aJyOM4DvwxKSBaW7r1GEkxLGpLRYecWHnIGFoH6d8Cp
WP6zwrT9qVoUHIdyiDy9lYQ1PQcFbFupVvZ/D9gk0FDN+fJm81iTZFMEGVtPvK7XEpnvcubt7ru3
Yo4QcSXTKMcvYJJeH3wI8pkF1SedFCfjol9rYp7KZ90FgWEqDdHW+2vc/E0b37kjLBKIqIoYXLeN
EAB72QSa7Cy2s1yQINbrplxr86yjFqMHdyelNv7YmmSxGiSSMIa8qyr2OZE9U3P2KKPDxzysZ6Ts
VibuB09qcXtgNEyPHa5ltck8FecfTblkZcIIWaFq6n1ng7KRb4MS6OxSIClUJz1GPVr2IWQhSEXL
HOr7qWJMJuB/2lo+DpVEGEctTCweswW/hPs4wy7pw1jY8x9eLjUey1KX9iHj4jvClCGk0r1276nb
cJbvEfog3fEhIxT1B99C62RMdxdXQ6W3TsQ+dJpxGdKexuGVJbOcXdRiZCauf7VPGvXVJd4tPYyw
dP5dNzdiX5ej6+zdocx/Jozq90BNiLFnEKBdUN6YHj5eG9I4mv5/FJdjDtYszT9ti/W1UkhZE0eZ
4sWvQv5Gux7U1Vr8RR7asAb+a62paWjJyMDovJUXfW80egE6VUtywirHD9pv4kepAI+dPv0HyEJR
Z+X2Y7XvBxwjm4qQ0pIJp8o+8tqGRGNmneJN067gLWUE7rzJJIKV87SAE5lmAKWlTtWGZujA5dkL
y6Y+lnBZ3qOypluq0NJ6yaTD5VKzo3Ml2zrn1h5orUxWDNZMa36Dj7IATQwf5hGTB0Y7DgTRu/Yz
wggKLx1u5+h+7FTbnyiIZir0fR7JHfvVfGUmLauEnIGRx2DCiAj2W7Mo3NrYDEVguAa3gQYy3lYU
1fwRJSPz2alyFiVvstJLx31JWEFo3kmDgpPzaMLFw182CNC04KQgQty13yfFiJY0ZW9eAgx5j7jg
wU/aMa0/LT2mf2wgZHC4hSaYTd8rwuI7Tgv2VcsgImMm+M/2QFeB7pjkoVzr5bFfl5GHvsIccxA2
EfzbirvpCdglAN42OHcPQqTB6+KVrfUal17KONxE4l3Kbv2QzI2oLNaCqWukaXHDRtD7G2u0kRYq
pxkeah7UehdluB/Zy6awuMsIgIAz4ncClMgt9gyiXOy9b4RtXuugibKTXevs9v00OZaRfPYYYJns
IEUCr07CPipeACPp72rtKv/EHmPP4HCtgj8MsCztOSPa9to2dkBDzFSgH5Xz8qepWuuDr6ZdNsjk
mld543Q30sui33E01T+pbMZ743VesNWrUPWPaXUZ3E5Qd5KQxp39qtyxCc5om9f2Bf6d9tNy1QLs
prRs/aN4M2Hq0rBn/C1zh0Gtst1NQfkSgqzFKks4nqq6pNHozc9Ib72zUUSMb6oQZcGxbTurP7oD
QDzTqzD+HhShQDE+oRiCSi1jGGnlf2vbq7lnIjcsjlU+6UdKQDF4ljjS/9A5b//nDdlyHjKnAtSk
kYcTqFnnR1y/3RNytUwCa5At8+Tnfv9aSNd6M02tPALBRXN1BttKj91gWfdoPFP96rb47igprscj
LSyA2FYzls9MiR4RyXlGjSjebvsiehkhy415ghIX9Im0gGC2j1FjInnwimzpD/7SjzN1IAZ5qOh0
UD7GROUUn56MVXwFGJjHe6UYLrfdHB5iMsJCbdwvfy3dF2gde2DmHpbgkKc0Zh8HjA3yRna5/3RR
pGCoXamfgMeq/IiosbhWyzrmj4APgpaMNZx+67nieMoxqs9W0s5TYfZ+4UQSnK4tVqoJI27otsUd
tun8wo8OywzQdAyaIOp2NemOh0Z3lk+Jusj6T1Kkg5wE0lLBOZdox8C3gAK2ZhEYvFE4sCLSiS7z
6lR3pv/l6M7+rESrjTunLqGqOm/AJ1OSBPuPatTqgmx+mS4yYuvd+MUU5TvjrN5ucrug2vaNKMV+
daoCN8UMYl9T5nSw4El1EgRUU0LzNg5GVyd1vBMm9eIdDYmoMFnS57BhAEr7P9Zitd94NqB/OoBR
MgEW03kYRRQ+z0JKeamz3nH2kaY9+jAN2LTfFieaNFQYGDbcvSxChvjAZ1CmPZqDwI951NGD/peB
ns+s7G2Fvhy/MvA4IYBJjscASW7vuPwqahbF3krHLkB5PVIVhRQFnxbjqPmAWKy/PC4BhweMhRoR
cpntyTvDZ4hCIPoDDZE/zJhy8qSte18eREBb9nYMVwIgqWD17xwm839uGy3OfqWhTSU9GTH/Daz3
+Qlyrvp1iwBVYjaO4zeHSDejsWcM3WOTk38Lp4gEPhcOnQSPm6uSZcUQu63ZC3HyBG0KsezH0Rc2
2YZMkKIRDkxSI7+jCLu0Am+NNiUD3yXNtMi3tfLVf4wCaMjk5AcxARetbE8eSonntuqA6wQFIgE4
ZSX/jcYWn77B8kAoEqSum82897HlczN2w9CJAz0HSFqzsJ2/obXL/oh4jpRpJEDLddVIT44s8xCM
WturwUWp7R98Z4Bj+BSyc2PjJUEI6dQ14cLe7OwwsGLKjHQoLg7oW72v1xirIeEDaPx8R7i/3epE
70Z15gGeFoi8Fe34qnmPG97ysLlghkHs1hpcUmXjwVnYS1Vcp4HEnf0yZD5HSaZQ2ueIu89WwI2z
7dpAXcdh7L5F4fj/SOupLuuCHwC6zJcwepge/zXm5llgL4UtFf5g7YtI289rNYIyul670tNqfLWi
VyRLcMcvyG6LZGJ95K1W/6F4TANgTJgo6g278MgAQIZCKy3cSNbQokOs0Yds895zg0+y9gBayyxo
XaKR4nw5enp1x9NUV+25DWwCtDOrjfwj3LdsSNjOWc96aa/DR2AtrnNCTg7vTrBBg3gJwdyAFIQH
P5midr5jyyvis8OKNNyPSJCf5Ow3ISEETcF9Lphtd8ImkTEpy3G596YbBOOUUxxtp8H3+UfIqK2+
CoJL0gPAOI+5qBxLPRNH5MuNn5bxJbesG+CWhuU1sKb210ZEYvN/L6KLnYvsi00gXpNoSuvwRGBb
W1+6GjT72Sl6qzgRl12s2xRFPwJX+rWBiLC5RGXZVY+qmkrKQsmK+GpiegW2RJnBIk5OUIudzpwx
31a4zR8wgWJXZK30MWuH03yHxxLuPWLwcJPObQySVEPF7tNQNf68dZ25Crg0F+6bbjDjnZsOxY8r
tC8/o3x2/s7wQm25tZs+bXd4j/IHAbxVHygciVH1RT2VjpqD+ooYw3P/431q0kuTS/eBczLncJbB
pO8kBwKGxpq/z7mrgda8cxVmRXkK4ASvU67HvxFqpB+bXfJZKxjh3byWw4cYimzc5b5up+cWwfc2
x3aLa78ny7cVJiLa1V2yoy2bCdYzU/mOglmZbSMU1dneS33RnMBcaWSo05jTl9+fHsYBGvjVxIOt
rzWVgJeIZ2eBt+rBGtKRKtaDAQQmK6qu6o2Doh5PnhBYvaeb8BElevzaCny8SThF/Vc25v6Ngy4L
nciwjL1NDItcJH5QZX9lCyWDegLsM4lt6Iotl8r8IsuQ96sosWMmFueaOqVlOn4EzKuPmVNLpgff
nX4CR01/5jLFYIihz9vHWLS+SlUMzRbxmHW026H6K5RmIa+8ViewWe68vUmXvW0OiT3uU7/I5dZh
APxA8ST/WkFJl0lGggNGkTJ6bqhLSi9uNbkXEk1m75SJsYdcgbRtziQEmefWj7p1i3EPQ0pHlEh6
YXtCchM1EP7JAvEwJMoNjcceJINPSLk4Pzo89lyBVdS8ASMN412GPK/ehwvq/D3xCBTxoCL2NjKl
L5Zbym3HLW4H4R8VGxA2uqGXWELcOXM3ZXlTq91aBZs7kufGaV/F2oPBbWv51MBCAg05pUDWP6fB
et+WjNDMMyb0Tm3vxpQKg4Wm+yUAqNhNEb0HOcg1ezEcBOK4tOk3FXbfEWO5XnB5Lq51miYGlN2k
oacSG3wERcEic4ImxkmybRGSpC56vAnCXZfbhnacIUJOlWIDQ59ZXtcggMvyylmRQjONkX/XNP66
9zNsroldE/mSEDenvqZpqP+kQ7s053ppl+tQpeaBORiy0vPdBdnk4Pd3KbpRLNZWOjCEe5a5ujj9
XXxVwXgZWhmvb7j/14fIphuM1d9FOc0wqwDcVoGRnFfieY7IQNpb4VoMD3wqIiLdhVPoXApu+0Og
G2KaLahGLluEdOWOHIPmmhYNLy1Xn//Mruy3dHgSaEL+Vt9+qDqNLqvDcZ8w2DZvvVc296MV0rOc
1WTWsoUJjGyAPCcGXRRMlZS1wFVgiz3lDOw1M/UT0NZR1K8/nfRRTXRr0G9p4E0fyDLR2R1QYZCX
G9XYMX9WP75ZVRacO0zefKpQaIe5XvxxNyAipDkbuBRgvojc5sed/CW/mBLD25hYhT/L95p0lf+a
3kM9ZmlnJrVeOfV1Gv1gTlrpyWjPSMfwQ28SBwy5hD10WbWgS4Sgd7JdM6b2RTrhzSqE0a9EUG95
yBBuqsdNNSM7xwPn+qC09JQwiXTzEmyjGwwDMOOn+Ofwqa9JjxJJP1gEvK/XrorC7053Hhp9BgS1
Wwmctd+54TpxnteK7BI/5PBN8lkq7GFzaKGHCMr1HFbwMWSmT6O29l3PRLjVds8J3qLp3Nh4+7NN
jHwR+zB342YuxPgAXk7TeN4z1+1VhU91E7fO7F2QU4mJWIKMllAgAfVDvK3OXlGO5gPhLxrZiZY9
wUICdgtzf2UUzlsMhPmjSd3uGRnRiB+WXVBsyOqI//MnI6pTJPPxp5mX/N6IMSTPp2uCK9UmgfuX
HiDWf6z3UZB0sBtmexvaWQryCuOhGpdwIjFgurnIlix8CqlHQs7mWh1AqGuG4ampcM/zw1psYyKc
i2Enit5/Tm9WWCZu22927LA+7uQBaQYOplzaT4grkMaNdiYfbr6j09wg9QBaaUA4qDHF3tTHtN6z
erdRcWBswtfghctL2JGS+rVkOMDGMRbN4yL9vD3laa7aX9p1ESpjoYDcl/DUwxF9bnSPnp1aM9m7
eBtiYDVgoDTmzW+QDj7B/jPYKNcQ+ROSxfOuItwjibcEyx+wcP9JGTV/F7Cgn7NlOe2bF/fjaZRB
jhmLNRiEpmsbRoGo/udQUfFrQ+SkiV7N8FLxW92gESjgbZVjUWQhK+yPQUap6yWrrwTvZ8mfPMKb
dTToAcnLAOU+wxIcbkbdZ0luBrQEcMbOyUKkSCh39R77kH3O1tAp5IGDQ+VnzhM72OQomcOdi5iQ
q9P21m+EReO6LfpYiHNVgUNufF/Nl77hEttVbpX1hFO50nsJ6z5XZ9Gm5q+E/sAQRarK283WWpCn
UMwPHIsMXVHBDb1XeQP2rAZWdiI3EFvskFzlzVdudRy8hl61+FQOk/OUL6afjw4vT5ZkSzU+WCZe
yMonf4FNIxgY/4deGSqM2pt/FGJgwr/pxNjpa1+2v05O5mDSxFWgd17rWs6mxCkAImBPKRiYG2Z3
GuXXZwSrATNQ5I7a+NQXxtuMwJRiU9IH+SjbwXu3mmUd/miPx4RHldceaWjXmFe2+NK8RyH6dHyw
q361yOp5B++5Gfj7XD6mWcVfA1dq7ojn6O0NNn1kOnGrg5eYuqdmMxXlytXAho8oEveB2MSlLa6x
oxUu8BnJ7wh5UMjhzo88gVzDyfSjl1LRu3cIqniPIKL/8nF7wdFPV5utfcC8urdVNYdHdLbl2Unz
VG68IXBAzkAICIbSSH7pDsphkTN2X3Ef1zM78SgF/+wSUvd56eUy3cks64fzVKQRNJogK2YDkiTA
R4Af8MHyn4ATQdTLPWYArELjQJLcBh+IwcpV2eu0ZYwlvyNfXF65ZcxSf1sNOSpdozJ0AOCpzK0d
CcoIBshLc3YzpqADkos+3Fn4+ZgMgPrsLS5Lt0nW1sdR7knXfuqHFDs256TcYYDNrY0xCBU2xbCu
LmYiUarjNIUcMmUts/K/hgVLE7zjuEEyLlP3mS9rLI8I/PwwsXWf/SnCMXsdccJDYAaxDqhEaNVf
8Co+L5FXw+dQ2zYUEc4SmnG8Qt3BzUMNaLUQxOV6cy4OGAz7/ypDYjWJHmJJE1O0mD9S7KLL3hAE
/7T6fJgwvxmbXg5w+R6GnkVTpmydjHe5FW9pyHdxrulYnWpOOBuRJNXI7JZdbAVngU+4Oxd1RBhB
y1w/HNjfy5dl4KDfZKjZdMK+Mua7CFP/tK9b4lcSUZAIt/XyOH0xjV06V0c24QldgCk2JO5kexKZ
q/q4tLkuLsjvuNoGNK32OR7BrBM4NI1TIyZEEHlSeICXVOrOIWXN2Qg1yj/D5Md/HOzU/l7x9tzs
79I6EDzeZwee0dt5byzFeW26ag+/a9ARzW70Tmg4gsNhtpAyjT4vZmxc/zD1BuVGXbiNOIxyMOF2
wly6vxG3OF4wot6wSh9QFKuj3e1nPYlnS0nkH4Xf6pqGxN58LmR4Rdsa1fAzmnR4pxTvMaL0xUf2
bjo3aIhGyVEzz0rh7rHgTGLkphi0GMQKVrY5QEuI0WgmnO0mK8x7py8TTSbbz8jt+jrLldQBpEhu
f534WQ/OipNiR4yGlfFz6+G4YJ6yLoC1XriZ8aNPiHSr4JRiVTXbus2BTjk+JopP4cFuB3Evisem
dIFAe3iqxIF1TC/TYuiUMTUVN7ekHM//HWgYeBC9VhPEPDk6qOcoqHMSfMyRvSloC3/iyxtraI1W
fsdxEXx0SHuic+SlpX0kMHmJGaBdt73zZrOGvHKB+4XRK3rjrq+cnUH7yd5bOPG3oyznhZgA9uCB
eqabqrHg4S6an7gfVnfTECxjzmuaOdkBODv+7UIi+U+OZ2cEoQPHW5vJM9266z1MCnfET3jFltGK
ibiRo3pf6SvOE2UJiZXZyh2kLCJgeq9QY4wnJ2w071BcN/Pek9gJtl0Gzr8LA/I9CN1bPeapjP7P
FzIbsGGEGTrc/QrICLwXzP7JAQzuoGR8ItgCAhXPRmRsyCSPkXgwz8OcJq7tC84RpItPZT+XPsy0
AfHOEQxfPIHFnVBYl6i4Eu6I9D7Xmv+StZK+eqHVFkd8Ze43tBHpnAxqE1mcxnV3CyicswnFMEgY
rwAbcTVWJM/lOGa40G0qzjfBeEuiRkLM6Beh/G4TgoDbfz5GL3mOAqa0Tdlw/++IgY5uUX45jk3e
q5j1nyQS88rYxbckp3let/4SOeWn3YfDjHytIxoly9fm0YuzEnSDeZgnHISgeSaoU4Jarj6oQsWx
8GHVqM+PCGUHQiWbCGhRMKWiyG7dMMV1TFk8uheHj/paK0iKE9NJ7Z7Yq+bqjHzHHjAGjhX5o0Gd
Cxy+gggF7NkQgWvTc51zWKzrJapNi2ukWWvxgImWFg6g6PAz6iHn/ljkwYjdAoLHD7QQeBFxsXaY
pLy6XA8hXlVQM1Nk/XeMAPLcYONa7hC82evBm3AQH0ZBG8sVZjW9GhlW33arh+IZOTgKRp7BBbAS
zzH7RO/Zy8Y2YxB9eYD/5RnvXFFuB5oMKIriC5RYPV1EYbduR+ucu6n9Vi25FR4rM5d/bKkJOxil
nDAUVBmOISGK+sIHMz7Gg5TFjjtINt/lwOCzG6xi7Q8mKJZ7lOUEkC+OCj/yCqHhzPvNa5upIUcM
G2Xztb3pLMGixLNNUBXGX9cr9z24P0XOmOf755aWtnmPo6Ayd1XszdHetpr2sNrsQrh17Z5wCr6N
i+N0Y78hGS0Od2Ppj2I/EqiKcj8gvR8DRmna0+QJ9UkEaAdZ4XEXHduZLPbdNLDiHEviIXZLGWt5
jQPdfgTFWr0LwgPZhpx0+bOsZSnv3Blh3Y7ZRri7zEXJvM3mNUu3WizoMXOimXg3MlRbYMwOnBEr
IUz/LFwEhQ0l1DlBQutlJkrIHGScVf6Gz68acflmMw+rVO1zbZWT9YrQeOAKKsM1uouK0k136JAZ
nrEesS4509TWR7a5St0PVj882rPXjbtRT2OBXqHMg51DBuZHhUar2EdDrM0BmiU/k2DH6jV3LnoP
6JKGi3C1ynFn4r678zzZ+STKRGt9GNLZ5S0O0POygViN+avjGR1WF5AGiBk9FocVYWOesFm4bJar
03jEQFZavs/cSQg/HIsGU6xCLTwa6PyM38ovGwIwItMliFu9+ZGh0O02pEMC6dJiGJzdEqn3aVRy
Kk4d3wWAASLY7g5N6DTRKBd795UYs+A66Squ7qe5mKGlq2E+ICQtfibLiux9nZZ8aY67uidwNGKf
3LC9veCDFfxr87GfH2CBI7Uf6maIz7OFJxAaYcIODsmms51D8CeRWINvv1kyMGAia6i5/qMF2IcE
nRIDaVgIfAtBc3OrWcLeCN3aJAeu8JJgcG7mXIcuziYSy8Io2HWkfXMkaEavvdOBHpFdRETf6lnT
D7qN4F8lFU5s0ZQYkD0pl3sccPkPU0jX3AzwehtPM0rA21m+Zf+Z4WfzOXuWqgTpRcYBNmgr26Mp
Km3VL8llxXe5tlBJKUPfIQINyO/wjVHkINGhGVo6dG1eikmy4encS5+q3pE/+HTIr+nxyM+7yhn8
FN/fCrzhCIc2hgjcMybVwSVwS3BocBFhdHjLm16Kc5pJ87a26/pCnAZJDIzkv9imJIdPFA8dcQxD
fPQGdFzE9qzLH7vqg5usYUEbGPJ0PQ1eXh4LK8we2Z2gokKNhf5cBwPL0i1/TG4ICiNQwVeOVSZC
j0506qip+jH9hFnSVRjsCaXtcTEJcIjlaONL6N66miTafeOt6d+gmrU5t7y7B3zLqb7Muq3+gS0O
NjIz7V8CBBuaIFLcKP/iEd8UmB6aX97fjOl7FI3X74ink3GivLQ5xGWcqQ1++74+z2VZO9B/qwuC
G+BZQD/TVQ+klmX1A3E1HMVyrAhgCD3A321fszfeNtkxPQsbinFnu2skd7aKCa6leHqpEp9gWZSa
+Nz1g+RN+/JVrH/6SKZ3RABRxI1vDGXI0PXOLU2e9YYBP6zW3Spy54kwaERQKq67J3QSkN0DX/Nx
IBQMKp9F8ctGCV9tEfSS7kyGLBnsa9o51c6qvPAfX5ZyNi1B3PnJL2YX3KYjEHGTBnUVXLjqTHYg
mcjPD/gp+Qr4X45HUbY1N1PgRcMdfYfcGBGmEh7BoRXvOTOKOmY2WdZO21q/gU2fyXFtTeHu59Ks
8uaraZ7QvoLK8hk1v63yQSaDSq//mobAvXuCXJS3z0db/0eaff7LUjM/FIgcn/xJYgBsa6d7q4Tj
vXLoxQ+FafRHjGPS7DIrFpjlGx/f1uS+ZwySb8G6TlOSkYig2dXW0toBn7enCn0T2rjC9rnO7UUP
24o9A3+7EOj/dWfIZk79NLhS/6YtjtDS/MfSDI9ZT4Xzt0Ct+TUaL/q0u5HSiFuLasTGnQUvtWuQ
SEmvxle6VOF0ISkr9DY16IS0PyHHmvQkZSamXQMA5m9KbMxqD95lvaxpsX65tlJq66U6+AQw5zEP
49umRAStelxINCDMgOgWSHCESVc/AxJPGGJcRqXWKR6sHmVmEutMTrvYCmswNFih7aAKYaDW4SIQ
rrrTr7+U9SPtmyl6Z64wMqtSf0BCl4bUXQTRNJd3pHLar3pkLrDGOq03GDAAMW0B4zYFUWtt0piG
twexxg75m0Ngf4Y4Hp7Q8eT5pkKYKlByCqS+Au/1EW4EQ3/bW+Kd6qvI2VrMgHtgTVKJTD0SO+LE
2IL3LTceCgJUeRt8Uqrc4Q4D0QwaQtmeEd7buObIFcGH1tEbbc03UqKF7sV0UeM0mlbX0YccgcEt
G2Co2bkK2OBkCGAJSaTQjT4jhJpeKZ/w9Zf2FqId/8fZmfXKbWtt+q98+K6P0JIoiVKjuy9qLu/t
IfGcGyF2bM3zrF/fD91Aw6USStg5CHACBNgsiuTi4lrvAFBHM8+pMeK35FOKFODESyf71DmIaIFu
Zuw/aqdRIroZv2iq6vYf7NdclxYenq6vyKWK53hoDaQ2xqH8MeHt+2xSqKGoT6v8tUjMsju5kwfG
OuHAimcKhnN8sEXpEXUFN/YbYwI8cZwzbKdOZdq5n3kbpNlerxFe3NFi4i6NphkxvyquW2RjyACH
U+bOpN2+cItadZmD6GAPcBsOVmyqhq9m+x8nZ0p/tjlZ+k/88UCwo0lqdE9ZhdTNDrk/hPL7in7i
zornwjnmOVOi20D9ZBdGlv1xCMuCzoNrUuWPqwgyOZ2h8p/JmXGBRwm8GQ4RtNd+hy5ZZe/JYJwf
GWi/p3pq9J8KYhTsjJ43AdGHEsSuQ2dQsY8A7yMOO3nvjSzok3eD5nbhU9SUDpQ+6Pwcxxr6a1UU
MQSpOmjPWaHDs3MsL+X9qc3zt4i6DjJ4RW2cisBpLeo6rgVSsEVS+bVfoaizs0d0CC6DtClrwUzT
653favb7COHgf1oHdWTEXLzhbeLVfrC3RUOE9SPO78kOAS2c0tqe7N0kyuINurt08jWUWlCSHfXP
TiOaby1a5GBrTNLQs+v0+o8YT6P0Dbdt8QZaU0ha5OtGd9RqXwcynUJVZAJBTBEUve5X7tDGHxBC
oTOFeF79sbSqFpX+Ke6/o9VVFbvekvqP2ip0/4AABS0NtM/cd23qhGQHRFtU7Sor/ulxBNEBNvuY
/pM1OM8DCTBspbCT3zPEbHuUp1DR2aU8BeUOPSaCQJ7qwwD3voZZ59GAfTXjRzny9Br1ZIdKj/OP
0wD2buK69vdm6nN7FKKWr8GhQ3UBk+R9Bl0eXsw6QpenzgZIybGNNPeR9QAcgnR5C3RndKVquIXg
LgxRJflbPSvN7wXogPLqIR2ZoVbe6P9g76GJ/RTkAvJo7rTxWQe3/sZyx6w9e6Y/9/u0pst5nLDT
0c/g76Y3jjt2EFjGwBgP2FaWf6dBEH31gTR+tBxvRPJtrDlM/3hJqGdnVKC6ZudkeqADu+m6PyJM
I/xLXCdJdAX1QE4N3K69ulZhICcFkPzzmEfuZxd9ffKXvh8BwGQ9etPG3P8dZYJsfW4xOrZSiycn
0Ej7w+xakoomAl0QEm38VujG4HH6lrq4/VHzUljBWmKlSDC7FLo7tAwcUBNZ7YAspuSk0oACXPp7
u50JimUJ546+Z9M3J6fP7a9dgIf1PjFn8cGZgRZimxDox5iONZgNVDZMutAWr1POUGijPArl4gAw
WUK/LGEKUtrwKo1Oqw6GzeoRv90FGaH1EFIDOw4oNWEIW9Oz3/cS+PcbECEtymW0g9C41qFDmNGe
sbzqqHdDkn4I0BzxEbweaUOCovT6I8q7MBB8JxlpzGHynV24kKPgQDnESi9CgKs7lmYvvtm01/Nn
9PxJrrNaU7JWbYHkemzhB8E+08QXow6cDxgtau5RZMacglOC43YQEkDHAegOGSo0xuJ5xC7lUwYo
4ltX1FpO/8+1PmbN1COVAQGbykRQGl8QoE//dPt6osAP1Ou1hx4FKoD5U5JOryrdwUXHowj/Myes
TsDeitBFUbEvqbmjg42vhnTHj1nfjV+qGcS75sYJOORm7p/qaKTGLCw9QhAXkPfHFDCe+TRiRAA5
jPRKaQvAtTrjyVS/M3qTvTGAq/swlaIwnuiHRjwWofm8QalxAFSFwDg8DAc4p3YCZYS4VCuF8R4N
usD8y3YaauYD3l9vQgL4d8sIzOnkxChUv9agmFArnjw3JrIi804dMBPuOysN4SB0sDiq42yGcCvj
cBLTIQCHeeUy6VJUSQvg041m2X92md1xiaXcSyVE0m4XmZWWkEo69SunjzzvEOehJD9BJkYc5dj2
f81yEp+McMrNQ0NrVu71vnLZ0QHedsjlRhPV4xxmjQB7lD1Nti506iue334NBzjcz6Qq0ytIzGZ7
qgU1/YBoAM+eHj6i4HB6i3cAQHmd0r8NP/aDJJJ5XSDiA+0gl8K8T7njwGsq+aIh+lHt0a2c5Ann
sORLHjbOiAKNNr76T8WbhIcQXSaZ2lwweoFaR19XKJn/pwq9YajyFCcaV2T6c42PyDdhhDEF4Eyn
d9L7EBTQ567E96CFeQoXDQwbYgVD8Gdp09HB1SWm0odDGvogOm930C4d4oB/URrv3HdVHebda/rZ
Jul7UQf+B6Mb9flgRrN1hXAUZdBtqjDf/ccbhJhy0roDAJv4ib6Ch3g4Wz05/ccoKVaU1AYPofSd
f2jYtR9zEUcqdwKLpUNP/vyfeYbRqPcCCrDTmD4ZrQ5iUQPiShmkzJzTf2BQtp4u/fRYOGYo9jr3
5is9wYTnEgNknjb841bszkzlq8ZfkTpqFcpa6TdPoQasY6KXlTLgMq3PqQ3Q5TQO7SguYxekzzM4
u78mP5murdXGG0a5K5ZUpkX/mzTesnTPWHgdDmQzkijH2DkS85PvyGOE9D91boWyTlr3+N//9T/+
z//6Pv7P4Efx7v/Zb/1X3mXvioga2//+7xWbKMbzLCCO4E08d+FwGMRTjXcQLyjNpNWKJuNPrWvr
N7w1xg1/UmWmdWP/RcAAg27pgvePzZe9/aoDPrEFClvOPqq16GmYO/PMhTrsLQ2XCDsTf9fOgNw5
dhtPjd19fzzNO58+OnEMaUhLt0kX9YXbWRX2QQIrHyeJvI6vpR7hYYlwx6kJWviCVh+iyJOkL/22
vwZl1roOvM5c2ivPUzm0oQ0Gbm668pMukMnOy0p7izh+9FJ3RSbm2ZZwcbU1MTJbLCNds7HF7QC6
WVk2p1x6+QHiansYfeyVHn/Kux0jLYO6imHz/7bt6AvLQ8s3+xJFfKQnpfO+9uL09Siqn1bWZ29e
PhDvScuzpUEnVV+4s6WGYwNzQjsA1dxmN1IVeGsSXk80w+FqPh7r7tgxGct1PNvDcc+FuHu7OeHb
Yr+SedZeoj2KsvRk7hJR0LQAM7zDHqM/PB7vzkhMjeep5SLAmDDnbseLyzZA9ozxarD5ZxQgtaPV
zdkfj0dZmRUOn6ZHo0KnvLH0uc6qYOZad0k68SXb+0XsnaCPopPb6kihiMF5/3i8la1hSgnT1zMl
XaHlETc0WLGZDiIv1btmb9oOXd0KsSJrcOdPj4damRpcS9Nmv0u+obVYsF6VB7II84k5T52PcdnR
dJCl9bNFrvAMejXciMsrUxO6CbKPEgEHzFT//bc7QcMdgJsSTJ2GNO9lDgqycgBVe67xLWfGtaEM
xC50BJu4YJYHDMWDVtEYkJ9BFfSCvQsnoKOFAJOte6kfocTZV0eXVv3jsfNvZ2X68FRgFKmzbFU7
zYz0qw+csNZiayNAra0XMYNYCPCW6L9Yr9IEcjiGTKUG0ABfl0f2EIzxObQH9NfmKj493h+rH5HO
qeU4mKDrS89gnD+GtPfYijnOyOdxEMHBwjzs3Dbxz38xkukJhEdcXXJ1335DKP846Uho4klNa37u
Av9YF6I/xmNQ/5tJCciVOp/QscViqIDc3jKikSg1mKjmoRtwtX1IGMhAyA37yPvbmp2ByCe9NeCK
uNvezgpgOegbH4FhlHFyoM0DGjqngMScpjzGoT+Huga815oanZAZlPKryRM8ev/Fp3V1bNQN1xWu
sdieBQ/4vB5RfTB9rcIRCe45Bcv6ortDvBGQf/2t2/QENrOOpYWj0wHGyf52wnqQtQVNMbHP5zz8
otV0cXbtiNFRCebsrR6mybuorq0nGmTNM654+luu3PlIu929gsmRP6ak7H8A0s5d3viAtOjwJ5c4
MijwapBhNi6suxyVk/v7z12sj6YBWk0cV+wTehZBHtKF9UeMELC9OCLeru+zqY1QHkY25PGa/MpA
H30o8/ZDoZMC4WVg5AYpR0AP6Mxl7luH4tm+Mpz+yVOwAAoFP/1a1M96lIWXqvM3fsXa8Sb4s16O
ClzuIhxDJbJiAcwH3h9Kk36E4ngD+P+KZHi1MZQ6VHfzRU6BEw4o2HEWh46yS9xB5LP2fvuXDWLz
TGMmp7WLqmyJpNDjr7s2mFAOo6A9IEOYi5zHK5PWUmq4tB7zwNgXhlU+azKuz/YwptTjLThoG/Mz
1sZ0KRmQkZiONJe+xh6Ma7IIzDiRc2lQ+sWZADy2X14l6fp1wvsLQIrpnBAPHN6BLmrfTmLgLTQn
2O5RjXR2mh14xwkgeHWAUqOfKqrm58cfRt0Pi1WAZ2ygqOJS9OMeud11uVqDAlUtMHJwLd0KCL5F
D+74eJSVbcXd5JHVckuZur7Y2/480oZFCWHfTDoquxaaKdI2d9Dxp9PjkVbiKzHc4HY3+ezCWWzg
dBA92DsSQNpE9XUOc/9a0ubZU1RRvQgnP/eNESIP6WnPmInUL4+sZNVEEGy1iRJ3buwjZNBoCO29
pxXaH62jQ7fQp7J4hoWdfnk81ZX9ZWN4bPFcYHcZy+c0eElowRVjmQCFLx0o5V1NwY7ya4zmB2nB
llHvyio6XI8sIX7dNm29272Crw76nja1fdBrzSs80pEDLFv3uTZdb2MZ1Z9abEuG8gyT3Ibns7HY
MBj3NHgF+dzIqaQXlDZRh2ppFKILjs/acbB08zVmWdpGmFg5DQ5AJtexAd/YtqH++2/ZaJqPFWa3
CO/ZEjMi5Liigx+WzvOLF47uBOrkJsUYifjo7SiOhrI8ZFOS3NnX31tVGdM7AIB8gWOZeGDx+src
CEarS+c5vCq58w3pLiZmi9YgBrJX9CBoq6OGxNhrdE7s+BBBNH/5c4UPyOo5rmMKMuDb+bU8nIAV
5MgX8oYAbUSeIzHuPtYlEM/Hn3JtXgQt1zMtfGGlWMwrQVS7AIhs76Gf2dgNoUWspZjVdgAQD4+H
Wrug1ebn8UBJB+bnYlow93Wn65gWlk8y2Jdu0dtABWRxQYpGR2c5hRCVDl4+8E6bhh91DQAeZ5/6
1dwZJOePf87azB3uMhroxFPbXtxoTYpHlBxQzcR9V146+FCn0Ws+dgMU2X8xkuehjgXGh4tCxaHf
DgWvN+xK+QVkiyb2ApDFED4ywb7ij7fxjdeOvVTvMzzW6P26i2PfjDUwrQZIRQnk94o6I502vKwO
NX2cV8hIa1eIiu7l8fxW4ihZCJkptzHXhilu5xdIVB8nZLRBFacBvFugGFnoGF8nK7uUs+dvvHhX
50gLSVqkWKhbLhaugOzgmhMqTn5UdH/IyIr3OPLMF/Q1kmc4gxhQoFy48UxU52AZT11bKHgVlvKu
s5jjjCAdGDuE3FPwqmgfe0ibQbEKo6+Pv+Xa5FzpsiPZlw4x7vZbooZm+SNaHntnspuP4+yZr+oC
IGuMK+mnIXTT527Qpn8eD7p2FCgroyrq8YizbDX53zdoncvKGlBLgA4zHopJm/ZOqsEPoE98fvFQ
VDupxFALVKWfxXfEZFuxzWgdQAE2DiE1ymfKyskprfx+4wpcmRVVcqhOuuSlSFJzO6sOChPErAa1
WE/XTwmYSlohqYMEtvvz8aRWNgdUP7YiCRM1GH2xaKPu+01SGs1eACh5U2NcPcL3zPHpfDzOSm6m
ciPTgS5HccReBFBXVnkSI28L0qX2LqnmaieRtfqexJyGJ/z0d6IHrVByCWKEIJNvj4dfOedS6g6Q
EvpkDvWZ2w/q1nlnB1JwznV7eC99ff4TPDeypW6fn6op1zbqrCtnQeJ3Sl2cypZwl3Ez6Xwoxwkd
xQQbq3NkevJno0HsjGjsI2KCRWUWD83bF0+SSI0EjBBC13k+3E4S+WOE+0Fp73sPgboCpYi3Dn3p
E5qQ6JrwjtxY019fbRFZuArZn66wOYNyEbK9dJjokjaIq3VJ8s0OM/ldBfZvuoTWCXWqRqPdCMcQ
BtMM3QMcV/Aho+7oHB5P/P5r29LxyCMEuRXu4ovjAo0DCaeI8qjuaOYfGCemP2lE4IIK9eAJuQRb
7ib4NdbGNXy/qWw2Fa8VbmAGluoU/xZ7HDSGIxdjJTwMcR0DmzcdMKNMXsFk+cEmjDZmuTqc4arO
kmd4XJW3wyFbaMBcAt6kdAA/gOCxrnVqPqN7BaIIh85Svnx+6ovi9QUR3mCOtwO6jlImLoYG9o9G
VzLmwL6fO8u5xrY/YKJZtBszXFlHTN0YU3KPkKwurkdR9VGG0xL0Ty9rLpEoUbDH3uGg+X5yCUPN
v86aZm6cGhV5bjcxlXziOW8anm28p25nSVm2oHnEUcXXA1xTPWI0mJDnSKMs/3HCqvonbhs8BKAX
bZyf+yivRnbIB3iAOwCvbke2UBea6srmwkTD9EjnWV5r4ZrPaP0UG43Clb1D3dYQ1OIo4BIEb4fS
fDMuQ8sC4VCi21iP03yEXw3MeS7fFz5u3o8P5OrMWEGqSeDqLHtxqySZDLU5AnQCzTk/FeSNAPx9
7YR8TrrxEdeWz6Cs4zkezSZdLjZpbI6wOzKlITPD/+trLThaaO+g8i0+0fg1z4gaKauEUdvI5VRQ
ud03PIYZ0vVIHvmii82aDBPuRFndQv6gqqThVHSKqHRsHIn7hePVQdGYfUmouTuDvYEuCeTvdt80
MbI60AEOCNGUJ9Q6UR3CHWbjcxpqJyynJdWTjH6TSU68OA61XiKU3IoWrLOtREC1+DxloXWkUN5D
EodIc9bLBpqAo2eXqsqQK4289tj2gUDaY6he6wirfXy8ne7X2EHDz6SAR7+ZG2SxncBcB5Dv1Bpb
eo6eZNZoH4KkHc9oBTmf2xYi5iUeBUrZILgJho9HX1kCj9clWR//g7GxCPOedEZouUAXtGb+K0AC
mXYLRtMTZCZC4OnxYPd5ElHIoDnLubEFecHtQcVvp0QUEYcKHVD3BVMuhHbkPFz8DNtcKmnyWgQZ
gpJd28ZHGwDCy6vAkkPE+PwKB1H2xXnS7Rpvrzzv9gVaFicY78afepWKA9pDzUaSdH+CGIqMDAop
lzcTvp1rp7gHiQ3exhxzGMdV2J4jupwbO3plFFIw3pUqN6AVsVg+TIWgsyM8vjddmLoTDkCv0BTs
j4/XTf2V22MjVdFRzQZmC/vldi4FwrXISY9otCpNrykU/dUx4i9imOfzvxjJIcUTPOioky1S2R7l
MogrQ78fAmdCnyb20Krxr9Lt+42RVvYiFXMeIQZK1fTTl+sTuljTOEo/BuZuAz+is0/WaA6vDZMq
/S4TTfIhm2DsNbKvPjeD8/LSMQp0IIZMYAkO/c3FuUekl6pOBopK4RWfaYLPx2JAmzLRR+tfrN8v
qIL3a/WWbUB0YPpOdiayEkFsPFcyoT+XdfE7FA+3+hHqsy23imRGCr6iIyq92JCuj1GVMcGzrMQs
3qN5V34uNcf8bGoge3d963qHrMiLF19X+PICXONBaVAxWy4mkj3jmAZWvx9BUj5hrlQejMGzNw7b
2jHA5I7qn0IR0L69PQbDhDm0biHTDtcQbdBZoNcq5nqPn9/LS1NMhfck4YN2KnXA26EME64y8GrA
ThLbEolQ6xE3PHsXCCRZXn7kVAVFQQfoe9uLI2fWDcZAvej3ld9M59lDHTukPXxK+/Hb45HWghXt
N64ZBaqiJX07KacVmTenOG5Uddld27px9rkLxv/xKGurxIUqbFi1KGPai2BVCp+CXwzrsnKxDkGZ
Hzno2q4uc1v0G5fn3VBMgqyalzBGX+BKFlnSjNZS43T4u+p2L89YpEyXauioMcA/Oj6e1d25UkPx
5RxKo2S61uLm0jDzhlGE5FGSZ8EF4HOADFEbvsOXrfkKSR5JAs9QrLIXD+uQ5WIxRNuAW2YZJWlg
sw9K/DC5Aciq2y9YJxrnNEvMH8iuugVCUHa1cc7u9gkPht8HXWx+GzmcLAhHhWS2TJLPqT1N0dBf
Hk9tZfHo2nlMToCZ0ZfYo6727LlAKEF10MQVh6MJiyTs3OoK2YHHQ92leGpCYCXpz/IZQUjcbnwf
NEkkxkT5cqYjzmwou1oC/R3wCtq57E3nL1Kw5P0om40Td3fJLQZe7BrUXMDSW+G8b1tjOPEERLwo
suFnGnNcvkJsPTwg5AXtHu/hZzrJ2cZZXNm1jqq7ceZpmVCKvp04GntzW3s4neghHlS7SEfV8hCE
af7sowsQw8uo0ASZ0LW4/osvTgMe2Sk6ZiSbtwOTclUGJu3IfvvoD5iR534xcSE6w3+Rh0qX87mo
PfeIj1y5UZBemzKdcaqBXH/AvxaffCg1z8j9Qk0ZDP8eDfpoeEZOXNe+z32uvevDJtao4Bb198dT
Xjk1PKJ4APOxPQGo7nbKTjFb1YQAzr5DA2M+xh2yXvu4zaN0IyasDUTSKUg3PTCky5Yb94VZuTXU
aYc6lLLVmWr/KQyhrGws4upAlN9U40THhXExo6idpZX6ia6EkXFwLTBhmJt+qyO7EgckEfz/j7I4
nGGCUDuaH/oeJZD2LB0fKffQUypE8sU1EfBeJOu0RuBl0pdZ3BeISVVZH5pgbZzC/Bpqk/GH2Uma
XMCIDo93w8o2lGS1WNc7qtu8hM/hluN6eerre2TfkNxDuBJp8GG6xrIZr3U7guxHZWrjzbMS50hY
0LtR+RHYkEUqoctQajhtGejMZfV3Si9/I4s4vxmIDE+w7/ODPSuDOU+iLP94umuL6KgSF+UECv7L
rYLjXdBmCbuky5zpDCMdN8YYgp+JzM7LbydJ2q5wkOTvdxhZj2ZPHcDvgafUFOeizOUJs8kt8Pva
hKgWgtyTEBfdZcMwHGq3m2qs3FCSqk7eLKtrWxXWBX9g8dJ6FrtSVUMUnFPyMl4EaW/EMg6bL3Nf
23l2LMJuOuH8NZ1hM27VQFdnJYkdOqm6zUvyNkbRqSmDSWNWodaV1yIcggsC6Aj5pNW8cfWsDsX1
R02RsiBtituhkgh8fiZTc9/giXmFtmBdS9xTXjlsk3xj960dNlaKgGiSodHWuh0L14S4bR2+oBD1
jwSC4iVq4ckluOMeWswiMK6ei/PjHa/ukZuHFqvGU+dXuZxayhIgUAJvD/KRcD95qtNkVEl8mKoh
y2HN48GIAHW+ge6474j8GhLwj20QU2DI3k7Txr8+H0KggglKycjTUXEgmrmnKLTRnINQaJzGCEd5
WFk9zillZCCsMHrGxsquRRmmzcsdeBe9mUUUTaSBRVQYAXaLXfOdhheLDiDDGc5U0YbvedHaEJZQ
pO+bWmzlw/djc+oJq3j4UcWnhHT7CUotcMZ+8nHqKuLq0FnWmKCOtzO9E4yk5lBZ4XBsqeAdHy/2
/U3IsLbBNrYU9mr5voWhTzmrg+SGrbp1lFPsv05QvLs8HuX+yKgBgHbzgOZ+0JeTS9x5wkNuBDjr
21chAny00Hc5jWX1+cUjSYsAoJ7S5GfLFAJLdGpzozThJArz6CVzeB5crzob8+BsTOr+bNI/Vyhd
1wF5cQcmC5zI1vImAofvoagu8gLhcF1Dhyp3/RPoV20nUf/eCAj3h5N2M9gLnrm8Qel+3G6TTsLe
7mzAejA2o4tVYWtb4zB3GVuotk0EaPil31NVkXjF8zykxbT8nnmfJA3WU+hihXMHuXesCQwFj47n
DDDNxma8PwO3g6lt9FtnsOz8cBgUXEjWLRrUboM4RNCJgz7bAy69EPVlIfD+wtB7o8yzNjK9M3ap
g1stV8jtyIVut3ZAx3MfIMb0yY0k9NISnVOUSPGLHdEsrWosju3M7Ddi3/2COtyQcKYUgYRjr3bZ
b3OGZxvkQYOnGhEe5w4QsNfRSGGMo6z8Z5JV88YGuj+KjEfTGaYKA1JuuR0vRa4RpR9vwjrH9F5T
XR5xPwvFIbC6rcrC/UeVOqHFNEyHhzBci9uhEI0ZZyQxhoNd1j1mAn3Tfow8RNqNrk066MGj/RdO
K/VTgP36xla6/6yMzVoCXrYooyxZVOlkoJ06Fqh3lHH5py9i/zJj1/pqEGZzDnWj28iK7z+ryhHp
+pLvuMAUF89CLHJGzYnkcKhFRcj24nGHagbOpnr95fGJ/NXfvL2fpYKveqbqo6kG1+1nTcMaLroX
TAe8YlFjHDLAQ7vawhsVNJ/oPvVIY71zENR5C+Z2Qtw/phOyU4rQmBLgqLsb0szZaJTeXyPSJOzq
JMjqAlsC/dCI6nRAwnxuX8dlENWecC+GfPr5eO7qAl5MHaqWrbITHv130Q9OODZbhtUD6vdRsM5A
1R5A+FTR2cBoFPiZAM0AGco9IM3Zil02IY/3+CesLDRlFjU6lTk0H9Sm/+28Wp6PTmzisqltPXkm
MWgvem3rr8DEi41X6upQNM9g2RDpwfXeDtXEgtyjMYaDOWst5md5aFj7sGmQeJZi6DYCw0oSRmWY
x5UA7KbedouZhT0roaNMguDRoOX7zjTgRiOd80rASt33rQFHXUzRGUqw+6aZ6+BdMBtblM61FYYe
SzfIBaQN6Wc5Z6QCTaMYMRQyjOfJFBjDRHhh59mMLCH2rwhamtohTeHyk7t0Hx6v7urwnCuCB4xq
eKW3w1tp44cJgeOQZzm9DPJSWng9HGg3tkdkEUG/p9DSqGhz8gpNbqGp15acNxlIeIrzvAQXa9A6
4Di6sR4PQZ+V30osCs8pRZFTFZv/IkJy8bCXoX1SAVnyVgKjc1tzHkbUUBIUM7BMvgyjI04o2kSI
25jt+fGnXZsaKCPatHQtDVKm208b44KZWJLtVfXe+MFhgAMkxvYpLqMt2MZaNFKFEJUkAexa7uS2
03GKjAA2JqI0i2uYu6gq4XyG08DjOalQu4hH1CO4t6G1QqJdslplOvVlUHDDFZVwn3BDtY9+gdpQ
0bXz+9ZG4BpVLe/4eNCVD8nFrWovCkZh/oIi/BaBkDOVQ5Cgm+cE5YBrGOZAh1IoV6C6QeNrIyzc
XaTID5CdkEpTbBWkgbfLBi0+tdJOtvsW24h4lw+Z95y2pfUV11L3Tawl9UaMv5ueGhDBP4NGDkzG
ZdSzJrsepgIkRZLO8mJZ7QdD08JLFDXGv5maVM8Syc0Fuft2alaYllU1MBJuEuWlrFChjtApQ9xP
H68dWh2Xxwt3D4dXU1NdHTrqwMKXaE5k9QNTVnzLPENcogv18PNI+/2VsHpsROpRRvA1rfmvNBrj
J8CQ2hvNDeILcm/di8ta/BSFiYMoIuFIu4tlbaqh7m1aL3v+pXqb+pk4oNcI2cDpSF0ez3ttRXlB
EM8htvOtFwlLbxgimSXfuaT5kkG7RcaYlhNakkJLxj8fD3Z3JJkYmC0UCKg4EcYXidiIj6E2OwxG
5XP+GiEW/KXqWu+PIowQIRicGQAKJCrv6+Nh70KOGhYxAmhrCm+0XFpLNvxlG4XAbPSnE0I0Pi4b
hX56PMrd9aRGIZdWL1zwx0vYsYg65ORrRkH2czj4A0JNPq4VO2xX0VtAteXZb9PoGR+O7uDbKC79
m+FVfYK0mjrs4sBowQiksHCIBWg4nfPRRvOvn5A0ndv2Ost2ftUS0c8eenw73Or9jfNzv7SUZjg1
igME2cFaFIHrYazi1tJ7rCzn+evY44fkt5LqFB7JJcY5vhy0XV9IfSMpuN+/NJr4R/WW2cC2eRsn
cvBKyA/TMi8SBudb6+8ap36LqrH+5fEH/lXourlQqD4JTiWIQ9IAUFu3Q00IEYm4CUm3crTbj4Pu
au+MyCqTXTjVyVe9dkz8eqX2F6ZJ+dvODdEZjvDSRpI4/VIavfbco+z2Ptf9YmPrrX18+AmqsQm4
FaTp7S9DrjEXiQQPZMd+FO8aLLp2dS9xb0VZOMS0AONmBPa3kBH3O57DLEiH+O5EEGeRkLW0wqRV
YzDuUc2tdsWMNNYuaZzmK80qw8FXKIjPoi/7v9AVnoMTitJjsxG/VCxcLgoAKF2BiA2wV4uQMmdN
KUeJkXRY9NW50dP+TRS05ScTMbkP6Hi8OAlkExDAPOQ4yIBJmW4/9Swx1YIO1u2HDC/vJKqSAz6U
3d5CnWzjSK1sbWakUBMAsoHzLqaGr1Yja+VZn3Id75U2zd6nOnnIEafZ+IqrQwEDVKomCPoua4Aa
DUOnssCp6V74BpetzthnNDSfHPT/t7CHq2OpMiqPCIhu7uILmr3E974U3V7LTKNGUWwovUuRNMNJ
9/Lp0+NDu7I9FN+SHBo9jnvdojD0VPeZwcqKVjhl1DcxUroYhQ0yO9Arxsr98YD3dw1kOqgnILyo
cHAZ3O4PboFItDX7Q07p8Gb2iYBGSSR4PMrKgVcbnloDkkzowyxGseoEldGxQvZ5NqPxAKQxxssq
rBLqYdLDEqM2j3HpY774eNzV2dH9sslPBImgezs77KgdnJlqAo2vKTnNqIjOkDQRenw8ztoeIcTy
jCSo3fM79Y42NPXObt+qwltDIe6cDSLcR0Jah38xlPprghYO+d8iiCUlattDxA4RmPPtyZKMV1nf
f7e63N3ACNw/4hXJgacIbAdOGgn77dfToPK4cPoJFi5ybrXVFP8UOfUQjDuTazFrzrPVWn8G/WB8
ixEh+exxo2x82LUFJEnhTECNIj4vZjtiUtR6BjdFiC/CHuXa+dS4/ZZKxsrFgKgtTyAKT6CLxeKI
l0OYFTSD+z1uVTPXwOBfe+xYj6JwEeGrQD2jr4zIFrq950rASn75ktLIAErnwYAQy4e6KGts3+k2
IK+Pa9GoJdUBMUoKA8649VBf26iktEoPityD9b1d0gb/P7QhC5CreYycYjXFh94GuzCiM7tx9taH
gmbJvFQ8WywdPOdYVDpKvgHPrW9635QflcztFUirv7FTV4Zid4CPpSWE4sOSloMmiJVrMyhZn1fI
wYIYe9RGOeyyofE2NuRKgKbSCdSROalLfLFVBvRQjTDFAweLtOEUmW0f7TGkQdy/MQtYyYk1Xh/v
jvsaLW8qJMkg4lPuoJSkdu9vb/Q6w+BRV/dqjuNXusvSubDfddowGMeiGavvTmtF7X6SNDt2ggf9
H1UmjfwQYoX8dkx8ERxxnDW6vzd+1tpHBztEo4+3kWEsmUIxxjUaJQWue2j7J21wkurUtTh5Xgka
5Q/HxrFtP8X00T814eC8xq09GrjXcqQ/DAtbFSvuU/E82qE8iZHG5PsW9Fm5kZSsHG3Va6KUTHud
rGRxAxjIx+AAG3d7nHGng5Pj3h3Akj16VfI2qvrsymVl4IdVdSfVvn75GYCeTU1M0mijaal2029L
V0ibd7mDvlUZRtGu92ztKQqMb3oHcfXxcqythuA5ozCCtmJu3Y4Uo8asVTzV2IHYzMBMafB6RcXY
nuHkPx5q5TJXT0Y+K7AFIOmLoVC0C0OoIqSUYTU9lXUwkczWmM+gvRqcK3Ny9kZVb7Fw1F9dJM4o
o8FjYhkhGS17WzLCogkRon6PzRuanuaYfsU2Mt9AmaxsF0aRZClAO+mILI93ZBpxb1GiNowO/9K5
NZ/CJhF/e3EsTxpqlSdZtM4hws0KFfnG+vPxp/2lt7acJTwqRfyAtQpX93YZox4N6GzAUK/tvdq6
mL6PthiqNf608+mJ+Hu/6mL/iKOHZh39sGiVDLhsfsTWOP1M7U7/q8rD6lx0IjrhYRxeB8qkHxst
iZxjQHWvOeFkY2q7KA0bqkQDwfSI5ZtTgl1tjOji2umQYguk5ccUadliY373b1ISCWrRlIkhcVMp
W9w/CWrdrUN+hC6n9ykq+7PnO7i5YaW9Cz3NOyVuluyGCWVQrD5o7qmAB/fnSxY5f+RtcLXs9o/H
n1wFgJsvrnaUA41DVXjuUTF411eG7KhDTGkbf0p4unzAxmi8Ng1eYLLFVlaLGv+jzFL79Hjku6vk
18gCaLaidtCIul3rEgtTC/exFqC+5/FI95qT1aDbOfuTPPZd0mxcJHch4tfZoRnBWHRSl+c2o35V
hpPd7nX4D+dxNPEBtNCaamF4bOT7a0PRgFadWpfke9nB5JUbg9b3abmPSY0t3ZCfLWs2jhlnb+NC
Xls/qH90hXkJcg0tTkyXm3YTZX1LklrDPkxka/2NY5z/ue3T5hDT+sbYJh7fdNO8Jf63OjT1ZZcc
BzkZa1HGEMB3YDQPLODshMe4Mi3lT4EE/TgEz/g6BnvU/ZGSHsvg/HjrrH1fkLuGSSanXsCLMJVo
TYgOd0vtrpznXZuaM9p5eA8jerwFjl7bpSYgLrQhAagAVb7dpeih27HtTe3eDIDRUlGcDqMXzTt8
GNPD3DvmBnpidTwlWspoSrtrcWFTkmSR6QfsdeTejlmcJ8fKsko8Q8Lm2cGlZiN3XB2PpyHfkqua
kHQ7P1KveBzmqOPOSoY/267yDo3RFFfU4LHqgmK4kRLc65JxDAGF8LSi7a6UnG4HNLWioi6eoWLd
gj3DXSvOqlOo9baxF52032axk9Fz9mTH1eNpwdtCt9rhnR52qK97MaiWHU6huYuBU+fSuMQG+jP/
0XyPpwxe5y/faGiDEjKgcyge2u2P5RE6Gm7IQU648Y//l7Pz2HHcaNfwFRFgDluKUqvj5LghPGOb
mSzmcPXnqf5xgBFFiGh72QO4xIpfeIM3uelLmEifBCTdv98e6jrdZGKQUSZTB21Bxrk6ydGY0JgV
Ci0URVW+c2bF98xczLPTz9qvrsGUCCvFJnnkFrA/moq7/KOpTe/urM/W0SK7ZjdQhwF+YVx+MaBc
LFkQRT+oebgEve6mf81lp+O75ar519ufvLX3wEMBE0R/T9IwL8eKIyPHkAP+ctcb/Tueoq738VjA
VIYkP8PUWuwBrq+iKOaYywo+uEHZlXrn5Yh1lAnNaSDSkswrn4G0YX4bhztB1OYgslwGgJZQbV3a
95CJXEaHRnc+KNMXK1PsZ1wW9fPtydtaKMlM/P9RVttF05o2V92qOww4jgcxAh+H2Msx2WtT+3h7
qK114oaggkXfks7l6qVGkndwik5GLW4zPxFHqB8qgvDvgiiu8pWZW3fnVdv6OCoBEpfCHQgu8HKd
Bh3krIJOwEETKAaEmdPeJejNnTEgi3aO+OtjvI6AJCAetoSKGOkaJrE4XOWTwQsaD5MRH62uNT7o
lHLskxcnzSdlxIAAPb96So6hib3dkXgmwmSpKbsvmjLMDl4q0qwjppVsYXHdTeWx1PUBL+tc2AZ8
mlx7n+ICQRku17P7dOwV0x+MIv17NBHPg28ZtvrOkm1OIF9Dkg7J5Aq72bImdmW53cFzpH0oVdxT
Z2QqJmJKtjOBW7uDUq2UCkI4hSLE5Vo5LqbQpUUEiZT3fGyGwvpFXQxzJttSAjBieynt1qdxdjUa
2twcpHyX48XqYmCQuDCeTk2zVHpCOKdIibDC/7INwQaAJEQaHdn+1VAacs3UGunsOnmYHOJ6rJ/S
GR+Jti2TnQR2I5iilkDyiJIL2Oh1A32wFHswZ1j3PUyXf0LdyitfmPNwsFWlfkCdqziOQq2C0err
Pbz0xoySpAMnRs8eTuZaWRGuUIZ3EoT7Rcd0zK6t7pwpC4xWbcxOt6+SzaFgsboSGmqiMnC5eA66
mEZdElokSfTv0FXGSRc9PrTtuCcVLddmdawB0Ul4L/RStuUqkEJusFtSlec0KpXqmBYoVpiWUI9v
/x4kRmgf0ESG3rzaIVy9no6lA5VvC28e3Iub8XuN69tAcinyX/9lMB5KRDelmunq9Zq9VrWUhFjN
TpYEyuXYPuRIm79MVat9uT2U/F9dzR4gTCnPDEJvzQmcFjwC0px6iuYluOvolXeHEHR/yrIReUrQ
v1SksVS+PejGTSJZujL6oARB4nS5OVKUPfD9Y1AgLeFTH3pq0BujfppDbToMmETvpGlbH0mCJpH0
/8tiLsfDmGp2nISHmvy3RtWzHz/i4Wqe2U4QktS5qe4TZSzfHnET/cqioYTW05O8HHWZzNai8sal
Qjx4yoGVnRDHnE+xlTR+1Mdv1oVA1oeGCb0nXm7qgKtdk4GxrBJZxIeaVx7B+annShl/Q1ba6yNs
zKfkpoM0BLhBtXD1ZbK50LWO0vLOuWaA2ZH+DZ8pXQ0qVcWiCvyukvhTp5s/b++bjbuTUEsKwqMT
RUN9tW+4TMO6kVHd1BhT4KYYveP9VT1XhbkcJpBx+BBZMX2bot7J1rayGcJ1JMhegSR8/OViNvgt
e03fdwe76aqPPSfmWe2X4VxnWnQOcbi7p8o6vsN+Ijq2BU+Vk6rFKe27CiRq031AaBnrV9NWfotZ
bXCOTKvu7aeKC4ofCf9dPi6r2RHGZPRYjRJLqdp4VKxav48MI/RLr5vv7chS726vxjU0i2QJPjEX
L+cYQUv9ck6Mxo0pOVMX0BRq9YdWqQiXMr1I3DNmeMtHbS5b89RjZ/pAeRbr21HJhvRgirn5d3AH
IonbP2jjzeH3cMZBeMuAYbVGWo1Emq7ye+IJ77Uc/1t6XJqJyifg1NtDbdxgEk9IoxxSADiA1VzD
/pkptKRUC9Syie+WmtTSnx0DV0BhFfFL6hlYQd4ec+vU8ZaSaUhtLQQiVtPtRGqhV3ZLTmONpFJL
ezTw+QkqUS0fWx1mcW9Y+s6Hbg7Kuyp7Mjzl3ipNdIu8npsINcMsatNveTjYB0W49YMrivgQKRGu
0ArWsre/dGshIZXwrSTKPBOrJ93t4hpXWNTKCgevYHNEm96g5HOnd0q8s4m3huKWxxaECwWI1uoq
UxYnj60aUcq0MmiJ4jj5PM3e36aH0dbtj9raMsTN0npHowKzBoViKpiPjTa3sAPt+Gy1Y/mE88t3
xW6jwOtIEm4Pt/lhEqkIdBIM1hoSMHchSQ4Jx2Ee0ENRrbI6pKXRBLrG3/7DULRi5GgwrdZSs4Vj
93BHYgJ1je0x4bV5JDX+u+pt8R82hgRggvICUcXzc3kEdDccHLz3eMjJ0oBOeckPLGuZv3bIPt3+
qK0yDcAbSAQAi3hY181yL8EiOnc5bsnglNwmlAYT5Psw19SSYMnG/jR3rhI4Zh1TPinau6hxzJ1k
YWvPSHonzALayyD4Lr+3c5uaviJPuuaW2aFeyuIvXTiND7nKDur67QL63OgI53PomF6IVatrbVSz
0FZLVjIOUVgyU3wBbGUqfeR7yp0XdWt/SnQaVECD+tO6dA5bbNRcvI4PaDGXR4pifws3qj8KQB87
k7gVNciuKPztVwma1W1CcbEZDQQlD7Y0uE28tvgRjk31RAWkoAyVLI9eVkYypoh29pBMClbBNckr
AS4tIPbSuilrT5njio7STTwU2reySgTQDnfamUm5KNej0AvlEUbQYI116AZAT7agaqObo3IGCpD8
SIxS3Al3nI7GCPOCzEk/q8Wg0qfok52gbHMhJfTuf8Prq9Jpg5mgXXh8ZGEIm0b4ZL2fPQ0dJrNN
zrfP5OZxQPHJoIij009arWTRa41WRxz/pJiwG5xTDQdEZTBR0qIfoE27woubA/JphNU2sc46i1XS
pF/4bGRXUUIEpjZjdRyrFoQi6tpYa+wRBza3qhwNVKG8tVdPfGrhj9kMUiC0iPMXLy7Cu3koM2xZ
i3zKjmFrKh/Tpe8+Lppb7TwYr0CG9T4iksNziWo9YCi50H808e0Oir7uRhQa6bPMeLEYqDAuxZJ9
Bf+g6vckpI4mPYPQOUr72OZ1zjMMW2PYiXUnavvQpbXqQXcAEumHmddW/oR3MdKOtaPjg47z7jf8
ucfGV8IBydzbm2NrH9pUIyV6ETL6OmgYc8tdkoYLZdAq86hHy4TCmWLG4uBFtdruxA1bK/XnaKub
cq5SrUx1bspGcaKTXaPmPqRp8b1JiuQBBl3ERDnaQVXKdEfWY2tPUhrAxZKMEdG61Rs4AoVrR49K
BA50y4EMrTirk4GITT5XJ68V8fvb87p1vbC8GrRWslmuisttES1FWswK7Vsw08qjYTYY2Zj2PKt+
HkHlOdTmnI1Br/Xx15Q1+D3NJibyt3/D1kUqqQJcyaDoUUG+/A14WcWKnTVgcObF+IJzq/clcos9
0Ng1KoHnjxRPYnpxO8Du8nIYnaVMw5ZialUhF4RCpJ7+HTUjVFGFY2D4oR1+LsoCqheSmUWQaHn8
jxO6dULbqOkVqocRDZVxmopnpUTrKNBagTPLqBhL77tNsfwUveiKA56vKCinrRJafmpjGu7rilaI
F+xateQQ5ejzBqPb1W+G6bA36KZSB6GshGTQ6v50apE1Rcg0TgizvBvckLMh1OzUderOm7txGHna
6RZjZ0lxel1QrZfaqTNBxSWrLdMXdWWdCbPQfkJLemdvbN1bsr5ChEZdmsxvtTmSYiSicakKQDNN
y4MjxBweligXPzGHVz7QZk0dP0rzwruHPp0aaN2Z/efKNaoXlFVsdrMVjThIW/Cu/YVH5dmlVNb4
qSp6bJvbZvzQzkwqFr+mJ3ZiZ3laV5eujA+QNpetuCsxT0i/2dymlIPzzEyOQpnnc97Zf2lh4n1J
wzhKONcwhXfuyq3UHdU6Sn6yrS9BIZc7XTi5XScxGXhj5OaL0o5WQBMEA/mK2kl/aHBZw2V9HLKD
m9XjcZgVz7cbBOY46/q/tw/3xl4hu5TyilTn+E8e/j/eHbDvSEvhP3+Aa2j8SuJBP2q1VFFthxnv
5duDbcy3C8CNbEXiirk+LwdzFSoRmjvwwoZ1+eRmnXEY2iE6kf4JSGx68dOwKJDfHnTjCxmUQjgX
C+HgutfaODhvmM1Cg2us86Dqe/3e7FX14Gndf+gHuZK++fqIU+FffV+tDoveuk2L0M5QHLGTNYIB
a/ZjaFAXuf1VW1Mpj/ersto18HVx3ckqctp2g54qJ6Aw+aGF0HRnC+DDuLnFj44ZdzvB7tZUyikk
dSCXhu54uX7L6NqRLk043L7WDmaadidTqvt0KAydb3/f5lCEffzHs8C7czlUPqqJhc8Vfh+FHt9J
//G7zhNjgM74HuhvK9mk6wp3BaoMJIU1BD1J1AowAGWIMuGkZYhuHGgSxUekLYrAzqUeBI7qxzQR
U4A6deSrY9buTK229cHoIUpJVZBGVxqMpiNUMYSo/i9z0danimX9TNEi+rI0wul8BwZ/4YsMV6ez
2w7wHidVCOEXXZe7B3txokdHm2gIUgG078eysTyEBqb5y+1l2Yh/0MQhPH1t8SNMfLksQ1xXObWB
5uDGU0nTJ16ORm98aRstfwg9K9qp4m9MCgw6ZL+o9xEcrAGnlTqDY7GpRQHYyd+JOqxgYIbRkxCL
uveSyc27egwkZQ65XgSGSHNWQSVR3xAaEyUHUU+hfTRmpw/0xjSGgzXU5Xkq62pEXiAc7zRjVu6g
vUeFbyuWcnrzFEvbGYIFGBGoZawOmbDjzkkm8ix1mONAGwUoaz2Zj5bXN49VWUdfb4+3OcdA6CQ9
B/3sNSJGqKQN00KGbni9DcqMmJ3CR/cwUB94c2BChuMZ3FsoNnB/rKLnapo1vbONBp3R3Dvjj5Zj
VxKrp6Lu9nCP118lh2IQ2muQHuzVRm0LMSF2ZjeHXi2nkwVz2FeHsD/l4S5P7PpMUIEHJEJrkpcU
9NrlmYg9OruKrjQHtTDto4oh+j0xM/aHcNwP+hzuSay9lkUvdyoTSEZA60pqYa2Tgrg0nYo2Gt9G
jR/T1cG1qtOgNKblD5yRd7OYa9W38WRCzNvqzEd0DLzyiDhL1PpxNJJDGGOUD37olEV2FIVtPKRF
OPyduoV+CsOky4JmmrQn5m7MAqEb8fsoQq3+eHvnbVy80opIygeSUnHTy0X8I/gIK2W21YyZy0xz
/IeyfnFfOW12Xxbw0ZB67rojAp7eHVoF6r3nhuo3S1jNHjZla6tAF3vlQbNV1szyuKq6tsgTTLf1
OHnPLkleUsvIfWcU6d4Xy4r2auloWdAgxBlJap7LvfTHF3tNbBiKvNAye7aey2mkvGB0qXIWeey7
eXqKbXN8suy2OkaJN5yQzDtpVrmnCXsdPUjJTRJY8OevSqmXP8OcjdDtO15XIzLRuNad/m7K8bQY
m5boPe+Sc2ame9X+jXNCoAk2m0KgFIJYrbYgOZry1moOXuNCBnKq+Sk0kvZl9DLElVAkzPcUYq7r
BIhNgLaEWSu91dfxyuioZRVOyJLXuQJWoFbnQz7qzZFuIf52+AAHdjKqgTPo9efbW1uGzet1pnWC
DjstFAn1v5xgyoKTGAWFuDnGEVWUVfrs4o28EyRtIN35QKhWUnBR1nJXU1r3bbaEk8fVY9aoTYT2
XN277TzLmjEhgjbns35UpKN2NFN+TRMl/TwWiRaoXhZ/6Nwhr05NGMenJTbc+9tTsHGseMOADuMM
Kpdh9Z4qbZKlepIR0KSV/tkE73p0IgAwgRZS79t5vbc2NL1XSRTBzsReg2tqKudUzBhMURFiw8fE
PMSd67zrvCw81AqPtkWlbGfQrQ3956CrjN6qq6Ww1ZhOfJ/Z9CeQQfQU4gXTDvV3Ay2gnWjoejtz
ZCVTEqAUWes6r1fVMUVHZWgw3vPme3BnjV+HjXKsmmzxe2cajxQwzbtIXfYUXK6+lH4EVByKQNRF
ichXXyoSZ7bp/cOLUXD7OZtmExXQbBsX+6RwmcUZNbFoz5biagORjRIGkbrBmwQZtuoOhkuc5nME
a7iHb13c6b3RPllNiNCdrYV7N+LmYNBhpN4HddjX8PyPi3lusw7lnQqIEbj3xyzXrWBQMifw6tL5
fPtgvKa5F5cDIj9UG2ikUabRrmSyZswvi1KdhyDBAXPU/Cksvd6fl1J1Tks9aMtx5A2u+O5i/kX3
xGpPVp6ama/XnZocx1qFdtipaR+eMrVsX/AI7eY7HDq06DQCbfl7iZP+Z686JbD9tEdEiFvPXj4o
WqSEQCqjwT3aIpq6Bw5o9YwyT5QfEp6Knf16tWv4TkqGzOdrwrBuTpQQtnLH6sfACyfxSa3Gh2hU
xFPa585Dblp7MrBXS8h1KwEqsrpm0QmV//7HEmY9bMoYMGHQFPry2+rU+aFCDeiHie7zzpdtDYV2
CtIepIy0lFdDRZbIa6XszUDvS/HBKLTisaPLe8ZyI/rr9m65utn4KrrIlC9A6QKFX0WXfRtjndgz
lOj76RHRRzfQuiV+SHPsIijH60+0KM2dbHRj5UCxoA3DTAJoWRNQjUVvnLAKjaAo7fJD4iQoLpeo
BDYj7qxdt0cA2PrGP4dbnfQSfJ0URTCCpcBL5dy5kTr56hLVFHtbtNQGgIGT35pvBxYyucDcqHLx
egJPNi63TDK5emj2KI6P86T+yNAQ/l6rUf0lz4plp5J/dXkT9iBBQ+mE1w2PqdU3tpoT5pHE4dTz
oh7bpFZPU2/8u5hxciomRUerxSn+rVvk8t+8gRjYwUiQxSRjWG0gC8tiyNCtFmSdUx+XUVc+4+H1
L3bGw8vU4fJnz1p5vD3mxv6Bj8W5kB6x3HGrjx1d4VD3ZcwhBKd0KNu8ey6wpEOGRTeboMQs83R7
xI0T+VqDpupG7YRu8+VKtnUXe/0igDl1kflDU7v2ZTZT71eJu8ROFruxWxEKeF1NLnHg+pdDKTnu
5EXrEjdWnSoKv2toF3xwutJBlL/T9YPeuO77UeBY/fZvJHcAsU+eTgYhZ/2PCy6pUSQ2UDkMUs1Y
luOARvE3ItvG8XOvaHZgm1sTymZ9JWXxrWs34cbRuyyhuRBY4zJ9Rf2ibTGdd82T7Sbzzou4NaM0
D2mNSKzMFaQRXDQc09nSAscLm9bHoWN47L2lwQUKzNkR7wVqqGPe7zTzrpprHEmCRfBctLQZdxXV
cKsuad2YOsqYQhnuZzpIZyeMcDau5wi7Mihv5seCaPVzMVj9v2WLYPLtFd26FID/SjdXmij8kMsV
Jct0rLGtDaTRG2307UXz+juzyq2/8qxRCfHG6hhDDwvaOWr39G22Pp+QDtctij5yDi4HN/Spnyp7
NAIrjMv8CIAuqv001OtPmYelo1mF2SN8aDtA0GIAimK+GWnG/MNooHlE40g+o5c/IMMCpsHpz8BZ
0CiDwe1UPxGeeVbE8uZyEENJCQEpGoRMyzo2iLUsjR2PiS7GOAry2O3vCuT27wtw8TundGszMwSI
PUAniB6u3hQ9KrWocFIDPC7SijQ4sibAmNf8RS2lsn2dcOtxULpdl9HrOxeJHY4PyteQu2E5XM5m
ZFUiRLd44Voah/c9JbEjiIXC8/nr9JdAUXgn/bn+UBe2BvGyA50Oy6fVgF6UNXY7tEuQa3r6va71
R2RjFM3P1NkicLDITqx52rl8r5tnLqmAAS4f3KfUrVsdmUlX83RAxC1IqgimxjRM2uNoWuFfo5lb
n/Jwjp+6qBXOYRalfQbaN8ILcwegHJ769+3Te31FgickapDcH5Z7TZAd7Dl3x0xBmRoy92fVmeJf
pVqbz6Ksy2+3h7o+qwSBkI/li0oytI4edCMajLRJ4QpWGY2JQveOsVeq1O5a63Piwh5gTN6BJFUe
hajCnT29sbeIQaUmCWgm86o2Hs1OaSPXvPC6Nkl5wAJej/wUi53sYExWeOd5ebXD79vYXRL0A8Rd
kmaI0C63s5ua9gAbYQ40D4/gIbcbOg2Kd0xyZ/mlJSjkZ7rz4fYsX1/HUDHhStINJm8h2b4cUzFi
IFo15OOmTZIveaG/b0O3+sh1qJw1hCj8hvJWADZgj6+7tZMkLoDrgtyekvXlwFGRZ6UXZ2qQN9p0
10169KjkGM1mXRbtvOuv989l9gmwl8vJRRiBnbTG/sGQa/LRmpbAgKGPuyOajPSZkSCQ1PaXtphG
n/60E6T6ON07WjR/TCjhfm6KMXpQujx71msnOt+e+K39BdQS0CN4RAKA1aFupyKtkDJegmTB+daP
7c6pfLMknMbQ2yrvS89Ksje/vVKLHPg4Dz+m4msAfVplUSZZ2UErxPjkLZr+NRuinPqZUfxdNnP2
iLWUE2gZBdn/8LW8RqDIyYyh/16utlahDoLEhhrAve9eplarDhiGKN+ggHYPTRyFO5fH1u7i+uA4
WXhCwtW6HK8AuTjCwOFliIr+NE08eTDx+7tqcqudN0Eu1GpzcU0xm7J5Bbt5FVJVhZFUyO5OQZFN
3Qe0802WsRu/3J7AjXNKoUZmU0gmEwmvjkutJtnstukcxKKYagQQDOe+LlUDMIlIz6oWO6xq0iFR
Swlc2dk3GxcTkRoZANExSdW6FobSeD20CCkHS7QIfynr+t4So/7S13H1iJJ770/aVB1vf/HGASGc
4FmXnlm8eqsltJBQs5KknIOoaM2gNM34IdET66QO1hd4hfrd7eG2Lgn6oNQcqIhRhFNXb/sIPkss
A0b33qw6ByQEnCMaLxjqjJb9AZ3C6qdmIuU8K/xtUuuoPjaNat8leph9TlAAQYnczeKdV+i6R475
E9cE4EyKkYgSr3YXURyeGm2HxFLl6O8zT1nunaGvP2G+Vv6KmjI8qmidPmVjE38XsBV/pxJY6kMl
rk76CMSHNvn81HEDndUMccCdSZOLsN781LrkncrGpKZwec5mZRaoBg8T9NGqrQNDjGMeJHan/2hV
Q3FOjgJE8sFWo+j3WER1dMBJQ31qIzvbE0u+ZkwxU9SNkGniKZNeVpc/pUiRLKexhTT+0MatXxB1
nhBfbR+l6wupY1IaD7Oaz2e7nMe7ovLK3w3etNXRmML8UDtK+Yw/o3mXOKJ4ysAifUOXWLF2dvVG
VMMFSPgklcdkZH75K5OhdtJyVqcgDatJwH00k0d9ropHXkjvZ2WqKAJWadkxlSVqPWo3h19vr9nG
YQYmh3S9FISQCIPLX2DVTq5GAjOTKOHqeIjiMH+oh3j4YuculgJD17XDMXQW9+1PACVghoTWKuX4
Vk9A2tX6gHvMFAjcv/JT04DY+yduDKU6lTpWPOekcgr9/s0fC7kA0D9sdZcy/ur40AM3y1I2vCY1
acTPSJnjc4oXR33nZnmV+BEYNPVBK/Q39/2ZXnBuvAs8swhCrA4GNnjmBLKLclCTiTqY0yYOUZ9Q
x9CP09Co9u6JjYMohdhIhDCNIc7RL1c1S3MdNlqmBWaFwAqgjTF7ss1ePHrD/MuAanBK1f69HkXO
vRlW+DYWav/p9lzLA3Z5F1CUgEPM6w47GgnLy59gGumCBpbXBvid6d8oDll4uVuV8qEtl2GnWnvd
Rwd0TRFT6s9DdeV5uBwsRjJlUBfOyaKPbfVYcDeVgZHHzg+zB0L5XCzz7J48s5lB61uj6R3asFXM
x6krqj27nusIAHwUTCSAvAS09IsufwtM/sULW7sPnLSnEdnWGgw9+vk7B/f6QbwcRv77H7WwbhQ4
G7tGDzbGdSOMVdz+sRVo0dVT06KkNpin2wu6NSBnlXoRijrULVZ7qkvt3pqKbAhUO6/ObqU590ox
Y+GtFbEf4vp0vj3e1jxi2iqXkzICHLnLD3TLQcMhpx0CY2ii52ppy8+6Ne0+9PKiWe1TDXls+rNU
RViv1TxSlemxYOiHoDab4t9UYPXuYSnwfig8ZNrrwp0fl7g3/MxJww91phjPlYiKoOtH9/3tD5Yn
Yv1LTAS2LO4I4pk1GTBCQVdHq2wIwtrGBzETqfItLXTnIdI0rHPapUkJ8vTwH+L1bK8WthFaUAmj
YINMO/2jq/J8rRiKESG0icZLgqtW1XrhozO22WOpdnaNkILSKIe507XvcRXnh9AU/deu7n8XcWd8
bpMlP2Ying6VNjhP9Gy6j7cn5/qllD9PmszKhqi9ZvlVoAhyHYUYvE96QYUZRdSPil3Fd7MiDMOH
reMAqhrGzC9SA5FL7oudkHBrP/JEA8XjkiF5Wb2UoVuaYePxC0Yr6h0/DguAn6nb7tRkt44ZWgH4
wgIHAQi5uj6yzp0HXURDoCjq8KWu1Ew/zkitzXfestSnAV7wzqu4+WFUsuxXA18EAy4PWpq05uhk
oEpLpa1+G31Rvbje/PbaPRG6pLAD0nDAbKyOsxiUEl4D91WZd+qxU0InQFBODeoK+NPtvbLx9EjR
d+ZOQk+umvUhr7jnxqAXlcFN76px9AIbhdBjGHliJ4zZHEqukywhM+hqU/QI3+UJuMEAhD5ANCj6
Rz3WU9Ch8V6JZGtjwIxiX6D3SkVoPYFd17jC4v41OV3vEjs3z53eq3DAK+MTHvdv7vBKyXJeVdh5
YC3WzxjdhlL0iosrBQ7Th7AqmrtmqqNAa4bwdHu9Ni6+V8UIEFESKbOuw2OYZSBSaw9Bh8oPAcni
STWVFLOhoT3rkUf4rpjTkfJxuHOmr/FDDCifaaCfsh5kr6KUWMcPi65MH5hK3H4ps9lJAt2AsaEl
FE/OtfC0H1Ms1NZXrWVBgnWkvNnORKh+nBslnqad2v+UPUDjHEmzlOD21GzsL1qX1Bylg4Mk3l+e
zWp2RUtvawxwwrMh+uc/RGks5yWyd+7XjUvgYqDVtdOG5NVjjPveQht/CpawipHH66x2p/p2nW+Q
HIJT4lXHu4w2weUH9WpXI0zFLtaXBZ2oYWjISTXl2JhK47tqqb4oTWztDLr1uMEysanUk+ngx756
5HXK9IBn6iHoUzuuDosydx+Q/K8p/I2l/ksRhVoyemcE6SyS0U9QB/hQGkJ8FPUMyoiLo88IcsLo
MSUhvOPETN9ur/TWxMBBka0wYK3mGkSbCS2zTQEEMdUU+3NugeLCNkBBT9aj3pHCOJ14F/3bg25t
L9jd0stXyousC2Nq3+ZK6oRD4LKZz2lc/QT8SYFgivZY+ltnXOLzLMnH4l5e7a8wbZcWZBHhhReV
P+xq+J41orpDFqd8UrohvKfCgn1ube4Z2W70SwhXOYA45EHawBXkcsfBQw47zZYPKuLvbVC0TfWS
zE7k+XM1W3ew6vNDQSqGX7EmxjNaK2MwtuhqYHvk7pleb1ziMimiYwJqmSxE7oI/ovYEtYpoyDVW
uWjz+yFtKUjE6rfOaeYHe6r3eKIbURPDkX79jz2wZi4qNBGGFGBpoGvx8LGOYQ7iBCSsozXWEw7C
8ZQ8RmVvvbiKWb1TXCyK3r7BZCGG9jJ9G2KTy+/VOXaQir0uUBztJVcy4+scjYK+3Djd/YeRaKTS
yZbuKGuwXFaImN4xIxGKTkfknZezYjfVKbOc/u2BOvRXOv5g14hI12WEtFzmrOjYG4mjj8mxdS3k
zilJ+ljdtmcgbd0/+FWpygEfT/3t1wTNYpTAaAsBC1ybwep6VGVFxNh9qdinXum8AXfdeXx2+Wt9
MMu0e5js2j3ent2NjQR4hq4jt4XM6FfriEgJdjN60wVVlNjlOVPhVaemQk6fhMr0cXKMsb4bdMX4
NGN2miGOYe5lKBs3CGgMSrG27IrBa7jcSvZo4UmthG3ANs1O3px/cuALHcdF70+q8MS9W5lx0PJa
v31ngU6QHohc6zAcZLHljzMbJk7jjV3OHk4T92ejKuYdqGJBl6jsd15hffMjbYBD8sgAnV7FI6W6
uOGiStuzybF+NVUXP9Aa0u+aIR/ul66Pgziy44OjJeXXvsttGx0qwBKLas5YsSNQEvnoX433wzQZ
AS7FOcLIc+kAO0qN9nstjPgOQKf9bkR5wggweRt+wtnwRuZzGR/6PKmxFMIrzadIVB6y1K7P8Yxd
xu3dtPmVkv5IHQ5u0xoX6brxWHnt2AWNpVSflWl8yJ3Cng8NW8ynuT0rhxHY+jPlz3on2ZG7ZJVk
gx4i1eFSwttyvZH1MnHjxmm7oNND9wcX56faqGCFwOxOAyvWv9z+0o2wiooUbTbKGPB21952fZ26
MYFjF9hQ4/MDdMZe94ty+nV7GPmGXX0VQToysFILY92Id+o2HMpY6QK17ic0ELIiiXxLtPODcLU9
HcetuwBIq3zEXLhnuvz3P85Dp1QpXhkLmZxizl8a12zKD0sXhuoBqUDjmdZJPvsDpQTjMJNNH8fM
qnaSk2u3DvwwaB4iJo04J3Hx6pwoiCkPg6HVMP+tejpAjw/11PdEGz7ZS2lEB1Sjmq+6UZnFsxPD
ARB5h1NWrXfa76GznKcqLcadXS3f7tUiENTSmSFSB2u4vqBQesnr3GgalK2d8UnqFqC5anWnIirn
Y9K0qBt7A4pot5d+Y1SoxBJD5BFW0Rq6XI1YzxD3z5Q6GERrf5OWa4YfZ9n8WcN2EJKHI7zHLO6r
328fFsFXKeZJu/pKubFxmwHcaMywqavC5sFO+imr6KUcPDUqYFtkYCV4qXaO79bXAnqhoUNdG3Ls
Kpgz1ESL7XARwVBa3jer1icyBzNM8Y1tInFSu7I/2VO06w6zcW0A+yBClh1P+DSrtEUttSZzERUP
RMbZeja0tqwR1/XyXzM17Y+p1xiZnxt9fu5ns7SxVMjgWmP3WOsgzePlgXs9pZe+IEvqG/jaNn7W
DbbpL5US/XN7aTYug9dkUbagWZp1JKRZWTwKbxSk6qWuDr6Ze8n8Htaht8DXDHvUQd4+INc4HT+J
4KCQdLkFwZEJity5CFRHgLUnis4fm1wkD0XXRHt1pI0dwOGiMCG3AFt+tQP6yW3dmOc+CMPU+tY2
9pdKLMWzmxRRMNWDOCV1tBcBbKw+RixEeq/VaDb85QfO9AzNDCeJYK6UEIhg3jqHzFPzyE/sevxW
e+NeWXrjjpU2cXC3yBNk7n85YhGp5tJ1RUPhKh4z+Avp0p1jLA8gjCaeF/uLpsTPDuS14mFcalPB
57fR9b/evLBoa0OJpeUsY+rVXCd0A8KiqetAKwD4zk5j+ErkcI/F+jTs3J5bc+zQ2yY7fw3xVpvI
y6kAcJzrIE6b4WOk5fOXTB0KxOhd965cRLxTudvYR8h+YUNncWPDOtcvZ9gxqW2ABCEhzLX6gy2G
SYFRnsaT79pd+q4WIRGeOwx7EhAbEQGcOGAbQCiga60brmjRp5be0qpKwMAcYzvRA80lL37zykGQ
pVxNL8HAhmxV001UL3G8TLQBUqHVoWrM+SFtnRTt9qx++0TSiaJpQEwlx1yFA0s1d8Vg9F3glVZd
+1EGsiqrIvcjM/APnB7nBMMgOt7+vo3d4pmSOGtLadsrwHSSVkNVYGsfGHZSPiMQMj0spl0einnW
TyPiGjsl5Y3d4sElIcD63/u+mk83y7B5rhnP7rv431ItQOp2oAWEaswvdapmH8pKb76//SP/j7rz
WrIbudb0qyj6Hn2AhJ840gWwbXlfZN0gaIrwLgEkEnj6+XZ3a05XkUGO5m5CoW6VygAbJnOtf/2G
OQON3qmeADN/+4hOVSPlZLXjpteOP27ZYov1wNUOz818Tp/GWohfAQbfmxAxdkAs6p6QspO56LsP
apVuXqlFgRiIqjOi2V/mZTeDgNdFlONtVWz6wbQfrdxfy6OlgFd36dKP+1SZlJxObyZ2FDqtKz7X
blNXN2XPa3AMs8GysNmTRX278lLOkavt5CYdmvRrNnZjGBVG2F4otQbPVRvUaOsGW/s7BsjVrywV
vruVvA5s45B6oHwzSXq3tNK/6QkPZD4hPJTbgn1qo22Jn1TnrIfCVV+4BI8/v5HfHxJbZLAJXnj0
6t/5EWUrPMSyad1NX5CreE6mHcFsrqJfjQAK5LozSmqdswlqza/Kw++WGyaaDFzoX9lGmJ69W8KH
wgwIekrdzVC0KCVTGehNnnDvf/FCnv7Om+L3dBxWU5oCpt/EDr99VocAGoHoSxeHunleokVqGbea
hBcPQlz2i4Lju7efg6E7gR3ItkTl++5g5GY1p2wuF4pmY9+WQ+9eSGmT1pcl27ae2Ax/fv9+cLxT
vQkVl64R/4Z3+7/wa2mI/HQRzUQg0l4zd7lah3VeIdHzDN+HdoOC++cH/cFDw5yMYpMKAJLd+3ZC
9p0ZLql0N6teu+d0sXTUMX1gBtuLeJBjed4Ro/WLg/7gNlLjMAcGfgCcf1/KtXaQTUNeeJsh641H
lUIaOxSN4ZJL1KVy9/NP+IPFhrEYqw3dCyUdY+d3D42YKrOrQnsDLbjqomHMnIu+gkwYUXYUt2bQ
p1ALRCroz3shOxr0wri2SJy4y52i/ib6OgzJv1hqe4NUhSwBzxyU3oucMPQYmotxcFQ+dhEZbfps
KlAtRWI0YS36ydgWkWlgtBZz64oXry2Xjz//eN8jz4w4zJOvL8DZieb1rkl1MpeKLTw1DWluXkDW
F3MU4lp0YvbKQkazDiZ3S2/XnU+udPvYX1xZRIbOfcxIWtuvDz8/o+/hpdMZIZ1mwgBMAALy9oIT
pZeRJ+K0mxCm2YxNYVcOO/IEV2MbWotgxLGuNCXNABUhUrKvXgkyL9d4TNsiR8du4g4jvT6TkQkL
vcFiI61bHlDTMXc5QoAyzoeiuGl6syL3zvaWj+DdbocbIXmrJ5l2+LAIPxcnv7GMhsnyxmO+zmEe
rblrobHJyu7Lzz/z90+0jzc4CwWOc+CG79GKpeoRPi1Nt0F+h0FoK6qDrEcIDiu5Bj8/1PfLBEIg
Bjj0QszuvxON9hJlBiHWeK4HcvqYKcdDR+VZsUfobRaZdIO/eFt/+IQx16JJOFUItnjXlkoMM+sT
GXUjxmLesrGXsVPJcktgD6JK1SC86QMTjtnqblcYG4eGkEMiZNr8TwbWf33R/yt9bW/+XOmHf/03
X39pcUjP02x89+W/rrvX5n6Ur6/j5afuv0+/+n9+9F9vv+Q3//rLm0/jpzdfbJsxH5fb6VUud68D
Ptt/HJNzOP3k/+03//H6x195WLrXf/72pZ2a8fTX0rxtfvvrW8ev//yNy/G3+3v6+3998+pTze/x
oT81X7/7hddPw/jP34TzOzO6P4OX/ozF++0f8+vpOxbfIR+UZe1kqEJXzKLWtHLM/vmb6/yOERvu
VnAT2Cxpln/7x9BSMP7zNyf83TRPXuM4P9JH80O//fuDv7n4/3Mz/tFM9U2LQH7gmCfQ5392YzjZ
pzknFGEitk7s1/dcLdNfLWlSksXk9SKUtHlzx11hpQ1+/Knh+1HtD2TmdaUX3qx9htlTWdqsmxPK
zf+oE/njVE6bGIRgxjKnCcLbJUc5/dwP9PPxVMllm1Z+sp2kvFswy//F2/D2Tf/+SO8KO7/tye7o
hBnXuna3Mg0xxixlcU2L9as8lh9dYPtky42S5CQheT9UFG1XDUaDT1qzjmq/qmGOtUV+XpjP1bbJ
1LRZnH6MirCwo1RosQsntbz87XH8667//S7/6PP+/RzeXdnVmcjgAlHmfc7ya9smUy/BwO1OW9mv
HJfermx/Xloma0QOwKah2H+3UbuLquek43lCcTtdWDLEdQmetKdh4oeWEaWIZn7Virytf/48JkDq
CVai8cLB6u2D4xpr6bgZH6/gLmaR0RtsWIaRYdQ4GFdGaYooyfL1V1vkD14dXhpQPuc022N2+vaw
S9ovFAS5dUqzap8Da5ouUkIBi+2gZi/ZtfDD7Vj6DSpkbDrDjRMmlXmUiwzUC8L22ju4Kb0HIZye
7Ddt01CVrFD57odxNW4ayO/ddSfLMifRLGvVjU8H4sf/+ZNxcvwBmUWY+Mc693eEHi1Vq+BhWbHv
lGKJZJoRAVvVObZXbBa/KHOCPy7Ju9UGT0QuF/Itlq/35TiRn6FugiCMW2NdVTRgnx2ywuT5bRs0
GbOkKeuSjXIqo4rnVPgXPsCtisbO7UDQ1sTDINUgDz7u9EBVgJd/d2EZjudvZn/0e2jDjT0eFCzy
ZtPL0cli0DD9wKTRsiKue/uotK/rxzV38gy/5anO4wICRRABkCl1IN63/yZQQ+YR9ITmpskQ52xc
qwFE3vg5MprFDgyKwg5hHOEhiWwZq4Elbswpb/Ib2frOfOj6YEbJL3tC2IymXF8aKPvVri4c4V7K
YIIw4I+pcS9d5XyeajfrdondrDQNZZJ7sd3P88ZMupwxxWoEX6zUbBoaZksa0RD0wZ11EmlKf3L7
aLQovyP+O04bz8jGaSsE6SUbPVnlh9Hsw5vJrpMxIry4e6SXM/3LWan21sXvtt4v7dSywler/xiO
uJzEtPTi2pdD/5HL5GLnPYvpK+i6v+wmJ80lCcxJlUSDn7qvs0O8XzRjBYjrRFUNXzxn8Z/zevI+
AMZoK2q7wjvDVG39MohiXajhWvsDKeTrlcSc55Uqcr5VLer5aO2T8qW0gzbYyGZdg2hIod2MpRbZ
pm4792mBY0ouXest94VskAp3a2ver4aRplv6SXUflF1wt/qKC1UpscyRLoLRwUKhWg+d21ZNJKp6
mqLZDFboHMEwBsCgfh9GRojVUsRF8b94jU6K/Voa+bexcEhPYG5dXjhJX48RD3M+MwZtZnXtpoM4
64t8xlOSzfaOPdOvth69hD9FLQ5X65NOUlPtySRwvLMMTNg5ywMlkgGf8lkVezTJxWOTSOHHQQpP
NWqKuVRR2/ryccBK28bEMnQ63INAJ/Bgrb1256vByyKHoeQYTSoBFolw6yejg/H6kIurmbROcBVr
SIkikdSBW1n3+jY1zYYukJ2mjzoWMzs+mUqhOtNt9cXOylxvoQvT4sgMm5woXNT4glX+RIS8Yaxm
PCrfXQ7LsLq8Ko5fAMCM/vhI+NawxKTP5nbMxja21OVr6W8pdYZPVZ+k1kUPLSKau7IhXHAt5ipW
oTCu0jpL3IMgu65BI5p6aI7XTnqbRnRi3jvk8ehdAF5HboSd8CjAcoXCwf7oE+3gzq5bPLY95VQ0
kt0D38lb+3C/oFteLhMgKONSSMj0z5ocMrVtut7td10zav2aDFmhj+mc8Z/IJ54XZ3zh6+qz4CVz
4hD77KvWaerpafCSTF2LUZTZNSNyFz8VXpRzJ12yAUgknczbDhb0s2uOSRCtOInJPSxIIzZHns4s
xjekKViimiWFcxnK8YpHIHw2u6XzjkU/+2FEQCFYvcCcaT1qLUfS0/yCJ9hLdLWx/cy5byyRORGs
ETsjySY0L7HbN1IGdiZzoTHHjBkP5NCYDl5auctWWSYrCItm61rPLvLcG79L589w1lf1IamxpRqj
skmS/qX1PElYYTtPZWNeZkL1NM3Ckm59nthJ7x9aL/eUHys1eg2Zf7IXnRUx1/Kd67o0JhTroTlU
aUXhlAPRHxOjNjFogu7xUE0u4Xl4ZPrsgo3rdJGdeWK+FFOJLdXsdDyEk2CUv0mKlKjY2dLjQ4/h
THaoC0t3EQmiitQU/hgKRV+Xz4tr4m9oLV3QxsY4ed4OBDnd41VX1pfO0JXiMCzj0N5P7kK73BSN
91ROnnrwCPC+MCyZXWItvaI0JIPaj1bXSc+hz+tdVuL+7qV2GWsTn9psVd3j0NrJvZNp1UZpr9zN
TATOFFW6bj4lWZXs9Nxb0TI3y92QdcMjcW0gkWQxb7w5UE+JsUy8zmmySXxvK8UwbmdDX1ZZr6+K
ovrUOgkkC/zXJARVJKbDKDGdGip4QRn+hY6YfQIHUrHJRgPXKqIiKujySpmRO1nmObYW274Myq3Z
9dE6Fx/TgkQZx65o26ZsdA/gWfnOkGH4oZxCI0LAdysZK+eHvHMvgD+Sy3zVyRYDiZ2rshRQwfTO
DYkkRLer2rEAobibkhRb3fWezPNN0Pj65PS7zKTtmt62CLHAtDG4UP6wX0I/ryOHmOTIDNIqcjIF
QFBW2Q6nl0Pi98/9mrUsRZ0OPg2YwOz8tqoPdGDTsZRJ9THUQh/m1lH7emTh0toN9iGOIguclXXZ
do7+0oTtc1km9OFttl3sni1AdOUf7JVu5+ORflnopoty38aHbOhsE0pk8uLMjoVOD+JINAV+8tkK
52ODF+6hbMSXYIYZHRu19dKXqxETn8puPhTlfqqlSUJqMZtRl7TPiZ6952RYuwebVS+mxgxuDagf
2xqfD+ay07ci67ytgXv0MPRftJ/Ijeqr27ZxjyEYyN4QxTOEu5s5LPS+qtmly9O1KqtqhKmJk8oq
lymME1PKyKoadUwyCTTiZmdDbj2IynbiprUwvkc1u5sZyRwKJ3HPlpKhWpP3NqaMUHgmaoOazckx
PyS5PcpNItNlbzXCviqQIbQRFkrFRooZ0FEqUUWq7F+cps/uGxh3+YnJ2rsbmehAYDnY3VTe4u3G
HpYllezDiZ9/NecuO47om+vAs85kHh7qTnRxMLSfM7S8ZDOfCbka2KdZwzEY2/WMeLXr3GkZ8E/D
RYZEIU780Ijd5rSsYCqyFHCH64sOIso3KsXgs7+uBqjLCuDghZowCmc9L1Zv8PgLYsHdNyhYDfwU
0ppRQ8acx4gXTlxki0qipXKSrSOzY5ev670729dT4b+aE79DFrc4EI8Uq9b8Njew4OiSrzuMD2PV
BLDQyAvrjPpLEhRy46wBrgW2c53Nqfqg3cE4Omt2W9L1llFfTGkkRG5szM5ob1dT5JEldbPx1mpn
D77c1Y2/mQLY3v7QbydPu1EzEfY3DyLKjXFLNQhz1Z3Fpq0CtUWffNtiDbjL/PolHVRwbzfWWRl0
M7aMGK5kUFzDJLhM3Coa/e6TEyqaGGO4N1RxHMMlHtLsw2gnD8uEC5bq5XmHmHzTZemnmkjyCDyC
CJQ+uaorY+vlXb9thj4DB6Y9Sqh6JtgtQ08J3s9tEPu9Ze4zgLZTfFmw6YrWpD91jDgcBD+sUifZ
p0VBDNHS5t6HdvHhDy3LN7C7fJMhtR6mesV4+nNX224kEoELj5fHbUfwTO4vL9gLTwwwp+1qhOOF
HSyst0t76VAQzxGLfRBVazo/BjrPve24GHLfSBtxsOnNczzja60oV6TR8LiHI1VqOMIZGakdP6Ru
avPHnGz5LKYeuFaPC8tenxQBTg0yP4Dxr7e5l6T3S66b52z2BHa5bt5z1eoUyxccewMyUWZhvvpj
Zq0EXUxw2xhYFX1c5Z5xgjrrsYnYSrn0DYYQG+oTrzla2SCCyMWpf/oQ9v6a7zFi78MjyubxqlBL
4uysxGlvSlN2OGsmoX2ozSE7IxvvROdIvBPyKYU+miUWz4b2sQhZ16ngyRma0o+cMLM/pxau6rGL
9DTfFrYtv3EZKzKFxsYEeScBTi6BhWFrMuFOW2I3AUDKrD/bQZrzX8JJOyIamsVVxw7W7dUA1sNl
NMzkAYxbnfx9fHEXLHnVYlhpFVfmiL/jRuJj88maG4uNACxK8FC7Qx5DnS6BJ3O3SLadFD28/9CE
CQxlhcpXuCsSycQR1rBR5HU80fred3WXBnEIiJNHJqkCODM2WaEimlv+t3JUaEUofrJvXWKBKk+D
k6L0HYyOQWHbE+7gTUZ+tGzVvqS2vWxnNxFPY+iOgtBKY3ieQx8elV4arpIv0LVHeOT6a0xIl3eR
V/ZoovRUkv87ayRPOlsXUdnWVD95/pI/5WnNg2oJnCutQLONwRgNclw14F4jbUjky9ANBddqqdcT
gXXq4w6Hl5ts6UNnm05Jxt7AIJuD+2P14hd94EWqsbqDJaplOpIt2hOe7Ocv9dyoWzgx8wvs0/5Y
Td1i82w3vb31q9B9HmVCFVg1/bovsbkYKbZXX8fdDGRGHElIBka+TtZnleXhs5OErEeVmxasu6WR
4lCySO9x6AyPQp4HU0ExquY7x+/br6Wqa5altEeuPul+uZiwA8K3f5WKdmVy3H6LVb/T7A00Sq8y
WJwXs07cB9uruyFqofe1ZMu5XRKVAdmiG38yZhYuvVQdr2Izf/UmAvvitTnJ50dPWXdO5Y+3aeIS
MTRwkLuKpCWkOXNiqL3jjiXb5exV8ZgNEwoKO1g/J7Xb3i4Gwpi4d9PqKWlF/0VV5npdMtJvT29Z
5/IspP0DJNeRxtfL3HnTj2EIGdOYK7FJp2EtKGU8apZxXVMbL03XefGaJFj43CL/YgyYk7PjJrXD
hNodmPZkY/6tybV9O9kQkiJn9IdhQ4mwfgjWth/YZnzoW8OolmY/iK561ENioflp6uarMU3Q5oZU
9ndEV9CfoituuyhgpU23VdWYX/uESXGcLObsx4NIPWc749+2bvWyUJGu60xW3+ouy0VOxva86Vxt
fKxUIK3IWo2ujWWVJGukAj2UO10auo3qsgpOrm8LTZWLoW25zeaJASrJBvaOzpftIpuL1I9tUbl3
dr0WQWRQ4T9WC5PfyBqCiU5thAFPNhBZc4eMHL1+azAyOyqAx5SwwBR7tWL0rGPtLqm1K7Ni1LsV
qsu4L5UIl0u3AqmOcDMunow2rP3IL5zs1qdstSLDJbJu6zIy6Qj+C2QJ1b1uUgCIU2dkYL/7GtjD
BLm4TRpqfKWMO+JZdRCZOIUw5U5IIdlhzjU/egaR8fHJ586gwG76W2vNUwjj81IOh5PbaL03U7u6
laMOnXjVjFy3ssxUzoMlQJBVOY5FhDKV5TxhC6ddU7u1DnUaz50XPCe526qYCQfoRlolkMMHKyk/
/Rxge2cPAjiJdUHASA8qNIAoGPBblBBreQ9DsZq030abdyvWCccaUKjm1WlJv7WnxY9GO4STOgZm
MWzon9urThvpzvI640EMZX85EDVg7X5+Yt8BtZwX0mysQUD9ThP/t+eVh+5QliUyNGEvH1VeTNTn
GBu0U5pvqcfMm//4cHhHAAoL8YfL5Qmi/hsVuEx76U3ayzehW5cbkSw4HAA+HFACfSP9x97//HCn
q/oGaITq6wHRYcfICBNDhbeHc0STCkhp+Qb/12T41LeYaz5Br223DhFdy4s/G1b5qVe4z6zu6P0C
6PwB3g4wQ3UMyuL4sFDfHh3STwvKyHxhYQ2PAraRaBk9cw8b4Veyme9uI7w/uM3YXGJ0iZHvu1GG
8opynU6H0nJZd31tlxu7mGyMb735QD7Xr+hUP/hopw/FtBpHJ89775biowMz3RO+L3zJjs60/Jz3
npXYMP4znQ5vDuy3E3MXOpPwmfu/e2Rse/ZlllUcKg282DcpaqDy6theLff/YSh5mX+R7dB+G99O
IN9OMv8/HF0ygfmvf08IfzC6lOOUfqreDi/5lT+Hl4b3O+5BaOhR8/gnWstpmfhzemnY1u/wvpgb
wMbgJTN58v6aXjriNPLkATkFCDNJP1m2/DW9tM3fT/wNoj+Yd2Ibh9nHv8/trznWn7PiH08vT+/R
/7zlHIHZOSyFkzWYjUTDfMdop3qqVscs/DgdSv+K2XV+q4ak3wUqhVLc5PiVdHC+o74pc2LQvez+
b9fqr/P5+1ztD/nJmxOA6ccgNmSMD/mC5e3tiz5D12gy0O6YMzUejQFDtnESBMk5jT4q8NeoaxfK
c2cc8iu3NnwaFBCa7RooqswWgPVcu173VC/exyTvqEh6bc8PIi3Uujc6ZM072fjbRnu/mpm9m0ue
3mF2I2Z0XDcmZ+DEb0+9B7VkNEzz6HmLrg8LfHlvN+QdbQTMSP8DNJqp2oXaYGg3JqvIjwy0rPJ8
0YLgi59fx7erNeeC6A+p7R/u3RjfvJfaGERwVjB6daxdlwYfnaHlHby28oK4I5ClBblMkcpb5HzM
mzIzKY1+fgJ/ODu/vZEnZhH8sJPdH5rTd8tovywDkmx7xloan7ttqCbKLGeZSqynraz4zDTB3SHX
LIJNguE11kODUskBl4fR3OuuzrOzlmpi2QnDTYjOMMyi2hJJBTbt5EM+nAtznvtfDMzfadJP1401
n9cSF0Aky6yVb+8hqHrpWfA5qJkxmYgytZIPXOtQR6VdKdDivg2L7MxMHGXc1M4SOgBAU6tTJgit
l9yVopqH7ci4jbm+VdEHGwSLj0+/uLinzfbNxT2d6En5gZMis6L3nkZBmHu5maxTzJtUarrbYLo3
ZVvuusk009gU/QgHS0ytOBSrIbKrjkzUYq/Tjp5DmGuvt1iaWJC/mj4YUQzas/iFL9AfKdlvz/HE
2EenhJ8GM4r3JkQ85mKRrWjjsHVTeV31difjIhtPIOIye+vG7YgtrVWINRrR3ggovaACtDXQtB6a
qaOVSuciOFvbZPo8IP4n00iX83nvVp+LvjDaiJRlede6Y08GGZokAxtSw8CB35gTc7vIMHWAjYpa
XTNxSNw9HH0veYR2Pj/6oEBuZE6n3sSb6iD91XMk3t8ggEgKVChf9PLwvt5VS/5aiWaZfCY0adEV
MX6C6RTVpknVPJt1yqQhIXIwnmen2M6LMJ+zQNkXEs0Gw9qWDgu5VCH8X5wWI/x354VLBjZ+lBoO
1Hsqune1cx+OM5AakbWObCv/aLVzf5zHRRebEFSo+VyIms7eT/JmOq/q8djkJDhsixnpFJnnN7i+
JsB0Ss9Hv6s0Ew1jN5D78TSZ0/yw2OEHiOj2sUrymXkvqc3ZSfLsbwcp9UU4NvSmDSR/XzTXuQWH
ArH/2JxJAl33tikLuFOB+dCq5mvTJE1s+9Vjla7e1SJlDkqyLMXWgOsKeDPXcUI65YI/YGs5432H
CHYnq+Wb6j0GIl3zok1cNDeCYef5bJAshFIXfbuQWbWh0KrPUVFxJoZp7pp+hInI45J9LSVT9Ej1
nC+Pqh9sB5PA9cjIe/cS1euwW9bTBMqfprNF67sVXuU+RXFwWDvd3aN0vwfftiJ0Guah0sV66egK
Xn6QNCVStJ5kbu0FnwwEvXGR2tllcorDETLxXlhKzwZbOriQe+Fhac304DaiOdM94LhKyZEEiMMK
JQaiUPWmSoX73HsMmEvfuMdJPERlOjbHylrSvTWa9a7OfYndP07i/jjPd10rHsOkL68FWhocNuiI
FwPITuItYuTNxQI16YMkC+AFcRnMz9osmIqZxbiaZ+6MAPgs9MrpFYfa/mtNkK2rhy1tZ7kfKl3d
IAvWW5I76/suG19yEeqdOTWvthb9sA17TW6ELgeQzMX0TlEgsvhsSkweY82k0wWSSYpvwzj4X3t6
gJvQmbxnqZPgFUfphiw6b1aRN2bGlVN4+b4bLqk7hFNPRw8i5AGrQTjtZnNuugNYIdATPSj3YXsS
+YCL4/uwKXTGWN5L89t5HOdjusrkaKNiaPcz3OwrhZIuwm1ZgiKGTJnV3B7tgcBaXBWbvVBe9mQv
ILbNap8XaTID78zOWVpmRoB/W+XsJ5U1R1SO1YFAGsWqD8P8sevVF1Wmp/Bit5GfMDWRn8VsCx7Q
2Vl3QS6ae3cEbhmBFjwGuy0kzhWnnk9hw8xhygwk3iOkhQBzsWeoY4KpyYlJcqK5A6wJw2xj+pX5
JggnEHi4Q0HUTxWxAF7pTAVvUtkMu1J7vjxmg873U4FSHorGh9Rw7XsyfJKtoZb+MwtreZgd0b+g
Dq5uegVKHJg0WdZS4Jfg5YRhEO1Ipq9hPPQF9DG9+B5QSYDs21wFhFpDlOLRzdUcZTJlLfc0r2zI
iPBIrGx5sZT9epkCpMEoMQmKzPLLyjWYjmdOeGhczzy3ld/EOXTWPS4lnztznR4twRMbpYPQZ3Pu
yZ3CdzWua6c6q5L5hrn/x3Fy1E6bgTwCiGZuTP8I21JY88d2LfPbUEG5DOfSug0gV9wxFjCOQs3N
ZvGAn2TthwecV+SDBspAjeSXzoGi5oav8qfCbIpD6StXRY0y/CMD1PSh8n39WYEJfhgXAA7CJdBm
1Ejvrhaicw5WOfIPncHvk8kiv1ptOeSAOUXzcSwXdSBNu4q4SMshgaRfRmOVAFzbjawey1Xf2lVR
X2vDWz6HK2ns2J98rh33Nex7vLU628jOEUtU98jCyqtJFOqbJsmD2tcu2gvDScN9UhjZYQhW7yBW
m9tnl3Mwb5i8NXHCPvdYD+tXSZr7B8cY2zvc42YUinZwhsGYjrP1dBE01/ELxuW4m9Z1FpdQJsON
31j1VheAa6mbDKfdw1n2qZWlW0wIbZBZI9fRqvK53xKG0TyJMrCvSzdbI9ev9YWNkf/BMrPyTCTd
J2tM1C0EguIMwFDvmTj7O881yiupPUzFZwm42MjhKWm65KKapTguQbFAAFHjTV8N5fUwcrSZn063
ys6j8sTwlUovW1JOqn06QBKiApuf87IZr8i9Vu7ew+HN3SXVgK/1Uub9dQBZI8rljMFM7abpq4kb
imImy7qPyPTKG2gkZm8MtwY1FP8Od3qtXmEjqss6aJptXnvyZipUHWfQveLBKwom3MsTzIhm47Zj
ErWD9j5AWQ53YMvgdWUPWWUiwrONB7OwjagkdILGSt2mUpSXDJCzO2sW8liQfdCivavA6phS5UeI
Q+ZTT2N2QWihdwGI78dZQi4nQGYg9hUMoa10c/9gtdr4In31moetOCa5CM6o+BcdeYp/+AScexjp
zBK5WF4w5acPkH3XbksG5zstA/HQactYmbM5X43BDi+CrJ5gyIyTus4nsTuNdgujmx6HurH2rjK9
hw650W7U3XRcy1a8+GG9GwJseuJsXK1Xt4Ne7i+iuUmcVO4pQvVHPXXrFbOJ6Sp3UzhMaT4cvY7x
fURIOaTOqtPndr4u1xCL+4Ma+xMlxRIRK4B9jm1ZCuOse1ZrGJ7hmgd1DJ1Ue9EljjnhC8WUJ8jL
87yi61p5TvYwo5ozp7HVodaEasVJhf4XjcJr5zkzw7+52jmntSVQNdZhvQ4esCb2ELHjirWftbB2
deC097zZ1fkKAw4SvizTOKACj5zEXqLeWJ3t0rrG0+gu5lVOlM5Hbdf+gfGAlW/tJAnjJdFgxaqk
EeqZgz0QziCf+tS0PxizZpX37WJ+RTLs33jNyph1qFHtOXps05i3+ZNQzn0dEBJJvvle+2N4n5Ra
vkyqSu8V8OC3eW3LV4ySsts8T8qdNxoeQb1MHiM4OsidO2a7MWCvPnoekoy8y76O3kpUaOnibJ+Y
6MtyZL2tzMrL8XTPhINBK2MX9qoy7/JDgb9TVBa8IvZi9vdt3g50Fg7VhcbifF/o1YqZL1rQU1Se
3gqBfQYvVpl/tcAuzhHLAfp3iFm+dGbOCMxWo7Md52R5mlVn3ML9yOaNAZWL2RX+dx9gY7gICuvy
XtkuxIc2X1yuSvA1E+hnNpAvWQEcph2RJszshviJgVYbPv7ZAn3j2oA2AdGpyUCmebGqTRjy1u8m
TUBDrcr2Dhss0mVCc/k6tW6TR7pepNgxxPQ/inTO/ci0QLEjyr/g0YHmguTQDosEp14OaaMUGXeh
UWt9xmygCJ5cuKY7q5pCdkzgRd72GTgTL5ZO1s6MxOx/s3cmy5Ej2ZL9lf6ARghmA7YOh8+kk8GZ
GwgZJAEYYJjnr+/jmVWdGVGvKjulN69FWqQkaxODBx2DXb2qR31KziPcrfGqmTAZ3Q5pNc8WVygB
9V0d489cRbiC3B07zPmGqyOLTyTH43Eja9f11yONbc7GxEakgtj0yl3fdv6DkfTqw7S6ajcw7H3F
NYllzhaqu5r6Jb5Ri5ERo+17tvDYBalV1/3+EkFwWcz0RXGViL4sAtg9H4AmvWElrYEjTyzqF968
yalCB97pqfTjQE4ptpJet6N5rbcd7w2WWO420tKKt5hFQlj6Rq0FjeztIOs436x585Qvqo7FFBqi
iB4okW+hxXjLUgWFmYM7GxZDcO1rbk2Q0R/yj260vIe8xmI8jQ1/cH9ZVPNnltpbxGsLNjTWxAzw
o4jvs8mO3kC2AIKcLU1tMcBMZZDj5nwY02wstuiq4qXIGnoZJ83quq3hz36zTjmWU1mZJgJQK/YO
LEGcCN1XF/cH7kPR6Umgl212rfUJi/BZcwrWx/gmvY3LIub7xGGbMwmUNVwiWqIX67FmdbKqUjM5
5eWgXQ+lA27k8rrOg3lMx/GQRYX3YNS0VeCF9B3jyKKr0gKo1r58LbDonriVC+2g61rfbTke9AsV
z04Jv4C/hi6gpGny45gsnQywslJq1TeR/ui1GZ4EFnGsk/OYckQ2wfiSObvXThkQMAXrBs4ZPyNV
PyI9WroSjxhQOrnWJr5RSuJ7Z9yIGmDjqhhV0sAa7HxO5SSMbu3KSK9nKOKh64M4XOe5jlWxypx5
5eBdudLAAbwkzaRN66j3rJCyNvd7uUyH2E3cG8Ko5qGiR/zNTAyiX5298AOTuWzhy1SutipxDW4H
Fr13bN14NSgXWIrR2P5TdVnYe6Vbq5DS5ubY97H1NvHwvi7zavjy0SJtbiOtxPNodzzyksamHkop
Zs4eY061zdyu72g/XVjmwsSfQdVLlKrNZA9VEWikBzSMHY5qw/+sy/xGzv6z5iHAaTNUEOAljY2S
+8uaomZX1g6R0a5EXeHPWRKmnzTG7JNJv9r6SrKVy7FsWLxipfs2yMXCDzqSzuAVbfpdIPIu7s5l
tGh2SC6Rkm/LYJ3Ckt7Eg7KkXf/Sm1PuBlo2qqM+x/jXu2QY2Spz+ZPB0zBZBoNe54cxz22NbLDt
z0xqPcAEPVn8blV3uFgu54XMCVIilH8ZjPpVnCLXi7SN6Mh151wi4j9raHWRilJnhoavIeMfNI0r
WOZRW37OIwY6PsoY6FZl3GLt58DPCz1bZZRPdUHnZMYVfil5NvKUfK6V2tNfEF7/RaTlw0E+vED+
PGJ49q8fTsdI3lU1p75W1fIhjuA4rxo6S3Epq1oNpzEGW5rbQMrDbpHURIqcxoVAs2tms/98tfy8
aLrIi6yZyAFeEoGo3r9SWeOKymc5XDAL88xqd2iOCndJGLtWt1ky+Ve8+5/3TL//dRb5Qxe2FRug
X9EkdgH1KU11tYpm+63Tpuqxc9slKDvX/4sN7X/5N1HiAZWVHCtj6c8XgIpLTZbxrNBN/CRIZ18/
1CoZA3hp9v63n+Hfyr7dl4r//ccd07/dRP2UlPvvEY1D1P3TdfQv+6U73iGfRcpX8nvQ7pKm++23
/L5fMtxvKK7cVCyS2JNCx/3nesmwvv2W6IEBiiR/wTf8sV5yv0ET4oK0+Q8rpMsO8p/hOOcb9iLb
QMi84IYQnP/OegkE/s8XhyBoR54I+ySJfFYDxDV/vjgWPsEAzTylIktXjxavjnfLa2jIrllIFSs/
1uwxmONh9rD0+bJa54alysBZbAsHb1qMP1pcoaiLflPCR+tNI7QKYV5DYVPtusON/KONiwRnhFi0
a+x5DNt6fjEB91Vbm1tSgryOZhQwzI8USq2UFeMQlZfhzLS2doVDb1uwSH+A9GdAmbABwW1GVQNX
qO0qejMrCQNmaKwcK/dis4AaFrbe66W4cN9SV7iSo15pd6sWIhUWn0mNLYykKDv3casBhXOs1sAm
EiGHWoXFRy+k6a6BadXYA70lP1il0xyz2GLbNdaj/wr/yMUH5kjqr4YyvzjcsykuAtTS+aMx2gkr
KiWbbxK/wZWMupEk9zSchFECwe+GnuEeEp2KV+zujYudydBEWM19rB0tDT/9VvSDIldcOa0ZTqSU
n2Ucs6VyGHfjXe1XAkT7IqdnGOn1d6uYWlzXbBouDG6zf3Yq21Fhi5XpWcWO/UJvk/Mo4ml8hUBR
nyM3Hbq1MbmItk5jJdqmQuOiyGuS11bl44RCCDbLYYV1f1dxEmYCwZveld6jH7fHMpEr+OhqVRgp
h26dMVE7i+hZTTeNnR8jiOTRHMM2tXe2Coua4K+d7lGl0xB665yamzSf3rykuNWNU4ldnurKpwWz
+s4sl+56kTgo4hqvHd5lU4lQt9Q7O5MHj/k5QMMOKqM+Y4VHjumvDKfbumo5T33PEOcfEs14zNtP
WY03dfyYu+mnXWM0i/XntC8YNdIV89y57zoWWBNOm2hvDJoejLa1jRKggFmOuiSv63HeNjZ+HBNL
1siizPKLba1mfHRlOIpDOWXQXfppNbnmRjUYlr0o2XZZdVo8BFwTj4IU6tTp3mpOxR2H+b2MfNzk
cWfeszm27tx8KX9Ivd1bE5egN07TOhEAaDETGffRIHLShEY4jLq4g8FRDQF1BpjpNV4oJCFm7RlO
EgNv3X+ZWXPlevIG5l51LH7zAo/teN/OXnAxGvVRf0jiobkWA1vamHjZUOOvPTVmuvbs/sZt8WRb
y5rg2pNvvOkzVakeRKe1YVfBqD+xlA6NaH4ipR6qhu9UXPyvNzPC2ZITovP8JWRrcOcq3sq9wnSF
JqGXXNqvrj3cRkt3ZwlGLukGUBO4WKw1g9p6lNe562w85jBdxOeW0xlL3DXpOXrO6k3quUdMU+QR
upiV3TFOcZMV2qaWzgnRce23SZDrxc6xsj60+Sx21ezKjpCE9pDkP8w+OlogfuL52XTlsvLrH0Iy
R6THNMo33LKBP+1SI/6RuBQaxQkLrw7zbdoOL4mNWhtHgUjuRt+4r6ei3KKJvmua/8ZVdxxA2Zll
MqzI7am1lt2OyOM4g+t7UedDoCNRcJaxAuFVtwpsS+QWyap2R2vlFM9u150Guru92fWDbJIbRdH4
nqEThtuyRQTk7D7AkeNf5uIMTQoj6KUZuNH46fREJFd2b5q3aYMxEFMTfThxdpPa3qUP9TSpGost
f3Y+RtvIyfI1V6naGKmTHae8B0zKXzPWw4vABbny5HA1S/faWrIn1obbktAJ9lJt22b93lm8O2pC
qKscNxRg4OM762l68PNlUxICKm2u5KHNr3FHv/uEGlsDs1+VpU66suqchBoPeX9TC/dAQb27WSLu
4vbZGogkqGknCiXvChiprGvXtrJuK5Geccs7FzBE5m2rIb+fSnEtisZ2UOXEUAVV3dwJOXw3tXFv
e11otDcaia0gjb+P7nBCgD0U3dswFAQB2765g8hwNWhfRKQeZqv5bo4Hf0SvbsRDV2VrisJWKmLq
7bbTmFnoL+N0jJeTuITENJ7LhkzPzJUncm8nskek1LgxR9ZNNdLItCpd7eTQnOTn17m5U1ZzGhM6
F7KSsGVLWsFmQUTliXnZ14iwFPqSEarBggr0EFlD1hW+4mrmUcNOD5SEtenN6KudnL30sl06iuhY
FH7zphw3W5MN2ImqPvOazlYLSeAgG4YHYGf+KqmhTJP4ieFJZK4K2nE7SWY3MqMdSxCHVQXv2QVC
fuec2uhHk+sn5MbAK8pNN6gQfl/gSLCBvYJ/bDIM9+916pz02b0xkOVMa9lAJ8asmPM8fl/Mvb8U
ZzGdPTbvS3ujKxMl5GgjVbhWuzbQTvxSsVOlHzZ5s5YOEKDGkB70WXvOomlF7j0QmEXfcIKcmll7
t2X1xc7t2M+Zu7LshUWAzWYz3TAV8bSdmo1Qe4J0YR+795R6mk/eaFw2fietoKY+q86KEZNUi6Ue
+sZ58ZbG5G77UQttTc7/fWn6zdhq5Xs2R+nBYdsCKmBFkSOrxNneWLkfr4i4PidaM67bVL+Zwcmv
5+XGxxzas8TTJTdXudbKJKh4g83WtMNzylMwfUOlfKMxnG+5PS+eeWV2067mYW4YJd5914ZhEp9i
X1v38ejvYqGz2/HZlabPjSb4krJTTNrqVsv54+dHXe8YxSeW2NekFXn51w7b1W7jND6kMnvaFZ7D
3elgKV/y3Ww9g6n3js2ChDg6V5NovhzecJmxEI2tTeb7NHDmkagbr9UMJ5B3NponW6kVD6aHZTKP
MQXGizf7t11048XiaZLZHkDVRkU5UaV3z0jxh5TTsdarUDp9oMXJtrbSA/LTvewruTKnIcB+u+lt
bN19Qv5nLsawkfoTZqYfiuDwoM+7pmmvyWIQEeH2Kbt9NmPCWCxnY/n9R0zHaOA46RWGiQNByhuX
NF1N+gfo72zcO27NDRmN8966gFq81jnFFotCwftABe7S7DSaMskBnQ1XX3eZv+2NQb9hwA+k1a9S
I1zkR0k2n/e2u44v+r1kE9tNb8p1idFeDDB3cEo2wJqCOnu1JB2IXvFSsVAj9fbdo+zFml+tLiWa
jWq/DLcwXUKJXbzIXpxiWE2LuUK5ua49ToLoTR2vAtBrurdzHeOjd+Mdoc99NhhIUZxq4TKmUvKm
cwLPxKvfWmichNWUERqVi5Y/3fhgcGgECSxyCB0bz8UuH92yWMn0BfRRItsZ9TBV51Qj0p4gw7s2
1LEZvEO5yvOZKV8rr0fVCy8Y7M7kK3MPXsIG2VZtvEvNei9NnSIq/qHzMfVYMtfOHdmQ6An/+cZL
JC1g7a4hyBXBDcpdLUzIqsXRj95uZ5p8h00VfwymvUbAZMtDTIaK7MvLdbKAo/FBpqUMi4j8g+ty
eXa86/TlgbmItVhsb7zmduQYfkvS3F0PKWPGgu0dPzqH4dq6Iu34ONSfLM+Ibp8H/UhONvSjYu3n
WNWlvcmrd2+agOOcxPCGt3X28Su1DpcXiTg8PsVnRBIkU2cYwwenK48taMpncljblrhNPtchIaAV
SnbEk97EGWTf5T6HrS7eu127NfKx/0Sr4IHToQGQZCsdafE1Y0+Jyzi0YmaNrIdqWgwXPTp/tghM
Wlpxk1IhWMDUfWTpRgmkTiTEJJfGRyAJpLMzMfCli866K5TLyWldZPVuhG3Eij9Iaj4fJOE3UoeO
5q9SGRQT2eNRfLRuQ7Gifu/0vNkWyoRXddLx5iaZYIquYjPH9LSI9j01/GAyrQ92Q+NtoS79Abx0
SOjMcXSwxaftza91c7BmjueZvlLDERzz1Ww4u3Tundtiwry0HFPN/KQilDiwtp4a9oURR6HCZ5og
Dxb03EH49XfgpXCr1mGNReRy3jGRNC+bvD4BOFjL+3Tii3LUPpnex3za5dK6kkmzFZWPPcHZDs0n
ob7QgbrtRj+iZDx3uEVivGkytwPZ50FcFsdY5Bu3IYydIOUP34kHKvWdz+qvOCYHKnEeXd40RIVu
TV+tzd4ISrO4oiTqkonc2XG2WYYvK2W+MOf7pnWvhlg/eTwsr3EqbHF8rvuxuTFkGUgl8YRYMswT
y4JYrN3ObvJm9Nqq1i+N6I2RmZc9SgdGC5uGj4y7RNqdtTirSjgn1oGvE1SQXSzFbgKWuc/cGBrj
op190XPc0VfCkM+5+E4ujjiSHkAWXAtNq1e6kzdvFgFPwEw3RZwGKjsYsrkBIC3CYRH0VeZ4ug9F
3qy9uLjCsoVQ28eB4c4bfuHXEhNIQNnBWEGWQV7C09dR/DgXZDxSgrAXklgtr4BaBdakwrq22+1A
DJ6NmyBy3o+vicfz3Cya3cLxUDElx/pblkkeA1auh41JPJhWwonJ+N7kTlfMH3NjsAExGG6SdDjk
qGY0xfsns+Ee7FLSuE7f7nDfE9py2I7PMqppjOcG9phXA3sy1otq8g0+oTSA6/YhMlbYFJY3B2Nc
uiN2HivIEa0+Nd9rwtTQThCEf8D13lqYD/n6p60/WklIqHomgkEPiXWplsWpNgcsr/Ge1tNJ8+pQ
NHmxHXpyBhhW+sk6Oou+t3t/nbXeVW83T8U871RWgEsgGEAMMuYtpwU09b2peNiK2kSXxg4ajnII
ZhlYo79wuF/2mIWG77UlaXA31xMlKULssHmsi8bdzt6pw464EsTvAeV9twvd3afVbdXiICFQO5Cj
8WEBzv3Xku4v31+/WbyKP0TaKacXs5HzQg7QnR4TIs1EfQjEvKQ1JpBV2kfdV2TakbljE8CKGw56
E22IP3iI+fjkPYIHFegAuI4axy7MM5hdR7o9VrRm2ee+VMxTuQk3c53hIVhj9lui6wLeLeaE2piu
utnlZtYsvT0Qa4vNQHFufY4iY4p3sTNF+tYtXYMASl1X50FNlbYul9w4RSRuOXVw86YQM4xKCydj
FjcALxkNbNmTPDb7znyVhojdfUsepGGEsOxkG2EXsoCxSOOWQxNz8LwMjJ6ZvyTPUqX8eV5Moihz
K785/c9FlTqOBy3mqDQ1S1iYMf9Vv/3XH4d6Cf++oPlv1cqfsF7/ryG/UBH/o675VvyPqzcK3Muf
lU1+0z+UTfObQ94HvRwF0XIpwvjfyqb5DegX/Xm0Prq4Gi+gzX8a561vF244nnLTosv9tyrMfyqb
1jc0d8RIAjsm5T/0fv8N4/xvzsk/Vj+Cfx2ZJCBNrg3izxK/loN0ErueOzJACsHtVGB/2voX64WD
OXddglvZmokVsm8YzhqGFKNO97bswKab2X0uzbAvxjvOZsz5U1KfmtJ5tFTqrCw196HmtXmY+DSA
NYPV7F3cTysy2vm6rYcS7gLRXKFFn7k5wrcYLEgZLpv4SRdfouIoOfhq5/nFk4jhhA+Tx8myN+4G
V99pJNRXNVk1wCf8GqflKNrvi/qVQOO4IvGC4mBH92owz3//Mv+/0e1/uhO2n+UFG9f+ugL4byju
Gxc4678Pj+zK4qNv3to/3wK//ZZ/hEc869tlq4iqjsPhgnvn7vhHeMTzv1mXWwB9jAoT9m5/3ASG
+GbDEuEeMbA8Aor/Iz1imN8A42IupZcDtqrDH/g3boLLLfhnXzqeYmzP+BGwpWNP5+P8LO5jBelz
lFU2raCLQ2uuVjbr82Ony1tLa+3VhVrWRy78DcIaRf0UjbV7WGLKhkGAN+h+MTK6sjbKSL//6ef4
XwVLfklEwKCkMv2ymMWX4GL5/CWPkIp2NDuEku0yGtFLHhV0ZmgqQ0WnwzLbVmMbT6FwWrUX5aLn
p2ryC4QFJ032OhySuyWdq7C2+vZeY8mLGaWkC93WjHJXcYq4MbvOOJFeSdIbiazMMajhpYybU5nv
qYs0sO7LKPo0qRVqQg6nzANRFhnY9uzm950Yl/x/neH5NXpx+aeC5sZ4xzcAD9H7ZcWC44d0ZDxF
m0TX3Pup6LtxE0VTwlrCEDs37dM7DjnL3tMybdtoffqinIoNTDsnHi71QqRXWmfKM6xiY+tFvvdx
2XYHfVz9/rL795/08kn+eGjSu31J9F22n3wx/N+vTdSJV5uD7qfJFr/hdCOVUA9EF8Mm4bJAtR7P
A2H8B1xjzYZstX1e/AplexEllPMu7oOIZfi+i0Bqusv8V50iv+6K4RtTaXUpAxUUtJn/guB3y4ki
7kk6m6pqu7uyq6e16zFojVTC7lSaDY/6nJ1t2EyHljfXyWlH4y8A70TDfv0R2cBTgVpiFNR5S3m/
3FJFW/q2S6PKRrScaa+KKY6tQ6w8RBI7e44l4EMsT+ArcogbidPaGHfxyIj4YembdJ01hXHEe2uG
rRj1k+b0Wx0LCWatpQQKNpTf6VtjIi61+ZIPwjtWOOaNBVdji2UtDSr5OrcNYZJSl4+lM7O+qors
sQVTGigxbPPRtINGG+8TN6mu6pFB0J7NBYHO6NN78j+JhrxtDpyLS/EmHUyjcPHNfBNpJiYVFwmV
oaxPHjCt5Fu90U+pmS24qgcc0j47CSo72AbuS5qtYB3OHUzC1vGe+ijVVpz0O4uP4dgp6krlb/xB
B6Yr74UAMtdqsJRWmWb/GF2Vv3oGE3Bak19oebGt8fiheKNnsV9o63wMx9xp2eglo/rUNAz6NVNT
gI8QERuf9ErAEcRw6dfpIyrrzKBKHHRBBH/1sY1fayqfj3HlzVuKQWE54FfaJ85U7nAOtG+R1zL1
YbP3vKXb1Axvhz4zSwxXF+gUQ9lekVGeCDFTogVRu+hAmpVu7n43HKnW1aBV4ewOyTaZjeKEBSX5
9Ls8C02vHvaGVt1ZTpevVTM8w6nByyiicav38/Is8rIKVen65G8u5qdxwJW9tL7/ivnuxfPGm2XG
qxEMvWPdl+PF2OgN9+kIXW+dINbdy1Hzvjg3yOQ4aT76vaUmtpTA/whx4L/Fs8c4k/Gzn9t0uo7N
pAXR15jqzsUIv54Lw906TZlup6m7m4G7bTJRg59qWbk5rp0z//n9fZJIfx0TXoAg5g0TQ2gJFTnl
S5zYfWwYFIBiETv/NFrKcX29yMNy9F5mHCYrnGQveeIzvSWQQBUYwxvHKl+nxCgCl/zRasn0MXSl
G21t2/9B/WRYR5O/n7AWnyMs1kZtmsHkV2hkwmLbgFUS48oQOlrihLnb1ah6zLcpF5JqETKHBcNi
LW/zyGlvmOzWduP2+zxbLAgTVbSxGZo+sty5cYxo2Y51cg2xY9wkeep9aov4oQ3MocMYA0CJPGcj
U5UFPfDSLZJHE5jgg6EoRDjlzdY8TkOUfFnN3F7zrNGB66F5vDC1xquS0kpwKOWwo3UPraAk0LVO
QKrtm7FxQghnn7yqW9bNWMm5JsdzRTHQJpNpdz/nCB3QQOyb2nLCYl6M0Je0X1cwy0p0zNk6OXVD
ETbeSB3LqpheKc7y39lI23s5JO6zRsTolT5U1HNmulOkWjh4fZ7hDEzRrHZOu3wvTX+5ngxPbXPH
cs9eXfyYq/kpbtsZnI7PiqAyECyFE21gM9iPjbW0d0kSHUAiwjxSKrrNJrGcsBtaQeljIcdiHsho
drHXGybufF8Ck3Gkl2JMQ6f4yrhHaYR1iWVEuanOecwYSZmF2OTdGKOtyj2so3xtxIvcdo3lQ16U
uIn7Qlp7qUZut9ymio1Zmc7ZEXpd04BeAKEYIuuid8RuJm/8FuWcSeRZVvMJuVgQruAx5ln001Db
Uh8SV9EMmFlkO1t87R4a/1PqAL7AvTcVxzLyECbt9KX1ZUDkKPmuVV59bceX+MiQ47gGbXIwBM5n
4Y3+/QiHLuO5a3xvza5c62bbbpiaOULpUwSEncABePY4PeOosjalSJ9AJABbNLQBZoQCAHgL0FCt
unjQTByBRrOVS+1uS9E1B91q07WeoidzTaiA+H/JBjTOUYe7/LZOW7WuhUr2yqjl8yiN9EGHcvdV
xct45ZvqPVv89Cgcv6I8WHPuJ5mjNca+uTdG+eW79V2f+4wSfv+8/HaiSuKq2CRK1VdQq4p9VriC
bUolrmphQG2k4fgsXXWrlu4R3dvD/+be8ZpKDhZh2XBs+mmfszXQzbI6uM14km57ht1O1dlsXVcp
8BuatJ0gS5uGjJrq1xOcz12WLgLc4HKIBv226OkRSOGWsVgbuwlkUKfdDlQc4kObUcKnFFASibNN
JKN3qN3AgdqI113t5rt4juOgH6qnpo7LNwNV4iE1SaamNnKrbw3NOoP/sk2FOaC62vJYoDEE6A7W
zs18bAqc0MPJH5I9BV6YLDuPWkG6hTcqL1j0KjbaudegnKAR4ncFl7nizTeweBiyY8mJ72H2izuZ
KPExmdoVnMOHXhpTYMwRsZ2hgteRy68ZyfGqsF2FG0SkO29yCmJg0Rivhil1Pos2zb9E3I/X9XAZ
KiuoHoViWB2MQr+Z8Cq2YaZp4OXNWo8XLLqVFHucjax7Zdzx+DKIPfYIJdPgnYa47JuN1jPoHpt0
KLSwABVUrOoBHTrMouEi0+GQwXrWt1NuwY0CQxBjhsiLaLvUdbIeiaCZQPnIP65yx/DzbV9Z6gdl
n3p+VQ9yFEdXWXQvgJBd2g9lCYxBoKGA7uhcQOWu8KvGJl2nuuyuKrBCGFHe83zy0ToH1+m6605Y
7KZizMXzShn0j+zxr9TuhkBWM972xVxX+NUm/m0Va5LjQgPGlWGP8VffzNCsfbqg7syS89U1l3nP
ANNUWwovi5Pjt9M1KRd+HuY88xOa+wirkiBxfro0TSpwSXP7ZBu5wcqwyrYQWvLrqvB46M6Otgb6
579RO2ntGlFio8Xd3F6Cx1CVurhKsrBwcMCuBp2MschgK+EXJti6zDlLI7CuFSqxmLaRgTgG6mzA
hNTgbCnDZIakgwlT4LvpALc8EG/KL6nlnpQbq6KbPkmzzTCPKuQpox+XXreucIGxOxrL6EWkDaNK
Z4oM0UAM5RwmScqzyW9kexVPF6NO1FXRAVZldMhMUetr126LPazf8c6CPX4we1akhNUGgXBrmLvG
7ud3fgKc0/oiqjiDShzDkEQO6LqczbD/c3qajE20FMN71ZrpoV8ICwZNlKY3phlZTyWlP6+cta2Q
X7K8a5ZYwkjEBU0UWik+raIDHyVoQL0TarxrIr9l7ioeVc12EEPMU8rPLYguCogprzPNeWqXxAvw
lnFgHQYcGw6tdmbWfh9q8rh06nWnZQR+BcBsJE+gZ6wh3br4HvGURbI2EVIZYo2y2FXREAVGHedr
qeVDExQONBxMTI48qKSLZGhfTFanKmdF5dCJ0REW6w3tKom6FovF4qNqL2mTfVz8HWBAYvejibX6
CL6TtkfDVPumMvPnxMf2RTqJFZFIgxTUwb2GPWCV5nF9qODBrgBL+EhMMiXY24iAUu0RBBvbswl7
9US40SLetpKVnXQYLS7YI9Ms3sZxbN89v52fEzt397ao21ObNfNHLuXLlA3toTQW0iBJCSogbZsE
w3zJALyQVCAB2JlvMsrVfjbr+KojrrNLo+EhrhvnwWop2Rn7+KotpurZGDgcYCDT2cVUffmmdRjh
mKNz/aHweKwFIHlHwFzNxUZTuMmE+cvM5Yeq1I3OIuaa+1ddVZPJWrPn48fkRViiaIay+PnFDmcb
1/tSme+u1dgdhgoYZpbpB33SExn6zWRdZRyRQ1p1u3NtKBXyk3ByqJ8zQOwI/EWymlqv+khdX6wq
Za/L1oISZZXsyTKvGF+BeetrnU42K4r5LUXGkkWXRfSUgfWS4Km9butQWbcWU6/Oc1ntCpO9Vi54
pSaiZqEiAT6T+9IC6Avq5NUNp09Pg84bG4HRABq1K+0zH/rpnLVyz3uXp1xUdF/pBNyVFdDg+bve
haxF1B2JLpiKrtx1dhuzUcoxEWF5yGried3S7iu7aq/4mdOblc4F2DhnRxqPmJVF7zvF0ytPAQZv
rWSvOX536+uKhGxK013mPcV1vQR2W3OYtJq3uEUS1EhFk6iponuwureZxLA9KVE8sGmp8aE42fwc
p9yVq9yHEtLXxMGg7U3vPFGW7QAHj+i/ziZ05O/LYXFinHPgXjGjtr2XkLGcujVg2LlfW7GHcGRn
kosf00nsEvinfA8NidNOkEohH4GgycCpOXJy+B5OZamSHUe67Gg3MTbBbhrvYabs86k7NUad382u
wcWeqzmMSCCkK9mUxQPca6xw08WtJpOWGC6ueeuum7L0ia22ie3Q1vFGTo3ZHBP4FXA7eZr7LDKv
J2iLQZxPVtiaVvzCGydZ+3KgMbiauk2ZDvraLl3xpvfNY5W74trNIvmuMtUe2XKMoUNegCNru49z
ecc2KXuBklw720uVyd5vLPmj46z8lEzeuEldWsc42GrH0u+NU6WG8a1f2ua8zHW71i1cAJdPlgHt
7FLLhhVscXxYSvOHDnwzwWNeeTgHMd8GOi+DPUA54+QijxM4N8pjKk35+f8l3v+TahMk0D9Jk//q
367e0p+qUH779b/ru/Y3FAk2HBBwLLJV/qXd/B/yruF9o7vExzmNjOkb/LI/7zgu6wtDZ+lwKRyw
/5B3TfGNWmL94uj+XRd2/5a8+ysdSJDrQGSmosH2hABD9LO8OwLaj5M6LVZOfvELU2dC07vQCpfR
r1L/i7wzaZJUybL0f+l1U4ICyrDojc3m5vMQ4e4bJEZmlBmUX18f/rKrwi2iwiV725mLfPIkIwzD
QPXqved8x93PUcbSEiClaVbewExwM7kDYcURaihKiT7MiZieCv6NFaLf3joMm9stfvRl7Cpjz1kr
3YT4ECHRkedRoHL7oA1M8/ysEUzvl7Ye3XBPLO4LRknvv0SlzRZ34PCzZ9o03PGhyP1aQsbNzdRh
kVh52ObilQtQcCsMe75kG5/3YPudH2Fg5bzmZdjbe7cpEDAqMjmyzxjmZrFprRImXaYRzImBrIcv
PYMpJCs1iE9KNK3ctaw8pNhDLntO7slsNQ+VEaI4wIOtbpnFCHs/YbMftkBGZUu0yRINMM21OSxV
h5mTeFKw3ge54cktpyQY4QXD53UiqvoWzEvgr2PLAARn1mkzrJi7s1/MaQjVHXAiSlVXk84YFUnY
7Dtflj9tCJN2txRD9XUikvrFt+DfnLpJ4yXH29WuwQQGaLi6HA3rEKYV/sIeauY2aT0r31TKMK0t
f8kllGQONnk56vvRrOhu21OlXwwLkMVmaoceSAUHpmxHyF/gAs8gqG6b04t4BJJUbSPIreM+hnpg
r5TfcB8BMZYkyndTPb3yp1mtEQUMtBkDqp07kBJVv2tCxG1rM1bmfVrUQl5hPS30zu7aMcNcGCy4
njasXzq65OjJhhaWaayH5jtulNB7iMsSVbkpZTUf/J7CeZ2O04jMKsnzHc0vdH/VFMXzbW+LOtv5
NZ4rVLgiQouI+gV4ayfQ/IxD1+Om9Lxr/Ly1fe/N9ZBAY0/4Fl1qVS+qJ9b9mI2hdTfi6SISNIq7
i2oham45C8TTTge6cdbYQKf6uovtCozm2DoaCUaACc7GaA3e1HWVWmHhmy88qwbmXpi5/9y3MME2
w7AMA23Zx5/j0gvZfYkOc7YyHMv2aETtNK6GtCzqlzEp0p+KNHTaR6UTie8YDaZbKL0z1dSgSD/D
QuhwrAVydcHgdAx3IW5Pf90BtNXbtu3TetPwTsVbE6pP/AT6e/xqqbS3Vsoy0Qe1+WzOmyQLq25N
mdtbN7Sl+MuiSfCXOfiGtVg1GGFBr0MdKHrUk+S/Yb+G1H9SU80CUjujL3ZlEEy3ZVDj0629cTAe
cg7LDkMLwcvWCZ8eMy0i/tJeizzeUNtOt5NlZtqBDLq8il3XLN3ONB34KyrmsNPrpACYHsAVzmgZ
VGxPGKw7W8XFdwe+00yJjwMLuY2RQRVNV5VEEfFpiiGgOjg7Jj54DqbqBeNlZ93Q7BoIpXl7XCmN
Q/ncQ8ElX8PIWBr+eeiaMS6CnQ/ej8zLdi7LyzhbYDq2m2eIBlv/i+dEcPGdxOAY3AyRfLYavI/H
0hnR80bas9eVTNs77gmogyTWzovRhdmlBAh744oRUU+exs7XyRjR0pSh+p5muXlgGp6e4ohVd2gt
eeyZVq3dsqJJHPnWcIiK8id2goZpm+VGO5dB2LWXWyjYnQxr7A4mSo/9m+46Yi9TjpxKQ/PzNNCh
kXTvt+mcEi9X+d41YuPyKRggQ7MdROp1zM3glOuEEAttlJi++qy3UI2FxaZRKv9ECktwrOWorhCY
63FVRFV6a+PJo/Ob+vYhQubjLXSR+Cmf5IPP6EfwSyUJbh1z6Lo73xr7HublqFzCdRA9c39ab0FG
LMFBcCS40Vhkok0bWsmMrCNKrJXGW7OphKfvM5I4IXTipr51RaEuhV/xG9hG/9hPeANatH0X2ptA
ARArwzigA04dySa51xzFJ+6hr2/msq/R0iqy3qRANpd3T5nXpdfaAuCdjs1nXygFhkSGCMdc1lnj
OBQq/Dxl6UM/N9Gxq/vmkm+fbwa/718mkjKY0mMOyWCVrKu8V3vU7ZiMugqZMyfNkoRdXuhkiDtq
8MlHe0YMN8EjyF3SdSoGWEhzFueLwCv+CcC8eGDFRlhehYupKq3aem8GERChil7ezRjUQbZFN9js
SF5B2J07hH6AbGDOt07rIr2cAyBAax+D/TefxjVHKy9BehPAsf+i5gX5UZTWa4/oFqGn4dVfk8QA
3oGOTD8QOuYC7o5qg16OFWQbzA4d8kQHlYOKXPd6zvPsaOLmp+Nt95fFmHmAVJzogllmfchLb34d
NNyfqLf6YlcjYiLIy0wVg9QBpXJWdwAJVNodgDs1m4XkimcINr91kVC+oIwqFjrY0POLraYuG74b
anJ+uPHwMzTn5irKVbTpqKaetBMwBDEz79Ug3jvZOG31FUgVPaNUJ+G6MUNkTpE3CDJKWslHZYF3
SgF6BSczH+p7x9HhBsnKlGwaQt9/aDTVP/20rW9Z4RfuE+/eNa3v7psQnffQxxzlm1Gg2cbh6132
pTNXmya3cijxln9XWdr7UkC9uEsNNwEGEqKDTKL5cyZGzkI+xFrlV+GVz3HnW2vO4jMu/2xHO7i7
I4Y2AA9Bmi88BLUp3CoaXjo4XqwfXoAmurDi+XGGkIA6JPOXcqxtquGQ2VIGLzC0cF9bnK/jLWc6
Bt/443xE4emgr8iccF9IouRlZ7AXLGJqdNeGI6xmCXzKf/rdiNA9Hav2k9+47P0sBz5qedID2E9C
Bo1xAl2c6KcBiVrnsBkz711M0G5pe7sxSadpx26Qfca4PZCWwGnuhHBg8DaVSS+w7Vos7zUoHnof
terMO6389kBGu/xRpJG6mGMW95WkQ+yuybXM530sPNhjNN6SYkt/oKelMvEb+E/Q0dEs+wT8IUrM
PcUyF6XSf7ZqLhrju0wlysbJdQ7I3mjmGO2AiZsiKNso+gTsM6Ksgg2oZeMHwkEsQyMgdsAQuQ6G
tTQs3DQBp7+RvKJ5HVcDo4lGV6zdeO4CVMocKTmbtkF/WUnVM6ANm7ZHyGO5xv3oJZDe1UCA0hZn
AT5yXPG5eFWJI15729PTbR9oQva041TYLSiF2ANM8kwIUarjbTMPVX/rUiklNEAn6A9VqK3uIpJ9
MPFL4I+4DNKgfU60U92xI/vDBVmki/WOqoP00zxh59JNVX3vdSeZxyrmAXtQCz1pSZPN9pEHwj5A
KymifTp0JiElgVetyY5G5TyOkk5Ua2O3BI2SuuIur50cKX4wDLdy9LAzZrGo9r2dBQit+8DfWhR4
tOjK0Tzo5dzBYpK4Jx1W0sRtMaUHmizpvdVP7KsOjZqfFEfXLsk26JJJUvAuhN1ODGdd2oGrAO8m
w0kaEMXOCKf0NGbKPhGUUjlMQ8M+Q+XZZs5JFRPPv0FnjUgI/CLQ6akzXrwqInzImcf6OmMPlWt6
1ndOGBfpxuxNdNg2UCok+IO9NCmQLNIbMByY836medlzjm5bzjMU6zNlwJemjDrE/jPbMuf07KoR
vfsjEh62BCOmCSmptmAqucZ1lhfVayAiJIopdF5+jbp3wYk71VgAABtSDPK6xCTZEg9KaMWcuHq1
9CqcQ0l018CwHOQ7vL1xwcyZdNT3lhdZ9qqfpXGJu9SvN3MvDXHBwafDF2f3yadgYI6+joLSfx6L
Bp+AdDSxuHHif6ptM8ar0bL2rHGHV8vEz76wKgx/6wC1dr9u3JLLjG1lffKrtLwMyon7r20c/GuP
sJBLd1jOd5HZO092l6kXB3LDPoN19uokNsW8yNX03epEfefXpP/yjePQOfZMFY9MsNvxaOK2y9Z0
vs3XsCXDZjW+HQLiXEwWMLHsE5JYH4xBMNfzbphH5R86Jjrwz7ECGRxVQhpLKH1+2nJMyGw3J8hw
nk/ugd9dBm1Jpw7vTM94LLZne0O8j0kIFPEqYLCwIX2OiQb/1DOQhsPg9vODh5erRYNX2Kd8wdpY
NqgM2LKTf4tf06+wVjmCXBUWCykamxGyM2BrQCf6QPk9rIC+QiYCB0KjeDkQxgoIJDc+Y4jmq2Mb
I3+qPC8+xrB5pIuAyFxwPbx0I64IPxpWWWMW/MgL2ideID+GD+7HITniR+MUzs9+kMZ9ESTNazDF
wUOkw2i7uLE3lmcUxlq+cYXMN8QQr++P8I07VC0IInDGZbVW8Rzbm5IMzXpfN9p7EY2yhw12Tb0i
twxV7ChIDXGVX+ubwcLYb8Wq2/mZRwc5WKBKWI7hK+FoHg74NcoLbFXTns0SRTBnSh8ESbcO34hN
rjndmlQe+zRoPifE0DwJw3JPVgMkKYHKfZix7VG96RvHqC38xQsdqqjH+CRUO9v4eqNm7y5YKYvO
JL4xj9IGvcrUH8lQaHeoJIanKRfe3oso4GuTqWghh5sWbQah1i1kqzn3vqsJFdQqC2OTVzSYi5O/
YLG6ASrPmkwy4sSCBaGVqMk6svv8IMYm+u4aNRy3mAmEz6KKUWRBckFMbuwNbvcE37JMacF2eRff
s0rm4ML6YjsymWSJqHg62esXHJi9kMFGLJHPKgGw09O93diVoLQlaWZdcPBb1+nQ3BZJUm7R0QxX
IwAycIEBI5vOODaunZ+c1LAOQ+iu4XUWDoN6o/jhp5W9Re5W3+BhwSQh39BnabNg0OKFiOaotr0j
uCzDICGMi4bIv3xLHCCVZe/FHiabyJSrpqvpbuM1JwXBwInch21O+KOv0gtzAbhBdPoyR9V0QXnR
HTLtNpd5DwfHt33nxira/NNQ0M3cTn6TLCpY2/s8ppPex28AOYFebt3AsR3xxBEcafF8HkMcb/Zh
KsfgqwNq+r5szY4f38bcU8Ht7E5izEMDEFgN9A6B2vAzX0h4nqCqYZ0McDA1VZLtx4Wg5+Hew5RT
VT1KMjnctp7BSxRbM8u9MafNd8ieDQXzG7Gv6OzPTbfo25telPvM86avYVZC10mpOnh7NfaAVWFw
QOExnqnJG4cW8zgl/YPjF8aRYhw0YWxKxsdVRFDTwLFpW9klo7q2h1FYh9aLU9fiVKaKUXIpcNrV
Y4pS0jBeGU54UCbRB4g0nU5xaETHifPHKusQ/lCjsLeCnBpW/sJTrHXM2UAQxcTE0BZPU+eBRmJd
kNnW7bjmyRXic+WXIUgV0MW0o4LsNoI79Sqj0s05nbfqUU8hLhVgM/kbHnJsMEzsmBCCjWzKoUDH
/MaUBKA7YvkdjPBGywGPVzMEn0ozb8glNMc9I0Y0JVM0OoS0dCb2CAQA99SD806MC+nSE7L5mi34
y/6NhKlgYmKyzppNb89bnRj5flgAmlSeiDb8Bas5DXW1bQt4P2yA9ddeGNltLGFKNuGgOILNI95H
jv5qb9AtPMK5GY/LOO6uGIad5+X+vPEinX+FllOhiyP4nGCh4kQapmYCFsYHwXT8CCErPhCgxvZH
sd6vS7f3fzRwttq1BCIjN52HT2k9kJmBa3fBlnrz0D/XhIscVG+13a1uMr1TC+/U5bxFONi09bMi
vy10fOz5tvuemTiJnws31RkxAl3MbzjVyPPbcYsz2XidG1k/Q7+9rlIL2pGEez7ZXvKcRKV53zQp
dtk5w/HRmslLQB7bwYjwI6UgX1UIAS2l94Bsr8M7SBvDoNrmnKywwLrFJaqP7MhxstzbC18WbqjY
gJSIr0je2XQKbCie0RCtFdjH8kivBwtka+kjw2Xjvk3Ziah5JK+CfS88eLc0/aJ1zDa1a4AsX4VO
py9BpBnx1po7bGLEEpOwNfsCTo4n++TabALxEvZUdmOrAI32maFOgRomenPweb3YpoaD2MvcetzV
Vp58snK7p7AKyZgIGJtOQdxcZQv/1/LypxkQ15rU2O/ewgiWLSK+HSF45c0iL8E03H7qnDJO8OGU
3afWkcZFzSTuxX8jFmPbV9ZtSh0xvZYS2cJ68Hoz33Rhn/YbzkMu7a4xiQirYuTHd6TVV9a3TKRp
pkIAGhFpmHX76BV4Mlc2TMEZ3ROdoNBJzHof2wONS+Z3VKlBp8xlHGuYT7p2erg+MW7miET6k1Ga
/B842Lu3Gj/1IztuMyC4TKilCNeLUGHmEe2BgcNIgbu5qatT16kw3qBtShmi+xkmK8kUsLqkMgEc
C8iIZWZyPA5d/KZoSQrydYfVLwOKP2in/9Qxlw5qXdcxmVa4Z9JpWCbhaNnBD7BP+sIvelMe9OyQ
raUV0jJH9SFCkbDR115mVM9//+zfRg44PSDWuISquKb3Zvr4NeXEd4e2xt/8xVdteZUEdr+PtCDt
jqbrJhF1f1B23t8bYeYUOPkMc/f3j19i4X9VKMPEgZjGFZDmzsYF5OL9tCD2ZGxM7mI/N0Ucbwuz
9GggBkmiv4WwWYfHyneWGHAoV7TqwUl/TVPEVrvGo7u5yJXoz1Dz1+lGy2TKjmFv6PyEvSK09jK2
CmPjZG093apZ+C5TOsCgH0iIF5vN+69A3eGgwPLJleB/nLOBhxG7gmY2cg3CUTN3HzcxfXCCU4g4
GQa6c9suEyKnVMqY6cSESVO452IZ1RjT+Mlpl6DRuTGmYSPepjZGbbj5B2E2f7pIgFymXGTOluA6
399n22ax9WCir9yqSYd9aBuuOsEG47rYuO+6eEx+BFnHrAbbGTf5bYoUKKKMtkgOLHcbp1FCuwdl
kaZ9KOfgg5fgXFWP4ciWgJN8wGGW4wK2en+FNLbjChxxQh5FHgz3/7x0rYV+cA+IoHKvWTckwryE
fv3GU412j9HUzvl1AIZyApijO8HpeMooH/K65HFpJ5snJawnoU8FAZTIs7qxc/2rvz/D9pnKnisn
08CWvEWWNAmaOZOQV6mc8yDGnmsx9XUOdqZz/xW9SDVsDc2L/aWo+b0RYcVOdhVZFh5Blss4vY60
q+KT9OxIHvK8IpYa9kGCdrvkTLYZZesA+F1cu8jDmAbRCQDBDE7e+iRl6DZIhXKX+C7CQJ1dTd1M
RnLBUYNauvb3hq/gOqEUNn5yYkrvbdOm15rUzEzwdPvGF6TY/ng3trH7GEw2OVx211Xqg7fjXF/P
zXE8XgAHYlbAP8mzF3xmMFF4DHWAncZTfG0kPkebvsOmCOxjUnjLpXLsq7bpOFABobQ02jA3yi4g
jvPPDoe2G7r/LXavkhHtuhSSmGkW0Sw9ma5G6Vm4pjTIBXWsdlMTb2+juYj4o9aEC5QKqTTJ4PCb
PvW/VG6RzUe6LukzDX5TP/79SXi/mAGdB8nHMuIsDwNmoPNUgniENOegQVgVPogLKugIneSUHwuz
QEwJ5mUdmSSCrzuM/FttBFi9/34BbylR/2344Aq4ya7kMQTmJV1QY+9fojmepC5TRO9znLRq50ZI
7PYamgUDk7eRDrfZc45B6MTPiaEQZ+bx4pWZRGR9k7EE35hXMnGA5pugva2cXuWusMf+tUzZBDl9
huERqC8OYIkxcC/7DM8bqlsOsKWcjWJYFVZobCWa7WL/wZc7v73CtG0chkJgTUHZZ1vvv5wk49AM
3e47J5P6ik4LxBCrz7l6OgTBFafIPkRb7dkXoZfFXypU7PHG85os3Jq+H6JgDUrAFQqn1o2mM7oZ
dJo+WAjn4SAYQj4EvU5PRAOyppihJBCb6U3ZbExzFFfJBBCGljBtc1/bKcyZkgwNenmy3RaII++d
kMPQ+u/feBEd/LK1YHrkLGouWTMO/wzw6WxlydHc5WTBfyc3lbmazdSDMwTyIupmVAnl2qf1NOx4
xtRVPkRYIqWi70pNzrEG/EI8bf9+QWfD/eWCSJ2RAq+nJwAdeoub5tuX+4R54v/5X+J/F46TUESg
CltQss5RgVl9SNOgBEPVi7DeTLarn9D2EciHYyJMtqPUfngZAMSGX9J3LYH2DKrTFQiz4GcZ+2m3
TQvTvfbszBa7vsqKnw2qu/Akq7q46ocSXZE5+hPnq2XAyUJTvVhVKwEo0K8n78Cke/f2b3F9VjTr
TVjyC98uGTYRkp9815L2DS28qwF0Di3HN2woGfSmCvz6RheiBYvFGJvI39lOEmKYpyUIcCjp1uUU
5TF/5ejodcEq0j0HJTycVf42gbQKx44OpdfXB9t1QI0z9ucgKUP8KYrEWA4KWaimrZ3mtdogmg2c
Y6kXl0sPzP+SMErx1AaajrBUnH1gmDYeaTdFcJWblSvAGYk82NodWeVMBaGVg6h3Na4c0TNuevth
/7/mPC7ZV/+zFfRh+JJ//dJ8/9UKai1/5B+pkG3jhha4OX3bxvbMFv9/pULC/A9HLp41y5TATvE8
/pdSyDf/w2MQZPuU05ggSRL5L86jh/YIzfYCbKRKNG3+vn/DCPp+JcT/iQvaQ8JEHhlZZ1zh+9eQ
5DpOn62JwBnb5Y3gaVtE5BBzV2oqAv8S3Xzk7+h5IcZWiZl3l8ZQCO/zLzfsD+eWs5Ltn8vwA8Q+
Ps4eJEtnC3IJE4cHGNgNbjWOK+E0OcFRQZBjRJWM4SsDKloUKVE2z33tWvCiGqDbKGuAHB/6qg5v
ABWwHYWRzRzeiaP2wsWvQW9WI0rnDzpldPvBNb+v1jHhWii8hBDs1EvO4VuCzy8rWJrOgShdhOA+
GnBsMqXeJyHxx8o1q9MQWdB66Fjetwi6t0afumzeAI7S2hGnaMDu00C/ID80DhnffXBp71f7fy6N
azNtE2cvfvezCrg3uXXCoPMpR1GcPO1Oq0AjOp04/+7aDpfJnNC/pybeINsWCLqZmeaip6r/+5W8
P5D+60Jczgr0rxmxy7NVPmNyrUVNa81B5IPhsAjLH5oG1q2sDayutZ+gTZ9J8iGu56NkNd6eX7a8
f322R+3CWdSEHnB2mkKKzkkt9Ph9XHs2mQZN0KiTPjV3GbGyZLUgiWG+WyNS+PuXPtts3z7ZlXxb
CtYl5++8jAczF7LT0NxFaGFvCwO9AnxGyz+0PmpYdryiOZqlP66asXfuR2QxWBGm4s7LwuDDeLfl
Df7vQm65GOmhnzPhP7KTW+c9AXf2GzlbiL+syuggOnoG9tNU2OxiivqV8OCOGctFk1p4+mZ3yr9U
6HbstVvV0ZcPbszvP4nLqYa1C1ULF+aeveb0Hss5zNpg69cOrVIGL/WOcXh4RQ8fgjbByOFLwpFu
HY1Vfp3AsH8aiHR6HKS5y5lkAf8cdPXSOJNxOaWJ3IDcgco/d+EHC9Lvz+3buigCjwLYxXf2flkk
ygeXljkSKqJxai2ABjBgLt0cfC9XVh7m13gznAdw0NHhg3v027uLlBcwgMt9oosh3LPHVtVzODSc
Unb+TOSVsCodrxVTL4ZQRmW+JEVrfRZ9Pv/Mgng6TMrH7+lMyS7z0Rn9/VreFJbvnh2uYGmq8AyR
eUS9/P429GmUmpOOlpl/Av80qyfotlqxrF12qLDuyyIo9YXFCo26mei0YwBNvF8xTiKKhgb3fEe4
oZ2ciHsTw+cFGqDKSJJE1sxpheW+p6tmmxpzvbQjvVVWMXV7Rn5UL46X55Aw9US41d+/1ZlbnDeC
XFr2GN5ODgAoTM8WpTSniZWIjAQ77EaHoR/7gyg5Aoy0LjZDrewdJaRWq9JKv02o/w++mIaP1ujl
Q97fWkpxibgB+TBPz9uO+MvuwZIcJfjW+53lVhPsoK4m5mYwU3EVdN5TuXTa//61//BjsrlCvLfQ
1brUG8vL+csn2sCFK6GDfjc5enwxOQMAVM2dR8vMS39TU6GuK2J+LtGiV5eYbM0LmjPIJq3Ou6NY
/d6Cs/+E+A+an7bST5Ui1YeZyykWGslpXLTFQYJUY3SDNdVZJ6jfgD8a3re/f4+zRt/y8/E9INdT
VbGQ/JbYB2HYgRQYDruuBaSxaRyz27qqb58dI6pPSgzyQEQ8gVxEqh+qOdKbtlDew9hWd9ppql0Q
k/BHJJR777DtARuT46pm5nATZoxRK1bQD/YD67dlz6Hhypq3rH0uh+rz1yggp153zYgytUl+Li4Z
uJRjf4NJX98t+UAHOgzBsZdWce8Z4zfOBkCzFDRbzNdugqtZG5d+OENX993uxlJ03ztAy3iLwll/
xhcB5Aqq9Q0q4icvMjLyV8Mrw05pRaNUYXZmDAP+3jn7oAb6/SFeXiPBEsE+a/GDvH+krM6v/bQU
wy7sTY0Lyei3gz2oGyo5fQxtJ/3gGf7984IFHcRGBjIDCsXZ/iF7wChpKKcdZ+3y2e4MeBfQKDd1
M341o6T798D/y6NGMbrQgtgH4BI5Z5+H7KpAKNFj6mil80RsWYYvfPJOUhKz5o+1/GDBPWuuvn0g
LQn69y4aGvJ9z24orSgcmWakd1WDNRYh0WKPUcUDQSk1kdqDd03rz3moe2PYOqMnKIT7EstxoExx
23td9AgPk6CKbnI/2JfODwrcCqav9N8ETX6acGclJbrPwGiTcNoFORCWUAfiUxTGYOBzt7+eOj/Y
Qs4UPzrosSvbKj8K7PjTx/sOYzWTt593/2zxUnXhxFar9G42s+nJNCrxyiBibzgFzN+u7ezNZHTf
4YBWF3FqeB98efG+MfvP78LTwD2g+0e74uxB8P2utEkSGXetomZZISiQj41T1eu81pgk0rl9DIbS
u+0i75gAZT02pjfc2FoiVUMsiyqmrxiIu2lOagyzxqe/r4m/3R3JCVLYOPkFhS7/ef8eunmfjGA5
7J1LKYB7M7VuVKSgjlp1/TxK+5sPFv+e0Ye9K/PWfPj7p/9e7xIBzX/ZU034RLyi7z8+aWs124wV
ISQ0lnFvqF49jTQWx+sUv5WzyRvIcOtockF2tgxHUxq2qjkIEdOkn9K2+7dLfy7ICzjjsNPZfKuz
C4oI3DWh9zmsEyOA5qEzCNMwFWlLjAuh3neXvVH+K+Hif2Tk/OFHgMG7tErhlPEwLM/QL/trMTvA
KuDU7LKoBW+cBoP42UksKbpwPbzEY/HNo/OM+inl3ynDqj4qbJan8F1NIfmu9AaswHMoXYOzx2CK
R9eKB6BOHXFn5NhhXABbQMJrid3TrC8a0DA4PxNsDqgZbX0ZG4Mab+1ODO2mTOtyeXjDQn3Q6zuL
Cuft4bowJAWciZafRZ79HEzdEZBZPchzovXAKeY1UaIQMEuSRsxhjrc+ZosJoEg6l5tSYSAnWqlF
9AZZ0z2SGzYg0xksXx9wwM3Brsw0pwcbPj+60zmWD0kypohF8AyHe+hRoG1KhoHjR/f3t1UAQzud
F06ycOpMeZ7J26gCJyTa1B3U6jQkxM+HsuOnNS2HeIgZLIdl5Ljr2G6Jf4LGNG2UKj1zjVgDxYfW
ne72zK7bG4E4neAp07Orja01LOO/v5G/P4pQ7iBn0WGlx0pr6f2j6Cm3W7IGvZ1B82eT5Voeu978
zOw+uLISnR/8WuivslJ77VrJ7u8f/tsmTYFDgeaazE8sztbLxf3yHjgNYJAsSbwdKE7jnvjy4daN
AxMCNYcHoJT1B0lBb+XT+8d+aWmbbA3SAqblnT1eNBhaV8Tok2OvJI/UsKd9zpl3Y6SOecl80lHb
0JHjgT3VX+PUMbfZlKmjBSsHGl9XXKvZy8ByxO3Jhq+1L3RSg0bI6YYU0ew/x17lrEbdUl9p8C1/
v1tvQeVnV89WD47Tos6QfIn3tyvG+2WYfUK6MU/4td0EwaMobdI0IhF9KibOvDnBg6QoJ1jccQXj
XY90tyHGmKA/4ghRLLnA0T6oWcWyVry/LJstn/8s8VB0nZdf+ZdfEcKLqaoZzDt+sRxmLPseCYow
RJ8S1wnV58mJTXUcNRPVtUPurtrCW3cvu9n2LjpCvJFiGUYEwqlPGxKZrSjcjYWhx9NYw35CmZEM
8rKy0Gt8cD//dOHYLlloXdoennt24TwJVukOBhRcfyK0DmMzE7Ssd4Pb0nPDl7Kr4ceHAojHFhS4
L7apEONr35ZoaNmqbYwzxoAkPWnBoK7w+nmHPpwQlU3mUnG3opeLF9EwP7rw31dvdivL5Y6zuPjA
dN7f8bHqPOSQYt6hmnPKVWSL7guoEyK27OiuxFBOMLVvvDpNa9wt9KZHX+XpejSn8hoATPDBLHpp
S58/AMvRFI8rNkybW/n+cjqYD4TgEnzqeqPeRSHghd6akgvlyvYqbF2gtm3sXfhqDC6U0U3XuZgL
cHRIYS0dfZBR/3sBJplf8XYgOuAOyfMdXecK3RVjeKb2ap/bIdolRqHjPRricGlDWCc7ypodiWlE
RbhN/0TuTr6BTD5s5x6lGCkz8y3jYfI92iH/oGz/wwrECchnpEVQWcAidLYCWWUZeY2JvhnhG5Ir
Rfsar3yYVLcGrGzCDu0k9j4b2gA4YBmjufMN8gJekZNSAOVFYcAGnTwlrmjX00sOgUW4Gz8kNIj4
uDkuLmartNWm8uqFPS7DWO3yOaHMTDi1fHSr//DDM1hYqkmaIywAZ1/Grwi+SAHT70iaAAcdWw3H
UNffTWlkwEaHF3WFZ604jkP0aHBPblFZuQfs/O0et678YH20ft902chMQREnmdUyKXz/HLr8ejGg
HrGD1QRf2SzL67Lj1yCGyZxJvLXFttN2C4vccrbhpDs6Sq156xcT9KJ6MHGfjBAPBGsFJ5MocLbY
CRsTlbbM13NSoOVAzWY8enJY8lni9LW26h2i7+4reuL0JS8899MHa5T927vFEdbi2wjEPkS8LT/B
r4trmmkja9xgZ/GC3cQis68gBzZg9PLsy+AxdY8ypJUWJAgGG2HwI4nGr/wQ1WYG/XjfmZm1+n+4
JA5Y4ECZBi1D4veXlKq+syArh9DWsbw1bltdJjyvK9rK88YahN6Dh+ifA3ala9YFvZko4lZGI1z8
bI17M5uoy/9+Tcsv+34Lok3no/vgdEOH7HwFGlq7nkzh4dzU0v2swfKRLyzVFTX9sI0NZTw5rVcc
/v6hf3jeaPnyrDEXY3JASfH+RmQyHXqCox0ensjZ0/i0DugDvH3aFuiH4qI4IZhQz0mTpqeqNd2f
o519ieUwpyuIjGqf+V1zZeQB8HDLLk/Sat1rA3nnKpsF1hvMsu1eFYPYGuBnjjPR2Y+A7CAhRt4l
WdaN98FdFG9Ng1/vo8PPurzIKDp8YG3nXfcsb+DGuAAX26QmM8SeZpcYEsYGj2lg6WlDnCoBUh0T
iWjDIkwMjt1bYPeKrsWloTlygu3o6nk1o9+oPpVwx6KNVQIj32IYN61rbdrGuDIxZjevk8in7cA4
Yj8z+G7XQ4o7C6S4+yizWD+HUMIYvQCmVBNZUFEfD+say2+5MWrRVdseaAtnJ7vG2hfympBZS33c
U7s5423Wi4z+c+yNydqNnelV/idlZ9YjKZJm0V+ExG7w6vgee0TuLyizMhNjNzDAwH79HK+nqahR
peahpVZ3dYc7Dsa33Htul2gFNrD0mGrWOXlsGvbJYekXj2B7+B0ZQR2O3YceSEQY7BEmyAGWYXPJ
Q9c8IoVyxgwkWf7CpcMIW1Vj/WtE+FOhK10x46OFKJa7hSonP/uLJpC79Set+YLOXF+oEOoXBjnj
b2KqTbrb+HLAbDZCHFgPmCQbvIYMrF6DjJNLBbJf6R5A3urgfppNegu5ENHgEdrrEMrUB5tzB5Jw
gKoeqhgCvk90tXUMBuc+d+EJzSCSHisSkFNajXgezzoCK4ngjVTwIEG/YPNChAd3GYMnCEGOe/V6
dmyH2jYy3ssiAf0kBzBQJ4NCyzsFtW5euXgch2N9u1B5XYCwiURNDBxAlJ8t8jfE9v/9iP1rAM8N
yXHuR1QVwMDpUP75iKkhHpHbR94BerB3rcDUHR0x8rzA2n4IbEte37Y26ujxEr+GfVBf6B+9yx8+
xa2w/sdjwZFyG7bdFt+0zeG7essNR0u4jM0PW6UmqJB5ce2qyD00SfkIca27BEX8lminZJpaEPm5
jqhpRUpSa4WroZi2mDlQqX/998d63z3xtflU1DgomdlNuO+6JzVw+g+2wDC1teZXU4MKW2cxPi9z
0XyJcMQe//vv/at24YSjU+MFS14X2JL4dpn+17tI1Yvs4nERhyRd0/vK5PV1dGXzFe6RD7Zq4Nko
wu4Rp1xx0RY0Kum0y63N8nCLxDUcRpAF0n6Kt7F9hc5bvUWtgu+pRPzgtjNnxIAjlXwrrNOhqz33
T3cT2PZ//ZI0m/HfkiJeFbwz//kV0nCNFPotYK7ebONDH4oxuQwNFEDM4RMQtXiT8gr1atIgewL7
NnD/FTsxWxdnT+SZh7VA6X+qDRE1e2+hqc3gXPRfyfQxYueRNDXJrsbFjdHle4HnsMqWjoyp3ZCM
Xb8vXTV9Gjt04zlBwKdcmEheB61HUnPrXq4vsr3FSPT+jPTGKtF9kbE1HHwTiN4Twzu0RAVx69VZ
m2LSh75a8+awwHmwlyJpuuk5zfNtBEybRNdbf53ufXf04IGORU+mjV3aH0pVpTpWDUzeQ04n8QM1
UdecV10RORinI4Vjg2dG7+LSs+G1srlPBHoybve2ZjSG44Dfi6Hd+JMDopk+MIQZf8gRRFym5kLS
TsnWa68dZARkuwtrvX3SBtFjkwSKB8EtEWVUizXfQ3dr/WO4VuBwe+Z+5jTHtwUTSpeuuLCbQ9Mf
s7YND81UTjojeRLIo0IMSz7EaiMwgPBXzdlTZdNdBXiq7QFP1IzlzVh1Mq7JH3yfo31zlb1dax/G
W0pBtOlgJAMrb8K/OICS5yhK0dVN4D32wdo5KfvGikxGtw3OzMWGtzCYOuec94BhsqCK6ghfcqOf
jNMqOJBRrSGopG5Y7YlO8b8mpZM+6wqOATHsfU30ITzNkWNY2w8d1lRs/U3UPKOEBCnn1MvygD1q
GrMSyEnWm7jT5wZCdbUDSIfeHHV5vB40Xkb/yH8LGzSC2dft5iq0zZsY2/KROl/I64qj8CS8seje
SjzL7cGujR4++DA49bMQfbechpAX02HrpfMTrOriXQqsL8NhszqMD4SXDh+dgkTfYzp0HdTc1h81
ZqapwVGyhEzJSGYZ73qltv7QbCG5h6Ff33BuvU5LdwdezQzPhNxAWg4gk31MK6ZL90hia3cv8tod
SS6r5lNLoz/typEQvpOqKrPco1kHCRjV9Twy1Sv6/IhkLamOvVXNa8drdtkHXbnto3apu2dsIsTY
VcnsNJm7ej5x7S63rm9mUUDIDH3y1uxavuKfK/Gwz0m+3vs6sOrNsSqGLMazaS7liNFq51uzOacV
AwnJlsksWI+t9Q2WsIl8OvCAQyKbArU2J+vXjTzhl1z2hoF++6uOFMEirnFleG3VErNM4Z8fzqTe
3wxapUMEjV8O8DV8Jp0hiQ+qnjPDQNY+cevhzW4R+RHAKZvxCBZwE8cYQsW9pwFYnFsnHzjU6Vpo
8siLBVak46zFAr6XsDbv+SE1e/YadiouHCJtcoi5b3hBPfHMgbJs5FERuAIz57aKMWxBP8D1Hnl7
JVrvi2IWdbZ4vDcflBdBBQ7hjxOSFI45OZ6bDHCCFCHZE/mgVZPBM/AgZ4db+tbiffOuoEWjt0mX
5mc0zj3HW4+IMIN+FeijbxqobS12ojpzmD7q3TDa8WvoqybKSGbsBggmCgq4g2W4xaxZgGeZ3NTD
IuxX83ww+Lc/1QbzlkHW9ikEeD7gw4+mG9oHWcAdAZFtuJtbk0SHYutgG9QzKKAMIzJ4pkC01Y+8
d810sIDxPsWse8cT4g1DBMzqWLtfSCROTk0POOPgNcWEGY07ZsrmEJ7Ki5B80SNiFyrG1a9LfajE
ut7B12j+qrzEaQ9TCgMSqQMJxi/upKarwU6DLiq0nmHbNur4QYaVxKFVo+Lx55Jzoo8k1QqL9RFY
dQR2FqceVNCimXnUmWQbaNnL5ILYaZLpxR3m6aPVI34/vdRT9ZAOlUZgy7zA/5gGOvzN1Y26u5YG
Cw48RdInZ8NZm6FFs/eAH/WvIBg142a7JM0hENPkXhzHEuZkSznGr2hhnXyPQcj4cLx59E8rFfFy
qJq1+AjTFLcgebRdcCHIdL04VdXMl3oe+jdA4y5xZfHUbg9r6eiZm5KMSRylnlkgf9u2Bu4zUaQl
riZVFYCdPUTM0jCHQpked8yQJrFrx2SV8I36CC6hMxArN7mEMOLRTUDsdQk3sNRFeA1wE3RXMhm4
A9J25Np3Vk2nDSWswVji+h9q1MnlW+5At7jMsBLHK9YqO6GSrScqtmn+oNJG3bF+Ll62mmcU7Hrl
Pdeyjb8sk+jXU+265ABvvV7fRKCxBOkWv/gTzApD7J8VfrWrdcgRK0MbEyk8TMBkmoGQzT2uR0nt
d4PrZHZwUWZU3gT8NIZVyju69D/Lec4JRgKpHNxxH2iEulEzvZpF5DaLhTDJDhVeM3LoryTceWug
wIZ409ofVw/gt6wSrkviD4wo/cRVGi9gaGFmS4//F7Lh1GVdovXOLouZ98nt9AKBX/AWnKgISJbc
yGfGll4yfEtnZt+bQVK3r82wFccKbAg5nvxHuGCXEBIIKFjvOvrdgEvCyObTpoIG6gJzbyDkiSCV
oPZb0+IUwV9XAqyHldCEXXTJY4v6w5mJ50yhoNzAtq77WCMuJMmmDXyKH0qsu030tGpLBWdjbxsL
E2IEiHEH9sKy+oRrtd4rlbCbtQ25m6pMNgZkKwPma16vvAg7NiFUBSUDr0Db+BXZ0bRkcQSj6EPb
SOM+tqzN5N1czPEPtGupYuXtT3Inx7GrmEUUY4vMeZi+S0iUEkBxwF+jy7eE2rZCHZYlHZcs6a0G
4WSNnrIgsA3kpHXYXkkctNOhsc76c16F+114zUvB08LnGiALZJwuDJjmoIHJqvoa6GvvBi/5ZjFD
3KbcSPrYQHkPTuUSdIvlxHnwO4d5uUhx2vM3gHWe6wUK1XENe0BQJR77fTssG9kiW5JcJwEz4Vx1
DdfG9driY8n0dcd8s57PJtQSJGvRITnwmWq1maf6FCbmhKrlwkxmvfR94U+vdu2UsxN2CH8JHDLe
kZrPcV+sA60443mPc/wXcnoJUxZRh6XW3KmUFFRHnZWUw1rnsP3rzhZ9JocpvfJeDac9MtW2Q47v
ecu5w1S3HDk1Yn0YmwUDikhx3meCeN3knJstQfw+B+HLgEdq3PH5nfMUmWHOBg5y7M7G3LhUiqiG
PMKPdxFdDrwNA57DQjCZnPM8Jnb6zuDTfeiB56JRZ2mJKzOxun8u2njOT0jaoYnWXkBYoY48jCKB
KqHnUP+kxxI0GhBAMPsMILSW0SlXYdweHNai1YUvGOevPcnJFwRouSUGYzPyiZjaaETW5znuqd58
7zdDp8BciVZwHWBWRJYtTdj6BzGtLChbnXafcJNO4tzBxGt5Rsvge03XMWealBiUb2tjx0fjbFSW
vQqL4Yw3bySOcvAIROFh78n+BSXQEowSbC3IGTI5mu8F/qaPTZp0ZDjHc+zucIEN/nPaac509mi6
2MXOKr7WVVgkz0p11XjE6sU5BNpDki4wwIr+QiKRW5wj08mnaW794Y4TnDkMiaDro0natL4GJlSo
21gREta44m0/1qQFQnct7AymPeRBvSeiV1MLq7BsLmULN+fgs2l4lsNAhSHVmBCmuI49e+0ykeZe
pnMo74ZSmgo5NPqmU69nED++LsHl9htnakkgxSu3PIqWEkksmis8bjRh5RD2R6/Ha+n5NJr7Jdpi
AYNZmXtskDQRvIMhfBfGXXKmL0HyfZI3aFe+uSDUcuIAKRpbdck7mM57ArqArbhuHb0OweD3Zxki
GDvQsOTeWQI2Isv7b1J6Dw0WUtkESBAvYlybbGsr+8Mta2wVppTFFb1pOmWrqriEzsAr27RzMkEO
CZYBtFLnOCQQ9skBr1ZJvTMVw68ivDEI1sYxwSNkqAA0kW1/BKuhK12NShBKTT2JqJ3TDr/Wkfrt
0pc3iFgEDZBGf1iXYmf6vlQHx8mL9pg6mN0A225gfRIhoh2QX4JjljrXMES6yc7X2t50sVEbjh9u
T4PJhhZ7TFaZQn1iXzm8edzR5T6yqmqw/60m4GxOVhfEDq3Yzk3KSpMBCJ8Eyl0wnaZ+LcvDJFEG
Gs8rfpt6LOu7YR5qzboxCK5TI8hTdUOlyqtTpQZPON4iCNMJChBMlYu/B3nXoVibnPm5MPhUj1hP
uu9epevypMrQre44e6cXQysRH6aqjX4OnfGcG586cN/SJWzvyqnozsy5u4z6xOtZQAau+J6S0/hY
AmGOdm0zrseir0zyIZ3Q+u0Tq9hXaPfG7Weir/vf8brpDhaiB0WzdBTwjDkJ7YelmNVyYaOU37cq
HuOs8r0x3EtksProeQP97FiUTUIUySwWoEhWVMey4H7Y50knv89CDUSQeOOY7lef/01Q+3zpViTA
ePLED3+Ws1N+msN2iW/YvPWNuZ18HYfe/Yu7oq6hhEQE92LwUfZCKT/Jx0INHWyyaGl+ak/qc7iJ
JgDH4lAfCPLdt30ojF5fcmoLd++TPYJIGgt5n0Xe4PknLA9A8GoKOHEvcZsl94LcxXZHnh3R0iUU
mHQ/CnYiWeyb4qZOoUx9ClqgQRmvA1IsK5aP0X5lbPcKV3xecW7DTCdjZMjhw6Xaz9tnqqD6vgsT
Z76XArxNSh3nP+AIFjPVM0ybZ4fsLh8wlgOvwC998zq4JQODICz0dup5tYiPbHm68ZCiRsSYUTjp
dAiKdQieVL1Fp7WaQYS4wFbLM09M+jVAB3rIkZPzEqBosZfUryGu9j4ZN9kA+rT4KDHI7m7EV0WJ
2YqrBNK5QVbtCwKPNu3m+O59r7+GciwhcaMg4XhikXdOBPZVxsJMgYg0XcJHDY2f1NcSZRLJMoE1
x1Cn8s7dpPvdTCJxsplK54ryyDWgUXtCaRk6lPfYKIkp9gx5LIch8UkDSjcm/BDODGoV5XPqR4Jo
qrvIhYxxsu2Ys5GyBdHVofTMXQ4WC8huP3vwTLvmNvZFRhkLzC+LERn/YALACynnyPuwTqCyNcye
gY5V21BfSItJG2xuqcucPO1AvvZlnr+M+NWSIyG60WU0Ypz2VZ4v36RlwHAc2PhvgD1A1j7JHijQ
h3SYnfQxaAS4VGbVgmE7Amxek4n5OqYdbyuKLMoGELJi38m5oLEpmmXazUrk3XPiUDFfRujq/kVs
IXmwDolC0W7wtBzOq72dmQ7utY7yg4b5ktQzfuRdTBrNp5VedjtMhtLnsHhK2aMCbWfIUanz71WV
cA6uLf0UOweU93snyStwk2BWz+yefcACFnwV9hXGZndOVAbuE1dZ/JDgjvMszvNqywA0rNWTt+L4
2LfWen+18IlQ77lEir7kKi8l7mHQWOeqKaOTgEZWXexqbk2inpprFXa1R3qLjXU2Wm/9UkIFBwaP
w4/3YFMgHUgld2umPJlmBkia3M8gUoJ9KcLxs41lud22jBF4cj1wNvSRonmdUdbKIykNPu+maJ3J
vpgxgGcIa2B8+L1TEt++GFBLCQFsFzHSDj91jVt/Wvu6+h4sdUTA71BJsnmqOFkynMjxcFl06Rdg
x4z8wm4KtEwQL/z5NNk+2K4pWCzQda9XOp2ZDR5QiEO39kGwZ1Ilr2WqFmdPfESAb3Ags3gH7VjK
G9axesCqk99BUBLqHtQ6jXs+LCq8Rrw4vk5sTMtbKlf4I2XiVxzaKu/UQxgwFTn6qiw22Au0+OCy
arLRN8aT6x3k2NC+EDSBLF1g+/UzzUQezpmogLj3qeFAduJFfA302H7xNslGsuMZDUk5r2yU5dM2
m4tX9P1DLZ02+TTilUbpEcvx2nS1Ar9JKQuIedHMAuO4WMALIhIFVbgovC+r7ptfi4gF3qgwqX7T
2PfdSama7Nto3djBdmTQ/li61YW4EHnJI7EOzH35aH5yAr3I5ykLWecgGSPnBQlgOJ4YHZUHNtQ5
VdvaGPfBs26y7flRKMQD4QQv4E+ER3lcpL8QwwF2KExbuecbr5IU5kU0z1JF0A9XJsYNnaGZKXjt
nNI/dcvd2FqfeZeQkhfalubTEVQiqRcO3wj8U38DkuYDW/Udq2+S0ppStL9Q2pAj2MzeD4aD6Fia
PMGDhg8ZcKKFUleB7fgCErv2aZtgaj4DUfC/VuMay32MoFHt15mIJOhS7bTS4WPuoNhytL5KV4fl
XsX6N7NuI17SoCQFMEqMM74GvJ3iw4g+pDuOVhDngfc2IA5Vs4i/urMFRkCtmwADdJJWPgSdgXVr
GgI19k5Ji7PjtzaXKOcFBqohUQjMJ0vQzUq3/qY3BhrXZBrW9qrk4D5ACC7fDFwn6oBkq+h3+htw
xzqQ/qH1AjgtE0rMLSIp+t5Xy0qgRVHTRtLWyOdCidbfKQ3QccccQzwQJFsOV/bTMaSywO3MI0nD
Ynx0xRaRNj1vCz0NxOnp++zUwBW2xIynXiIVb5TrfGvjsAbMicLgRInYTYxElHpAnLqlZKSFVUXJ
4GwRWXhV0+91AyOLR39awtvQQiQZ0z0bnQb01uIJxh42nMn2G+QYsW7xZ4aYitzuAF4apJp2GM58
40pBu0l8fcgxWi3XoXEibNV54Nrr5JPzdy6bOk4voloqXM2JmzODKHXi3Jd6GetjZIwB8ceJZu8W
MNS/AhUtlNpYVQdKCVIWTs7W+znTirRt/Cc1SPdCYQnrdgKS/mQom7yzaX2Bgt1LKcLJ6U70t0Ej
nXk0TWCa6xr16gtpEeIHcmBfZpIkGLKjm8H7kAdj8bKAcTeZO7qanmGsq+0Ol+fUnXQRRNk48lLf
Da5CvbUN/S0xve3m7T6i3Pts3Zh3kymCyt/rqE9YL8eWb8ixFtb7kMHZVyCEyWfRrTeNfM4Iat/S
EYLN8/R2qCmHf/R1K3+4/Vx8y8EubufEMTkinLgtfzLjmy+hmT1xBGmwcWumg613Mq3mN/xCsDio
+Ej9MfwyzHylDyWLdRAY3LxwdRYO0XjxK098HmrX/iT2ahovGrSoQeyB1/7I86ziU1EyIt97yxSs
56GuyVPq09v4k8mwkQ8wFRfygvhWyalbRvcXU9Yw/yKGqo+/sbzd8nvax7DdpZU3e8e6A432SuCN
E9DpiXX5FfvQT/ekj6fB3jMhytWKOzF4tgNFSVYHJYNwqjkdHqtYNA+6XlgAsh+uv/dEelzKaJPd
vllDcYIDTxSZtMEYgKUnf5SLwZ8ZvJwe349GZgmjSnEoEAOnYU7z4zSPUsSmP1qW0t+WFWvFM1Yh
oHKOWGpxRy0572PeOYcRqpxzHBi0GYKVhzyPz5Fc2p/K15Ek6Fh108+tn2YUPoYU+R2o5sUlLcil
sd+6ltB45gB1+iCZXL3kHQnhLMkQfGQpe5DP0N3K7T43uOrOK7XWnlcUbwTDqC380XLDftK5N6uD
i9/+nFagZq7lPLHfD8obq7Nowtnf47F3m99rZKs6g8fSqmMUdbG9q0oCqGzGgDzMUSuN5lz2bMv2
Bt37T9rpattvnu/85m1MQ6WcWYN5Q67ovt0iA8pHi8uv4iFO1bkswaDcd2OAZmkdmNhnoqn7NAub
2vH3kiCsV93B8ScItmSQWkqVJIceKku6r8rcBxQvV8iAK9yKW5RS0M4nB/jeQprhYrDFIpcWB7cd
gqvTwq/PSkAQzo4De9xH4I2CEzwFhKcuskmxr3r238AWebq+mNES6R61RZB/ZAHXPyEXmaKdnMep
viNyLQB8i6C7PDVTnT7hG4tzEn9i38nMVIzzgf9A7ypsw38leJlSwGZreK69wflsBg4uyF62NnvO
6Dyn7/I51BguE6oALa1+LSRLZwAMeUAwjQHSj3M0iLNZB8VjObVjdVw2PZkTV4nXzZZ7RE5pyL8x
D1jCeI44UaUv+bKCOG7CjUmnjmuELmYuZ7S/4RYTOZoop2JPhCZ+37MInvc2HhnOLd4K7XGMypJW
Y2z7F+yOXnsE6LaI76sX6w8DR9+XkcCo8oCF8JaDVk7BgyRBVQMHXe2nTQ6Jd0UQTF5YaIgARwob
uM4hUELqSzIr2e4nOGfeOSpt/xdzBq6VktPtcYKQ3e4bv1Tm1LZNctKS1VwG4q9JTxNCZvqpviwg
aOh8/aRb0f+V68iwUGVrKaBZivxsEBgTeUWXR+RCIkZQliYJ7wD5WVaxDgOzHThwQyEnwPmceNpn
MLyRwminlyj+RSs0rLeQgT6i42hMcsWBhYYk7ysWbrBXe4bSVYEWZvXm6sBaKbnNRX3vqVHc8hny
TQ7KMpaoDJgyjw/A2sCRK+MVkhJVbaRv5qTgrPwjL23rLU0G+o+wHNM38t4VgNXvozIdf61wxIYd
AW1Oc6Vya5hb4Mc/1pzE85FQgaQ6twsDHEZr7FFJ7jOme5LCRajU8z3jk0DDSrhjwxKQJUI53rM/
ZFBIiqD/uyrqgM8jbmD7Zgzy8ggtBv1CELb27JUz6/SdEzDAzkZny4lTo2kFbLklTGKgWgf0VGAL
DsO8csXbNSJ2eFVucdBD7H4jOp4YXwaP6/In7dpNOPNPSQu2ZXIk4CigdgQf8U8hRFG79GzenJKB
yVBJM1TZT0s0X12nXDAQ9sVPuDcrq2oPuDGTD++49iDbqcOC6xYnhG4Y6xPlZuNz3Y+kmCyT/Kh4
Zingi+Kr5zbRISTnuN21eaM//rcS5b1wm5cNLjs+OPwrNCnxOxUHaU9NvLAuAZ0eEh7l++TyCpHe
4nSDS6MbtiidWBmcsr37g4ZEvBdk4gi+SS2j0GM9zL9/97fZUtkkrHsAxZGvn+YIjVo+hZ4PLDh1
m2PMG2tFHs76uzrpPDH5fozjLT61wgTBEXcDDIfSb2NAwqpzI6TuCbN9umw0cgaSNccORXZ5x4uu
eNGmNR8q4Rv76JVVQnpFUZmaIl6hYF49qC8sNOK2oNBjRkf2jlrGo1zyJNn5bH/YsLCliQ5jvrbq
EZy5JLI0vJm0B1teVmdBH74Nk/lIXCFj8c5OPwP0TBkT3e4zKtj5mU3HCMmoWgk4kEuE+ERPgvQB
tKUEg0iXS82PFJcvlCh2+C6rPE72LjQ1s8PGUH23q/X7bUex7XRfmDpjDb9xHEUmo77+2doOgTrJ
tO7zvJD4vWN/Wy2vshgXe/JCdFec0Hn/LVoTLMe6N843pCvIy91CQn+HAW56pqyNw0Q7IHn92C7D
8LWKgVr8SXL/L+HQ7Wcnc8m/ESJuvsZ/Pi8hw17G7wJ/Z+NMR85YgkXxI118Lv8hmBpvT6Tg8oNc
z69LPJS/wrwVx66wD2D82De34fJkyBP9w934L0vI7W6MQpbgWIz+9of/82NJZiY+s8P1iApFPfIy
cz8ROjidQugs8EQHfSLdgQVjkpLCuRBi+SmKDUgtVLuZ70tg6b5pgz/o5d6rcflQPBpcIx84mAtb
5J8favLVMLu49I9Oo4rrmAK7pVMYqovkUNwZms5LhOTmTzaE25P3jyMNAgMuDuRp2GEhNL7TCsZi
onAK2WZpxVS7HDWVZx2Oj4jp0ZNgeGaFRvf85gxNeR3C5TP/N6BGSR89F7FwYaB66XNUu/pgx5pa
6b/PrP/r08H34KwFJMYP9u4G8lBD16xBvSMn7BMIV613Zd0ODwRAzssflPD/sllS7ZEGHGPqAgsH
vOCdEl6yZZbBXHBoO1P4Y9ZDWGC/3fRhWlw45xu12lD2Pgm3anvobnlOSaME6+ncHv6/X1vALcLv
iWzSFXAq3t0L1aRM6JKHlJdmeq1p3Rk3lWmaJYOtfv733/r3ayHxUUKSD+bf3Mfvj2aGkzPyCmmP
gVA05gJ96K5biC7Y9REtlmbd+2VO6PhnioE//O1/iTGR6Ke3K44yEuu+ePfz6jXJWTtxz89leIOE
swFI/KWFC6gbfQCO6cg/3FC+//5+x0zPSNvHc4XtwX3/mCkaFycp/fyAQw/tCkziSHIouf1hClpq
+qCcl8tcxO6C+q8eoJh3Xn9igEWLT0vkXrokpCIxtvPmH65T1zqDnc6AsqYQ4H5hCRAccqrEfd40
NHtlOI36GtllgKJgexYr//3zee+vIRxTj6UEgTSIvrlp3glaJ4LBg2CQNPBonX/Q79gOwB/+aY7/
7m4oIvN1SAZklu3GmdYK2SEZS5lmjDeHLK/faDcHC9PgoXAf5tkJvq0k9v4BLvl/fchb4YFhkX8h
9n53QyMQJ8S87U5z3wvvuDXlvH10e4fkVndaPX3F/TZP3/9wad6Xa1wablGfHEFQOAnG9n/+VfRL
7hiC/DkpkscuTH4UlVkYvVKj5QfLxvwhAPx8Hje2JzvT3RpGA+LzzDb6T36/v93J//ucjW8kMbi5
NKYYBfBb/POzFI5f9i77J+KJXfR1PfLAO/Dz/kME2Fncq9hvyztLz1c/8kTk3gkLHlHTI70TZmLB
FmOXYosnoKF00+UexStLDERko3e3KICt2QbjHmHdqDnGnVpHjyxYGnuMg0QPF+NznO2IW3Pl2dcK
zl+JgmMXW83YWK1+OT60qBzEtQ45566VV/v5fWQZsO21Yb6zs6EBkFAymfPZMwRggGlAb3k2hh7r
HvW9/hLBktm+kifvVk/92DHQXfVm7xTBL/FdEI5h8OhPKJkIanDj+4JbrcnCWWLI68GDI+OYl/ij
wOSd703aRuYZbZtcM8aXWCNGnLCnP9we74+CmNete3Ns4OmnJH5/ym5wKZk3ri7AeZZYQAZSVe6Y
e+IzK1wB0ioYMP9lQ+QmC84nGTgoApvEZGlezs2dSxopop/BHZc/lALv33qcw34g4DDdWBDo5985
xPB5utDXiu1kyU7YT4Rf40yteVqJWHXkH/xovEjfHYnQNzCjQBihtaH+EO/eez2kw1bHU3FCuiaG
mwLM65/yfqh/t4GjtkOAKwItV4U87GUmGPJTOidlcp0ZEBZP24Ij5VTPReR+K5KZfpuIdRG8MH+T
j2mLri4r0gLmd40oyfvaO12zfhhkOTSHgTJ5PSilR/cQERYV7CPjUu7rDRjSQ94zb8fJ8vcF76GA
PVqyoJds5upXB7EaiMh5bRy/4H8W1d6nGUrtdtY6bOxH4aH/3pkhDNjrQTTxzmmddqfQwdO2v+1H
v6RenvwCKc4UpfAEJLuCqRyFXTdtzgFQW/vNbwvv5HpxHl8bb0OGi0srJ5OvxriE0x6kCbV/oJ/Q
cI8R+3NqqxMbMViVWm4z8bl0BWR6Bs6Sf9Rs7U8xc/cmi7a2/2sN3KU7IkIaCTKRaviQjj6OlGFw
5t+qb8lbtqlp/uLdwcSnBfbdfmFN4w/ZRH44iQVllWeUQ8H4WdVRcSlon9pLOEfLa9CrmMIkz/v8
Eoh8/RlwsnLE93jks6Ce5w9J0KXmYtgeBnvW1PrL7ZWV7gYkpjKLKkNkaR/KBAB10gS/vcYn3qcv
p+1Xh4zyLWjqUfwkFBk9uiOHGOD9TIJGhbWbUJBdqb2KJQQ3y/3GQLImzsys8U4kmEsP6G2aAQVW
Ph9D0XbsV8eVuSLLH7oYtD+zk/lJ6YJPq1sSJreAjCs+RURENvmfdYqBJamKU0zDajPXm7uvycoc
eCfaxWeeFav8Gy9I29/KNulUp34lHRS2rxedi7Xa/E+4Z7Ec+3Yi7ckby4tYHJscEPYlGKlZ13Ge
zZVKzg24o3YfyUT/WquFvWPrFfSRAzgHZ4cCjr0DyrXJ3A28gCSpD2C3dg79b39mLiG6OzmrgtCl
aBuuzNgFjqxSyHXXB7L8MVVdpfAaGyBwnle2bVaPXs/2YrHkq3Nm8zPIjuBseDRb5+9ZXxbPfon6
nbkOoYN7JzCVPjhtROJ9EOv2DQYuc1yvW8u7ZKlD/ANDHP2yFbGVLDz+h7MzW5IbV87wqzh8TwdX
kIywfVEkq3pVt1q7bhialsSdBPfl6f2x5zjcxa6osubGMfIcDQogkEhk/ouKWRE29vMDhqo0eSvC
qvNAjRwkTLQoj1NlNz94/Qt3rUzN7ICi/cvMFkvfk0bx1rGhnHvSNKfcm81C2jSI4wHNo0FzPb0s
SJ/GONSjIG2M5EZomZYFZTeAt1OK8qMr0vm6BEfwE1BJfS0yJ6EtrGfoYEsDwZTr0uALomCSA7qE
KONIX+Edu3ipWc3Ojk6hcZfolsstPZQggTurlUB1IMiSfCOucDNgF/mZcmyPnV0npydVy21ELQup
3YHpVBp/7uy6vKNwiWCkvdh2+DTqS+zepkOLwxnQFjap0yz6N0Srqai1CQzCHQU1lrsEtwipTIvU
yW9IY6dAZNNE8wqpuoaed5g9Knkez1fzRGkLJFuqd6C8qHTA4YGogOtf2LEa1pKANHIjopC74nns
0GzvSpnMY4DsJU4veAaW74Ht119NimT2rlos6ykZJtF4hhNVt8tKn9+ppAiGb2eAR3b1lI3YyGBz
eeM4g+mXcAG+Fn21lN6M3eTilzKNpushdfKv1LTUyaP6YkYYwRVl4cGQwjKhcfG4m3VKAqPUEZfR
yuRbnsF4uXKLOvkGixEOTehGIy5a+SI/RynAQFTb7InIRzexZFfk7G3+886nMcFxg4ZQmH6pGnSG
EDyzpjxYgP7sF0Tq68AuMjx3KWWrIQ54abIAt9TT+X1nFo0bhLkwH0sZ0eIozbh6akNh6X6jlis+
ZAEs7a29nA7BbldLqN/r5rPMyNuDoVhsea2Z3fJ1FDFpCD5oWO4h5yW+5CDywZuAWUp9SvjQEvUO
Q8R4GGngV7OcIw+FYX0/h5RCPW1yMXjn/1F5trRB5MaqVT+L2CJHmnD4MHxQ8/b7MZsIP2Xchd+L
gl6916NRRPhBLv0BvJsFyWROl08L0l7FbjIb/QN5GxrVYkAO4BqpsBXQ7kJY8harqfwppotI+UpX
9N2kmkqJNY9q57f0mqbP6US3lDg+TfETNlHZz2ZcMJNTqzq+EiUSnAQspceacQo164tGXwWV+QaZ
oBsEGBSIlSLiOqK79kXLSmj6A4C+KqDVKXx1ptWDvcEkvzQy1ge/cUpg6YQpus0mooQIfMyuuTzW
pRrtFRfkkrcsapJczR2p0g4kt6buFWkUPE7pAuiHfIDnNxqTI/ax2cUC81QNT+a41atfUN5aADG5
ZJ3jGkwEcJtcOGAS7QAO083cIMAAvbKHGrboybTWsKv62aEJq1Ly1Y3RE/OEpeUgjND8KFvHmABc
94P2OOmLIz6Fgq3nQf7lUkPLidqWO4RoylsAMPw0DaMnPYXNAwV8mA4N2UNLIIertXrlpaxIR+nT
lthIPub0/d65LQAgn6XtvxtzpoT5LouUwd4nRAn+zqi5iOBFSh409gQ5VJ10teU2rbHhGbDySW7j
wtQ+aePsFteU7SGAUa7vnjOAWiXkizpU3zsqRlV2j7KPDxgpxiSAu7Pc4WD9pbMSTE7jEjTbXrNj
6B6zgxIWANdspXi4Bc2zPIqeMqLyM+DvNGERDVMcxhYSB/jdMtnPydR/tmM1fLa0xZ2uQj5pEGeF
/JHxUFz2dVJUv+zIAeXXcDILT2LHo8BZqAq8WiAXlwSnjFrYOCa2CtqDuwsihtUt3gCzE3nwsZ5u
bZ48dIO1ZRivFAyCUq/jCcybGEWvd3qOXs8n9HpDerfKVNv7rq/Ehy5LC6x2zZQ4lguj5e9jbvnJ
XuYRy6HUXe6GKkOgEzWg8hovXhNTSfRbD01XRsBaK0vcyRAxSU91YDzsw8WENDklDlw/Z9LBPitp
l6LNK7t5eQ+bT6I62DYmHrPJZOK+mxUzfXbhphiSoKT4c2qi2tnNidTNQzpldsM+bynqL6oNuLNz
2AduJD9oRapH4NH69tMg53whY7RMr9DXChGC93HiRbOkHV6k3aQEJqWzEjO1eqr37BROUGTw5MPV
YB7uaOfUP1C4gnqgTepgPSg0lUfPSWbt3QKijtCzaHLyy1JL4ruyK/tmh5ln+N3CF/lXTTixdsOY
WtVtOQ/6I2w4Gjywn7tM4K1jlJOfynpKb5wErU8/KwjWdwhjSLlqnKYy4D5IzEAfNTN8x6FfHIBz
wxS4HUHrXqEHfz8ZQ4cIeptY4oNZRZgbaTFqnjdOyUfy16c0MJLYGQrPUEGW7fW0sbDiUZfZdzPV
BIeTVs5XJZpileAEBGJXogzjXMVRFkMBnpNFId1ADQh3BeC95c6mXeO+i0PeEb6ma4vjTWNWLw+Z
JaYKL7WwdwKy6m65IkEPMQqNqx7iP9oPmp/qoBsCAJMY8w5TTqIYqbBVvuIfDPwjH6pa49pSFMNv
dbO7R1NaKW6w+kh+LGqvUwbu6+Q5FHxrD3pN391VGjjZ27owcvGA5pEYfrdWOAxBBo5/uC7TxXyv
pIlpHcioWqI+CLep381gP4qA1Mb9psVmeTXFiers+K+YkJxaVG8ekzZ2aEEMeqkG+Inyv04VBXqb
aaVddJeYkZs+5WLES1UQvYbr0cmj+KMNG3PlQ0ojCpIsVYuHZAFPcl/Uk8j30EOi8as2RJLneDs7
cQkIGu0fO4/D4UATr4qecvSx4QfUg6H1NH1EO+8F9rQpEMMpd2jNxtrqeN26+AcLPKlHkPzK+IhA
a0NhK0+r91HXgmPHGbsePWOkd4XtM/XSL2ZsVu9BP0J2X2KgAaSXSfFVnaPEvWSZ8baGRKYPjkVz
bGG4yGgcV1DKKLGAB0T9Aaha9Q4ViO8SBt+4o2es+jKZLqnzroWz1xUbpEPoEyAk4qDYgeTWpjLu
8vjOx3nuD+mcDZ9bLAc8boL0aYy7fk+3Iuw9txy/IjTT35PvXiKOnxqeAgDqYpSOqFRupts7ggoz
XncYSI/Al/pKQeOiNc3m02jG7WdXa6PfeVeBnKqS9k4xlN/nyyPb8deODfUR0NwsBPXZtXryirdO
+XRuGthSB8o1lbODwkUVhnzsGvhTFyDjUQeLUw0rGg9QPbll7Z//AduyxFoFoT9DsqNRlcbH4vgH
SLIJFZX3Gb0w4ORgrqMbJZHqF5ep3zmiH75Z3MUXKu9vtBPWUSkFoRcmaFeS5h+PGsHN07HGQ2te
yT7TsUluhhErER2sauKrKSyHKHWc21RDXSMH9/2EtkRxof7zZumRwbNedArQMMZ2aP33r5becUbY
wnyZQ0waWuHaiKrbrTr2w+ihgFgvtzXSUeVTXJvNz8KN1Ac0Vbp2f375XwrHr/c/SRWqJmgX0IcV
FMk2K4EwS1lpGjjxeUT2mMrp0PylNnJcfjZWPQ5PoFZ022uoplgrR677rZOIJ/scsabuvktbLb/P
zVFXHrPSrdrfYydzSMCJsKNbbhfXgFvKcdoNbocCzCCXHNN0aU/E7hg4khkL4q3SzH2Q1aBiPKXT
cvV2mRzwtFMdV+NemqoIr1LErIpP0C/M6is4cUd/56Q9xAsrDvvoihKwRPhCIE91ldv9aHoZLoT9
vq9cM4dCDuMQszKzVEcIw1b1hb77rAV9rxc/oY5ihzo2oAc9iXDYR6rvGq8dVFPy2wznZOtCkfxN
XxKnFlj61OEMtHEs+8W+6tV3V8HQznY2wixD1tmfAMbswwoTR6vWk88pOJA7C7fgmx67qF1Fcv2A
mjzGhHJtnfdz4lWqrK7O7wLtzTagD0b/zUH5ErNHagObONAtsowUdOj2buug8zTCNFNuujLVlM/d
XKAL4IQDzEhglLUXGe5SBr1NYvSuoVzGESnRCv084VDRXINqm9UD4B2t3pkDNY+fcKvbzw60+ehq
DqkXBWOpYD+NzQNgz2myvsrecgSpq11/UdomxwoxBQCcI5Rb76NCXcIrU4dasOtrfTUt10uwGehk
AHgpwpnUEJ/6MsiTUAIb7LPBvoWuMZY3FD8s8/1opJPc5ybqsh+cTkT1NVknTt5uU8UmvnXGqOw6
JXXuMvQPTZ9GqvVFr5cmB+dbTw218j4sv0nNxh5j7syehy4CHs2+wpgNthdUOF7ImP2QZnadBeRC
07v0cSZPtW94/dDvRnh6SYN5Spv+QehNSQGxrJsnMwWqD4tBG+ZrgRCQ+Nxr6GZFSmqAnQKeIT5F
fKjP41AZP1rF6uVtO1F9CXClNGMQsHoY78uF7goA6RZYbqxXy7LPQZcl78auGXkft4vz0RzM2fIy
GS1PLQcLT3lERISfkhrE+yJUKKrZVjEmPOd6Fw5xCk0BLAO9MNqE7vDOGlK38pFpoGCOPmQT8BWW
0IdjOGf71nL6HzKP8ALvkFy5mbQITGwfp+2+n3D79UjimELcxwIA04heJ/gAs925YaEpQYusfPIw
pEjc3FRqwTbHLVcMnh3JanxG7xTw/o4NgDYzaqvdagw+gfy+ixp3fb5qrcJYkcgPwFed+VFmrSp3
iWK3X3mRkQeDfAEI12Z6PD1ErVuLJ62v8huwTBrAcUfg8Itrc38A81Rp+1DLovhQKpNm3cIEZNIJ
InEJtqxF+BWqOxrobuaYDZIMqFEVjRb+MuMOPlQ+j+DFRlQbb9p8stubWWlAMimiHD8XWdvbOwrB
an/hEttmSggckvZaq/nNap5ibKAEKJ5LNU6WCHUtxPGiyW3eLw0uL2Qzy3XJRvvDNu46HmnCKurF
99DszX1FLtr3g854RqEYH9AvfkbHB9gpgJO/YqsZ/zofk970cBkPqWzHxTgC2AIarMf3o624Mkck
BjacbcGbsZvpIY7cfQMP8ltaoCyDqNWAt6Q7VDs3GU0NP3N9OtBqd77pIvqR2WrJ+1iYtHFtJGbR
jk4drwzHJPRdgHIe6VB1l8mhvIuhRcM3Tcwv5+ew7bqvU2AGOi6KNv+sbqIqz7Mw7jNU96IJ2RfI
BtrehhflC3uh5BrpCKKpVAHvelgJh/NDb6znaHtjEAKmHvk17nW02DbN2KrqgUX2odiXCYwb0IsZ
ArntWMIgC1Wrd9+V+gCdCLQxSNdWREA9lDFdvk5dbfW+3qEC7pEzouzU8sSGqGf0+hVvTKgNyG8t
zyIX7DWxUJeA6ckbxoPe48Z7x+rBMkd4c9/LxHaRzaH8dMmi9c3epwfA2gIaIQRpxjZrUcohjMpq
kLCT59QXlHt+Ryl6rpoG0RQgupJeSFONtRv3Ok9a3V9WEXtAaCSMpMzHuzFCaxD5oag+jLNK0TuM
sJvB6RyVOpiXXARmMya3NtWI4qBHjdB3KXmV4UMAMvpA7ZJsxjlWhV+COodLW0c0xeeyzc0OAEIC
Z4DnGDxkOzbgGC30qj8rRT99ivQ6ia5BElGrT6rYy3kUq9ibWQVPVjPtrjMgHM+Sx2Ewrs1jom/7
+WUj/ZEV2YP8VX7oml+/uvsf8j/Xv/pcSUykcIr+7+M/tn//OfpV+T+6H0d/oB9A/+h9/6uZn361
fc5f/VsVfP1f/n//5b/9evmvfJzlr//69+eqL7v1vxYlVXlsHMYz7ozX2Pjr56+3f+FvpzHd/A8S
NNAEiGXSMSXzeOU0xmHSaCXzZMSKyQRpUFZNF//Xvwv3P1QMFoFCmbxGaOaSRreIPfKvLGt1GkNE
GidVAxtV0E3/O/HHvzcYa/b3Qvzrz/+G+M5jBZUFD79tRFl/ADguXi28VwGQbU51nxsxfT3X9BS5
sv1kb7/PM7v1V7/g20wR6c+07uJ9q+LwsHu1RieGXl8Cr0/AOjSxjJcTADJAVJuXMo3S2m0zaXl2
g9IWPV95n0CS8x3kam7+yVAUcHGX5N2zfZ6RqcaavpTQg0ez9otsQmOhljUaiwCPzw/FN3szK5e0
F1NHHqA8w47PtRbR6TRoOgAxR6to7C04wtgqXVDXPvXZKGaYqxImDwh388pF9S1KQ4kZhVyEe9UZ
cwh6U5U3+E7UtCscrrCpbbC66lOK4udnuP63t98NLDOot1VRnG17PEOSZpGnKVzrWgG7Cr2mKTFR
QwIPCBZCVtR9vXCEDXt+1FO7BeVPyHzU7bU36oRuPsqxocrkoYMy47M6T17dJyUSlFl7fX6o9RNt
JqiTlQgbNxOO50vofvWgcjqNiio0Ma9e0XuwYUV8SJesfi+abPJNHYUsGt1hAItqug9la1xIxE5s
ITbOGg8AP68IreMFLpMY5aOcj4tyZ3qrV24nPD5mZ10YZ3vpcQAZx7LJI8DyQbQ5HocMcnKjNKXB
jzjMtexAPSiOaO9kGTcQsmPn6vy6nviEOqhElUNo4v+2NRxwFMRA8WHnMa1qxpWIwFrMM36iNAcu
iVmeHMqh2MEdi2Kjs8llc1NXkfYpLMrB9XPeSPsQOXn3HquYSxK9pzaLwUAIuULP4IMdLyJ8NLeF
esIi8kQLUH7XUEEFA3IPG739WEzgfbzRkvFnFdD0HcrHhX9+VU8cR0ouGtVGYa1ozM1XtJVSSxU9
ttD/0JWPbtgnno1k+TUYcR47swuvU8cj+cJxPBGA2KJACKk4kMe7myBQTTP1A50FrhBb2dXYmniF
Y1gkpqNyk0GgOvSNa+1lnzS/z8/31KfFLpIYoNlcqvomwM5mWvdkk6Yn+uwL7ogWeKfM8iHniH8y
R1JdcjRQgPSjjz+t1kIk51Fmep3g7dbViLoO6N7+lu0g7gtKJ4/A4V1YbdJEH+uPZ0n0MbC2xheM
WvJmW0EySyNV0imi551ftXqC6xTUzVXbJL5wLN8gmIkDyIqv3t0WlS6xjXct0MNMUxkraqAxuDXC
j2AB+j1XKdYQc36H0a9Ok7AWH4yioqeQ2j8VoAoXwu6bIurL72CdQXoSHWg8Hq83RfwBmD+/IzbA
CvAe/TTYpRug+kKlWFKuT2MLvISbfk8xztkrvfrr/KKfCIikaMg66g6U/DegZpiLaBbg5OS1dJ2w
LrKyW7BPMU1HVMuhRcUXNtiJrQy5BjltdU0QsfQ+nrAsF0RVLKqLqLvUexW6hY9iRRJEqnKJVHEi
TAH45bja1kvCt/6UV3faMiiNaoWF6aHVAHzBHhx9Z2rz+EGMfXMdFpa4qu1B/rLlmD80A4p055f2
xFRxJENv0UDDApT6Zj8Lmq2xlqPMAc8v9Afy5B1A0ebGgkJxISCemCpeS+TF7oqeJY0+nqqU3VCq
KJl6oJ/Vh9k0EgQxB7lLx7jdU1nSAbLA+kLuEaQQsLzg/ExP3N6vhxebqIFotxJVM4CUFpCnzynO
9nU7VxcmebxVXzJ1kCzaimGw+ZO12TqqmEeJtw1KCDnAFgOS0xfbjgy/AicThFSrL+A9j7/fv8Yz
1v4Gb1VWdTOeoSA6NKKVGTh91gDsGaOrLE4KDyTPpavl+Pu9DOWgGsRrnBoHoO/NhaZiSqIiWdcF
KkLuYKqyaI/P8I9MmuEeYXPtFq2SCnJfH6HOGZsXouHxdfqv0bnY6F4IHllbxX2l19Q2WZ/RwD87
ItFs7DJdtDe9iithko9a0Fit8Xh+z5wadH0gsmsBur/hkGh9pMy6ljaoVmHhkJdjHqitmQYuqhy/
bSTE39tLP174pMdX+MtMgenDZeASVSmKbXKkMM1TB+2DJlBqa9lRDrCuEjmjQ1IvNrUwxBpBpen9
PlqkcWGRT+xel5OpatCpAFPr6097FY36kId9gXtnUHTUzTrE+u46CVFFHWwtoFiuXp9f31NTpXq1
5oJrM1hsshWbUm+q68jxAtZD0AuexY2NAB4YdiHu8iqvAaAYCGPIrNMvxPiTU4VDyVuNXJQa0/FU
QZQWdhjzaWd7TG+Rf4KR3XXTiju2wdFNl5b2pbPyf6+Xvz8rNmMENxxZCPib8KcOuqAzYjaBlAYy
RwWcRKA9C3RCul2fKlvUjof2EbrOi+nGv+LScR9TvEuuDbzHYFePdn7ha28SjL9/EhVeKgwrU4h6
x/EaZApNKcAxDWC+8RPny9m76Fz5UWohg4Ny1G5qdHGXRgb0d7VBm2AcjT1c7EsW0CeCGHaBlGFf
qsAkrse/Q6c/tjSF1YKttOfHpER0bRrSH2Ha2he8Z44vgb9nDEOOoo4wVfKJzVdX3FKNxyHtgiKy
3XsT1aDDEMru6/ltfWpvYd5mGGuFaH2BHM9H45KLZ1F1gdtoBfIRbr5HO0n7pPai9ye1TP8sK/3X
tDDRE4QpypZbz4oujGs7UeEkTU1e7hFqn1DdMoCFG2gL/vncBHkR9W6eqezl47nVRlTOaW+2AeDv
OpCqXV4toOzRTu7RuJq7en9+vFN7Q1Bro/dBhcjdmjW2q7B/BS46qJth3Pe21V3JVYaNrtgl/9JT
0YiETwATEewPfRN4zUmlcBLHOGRWKwrOWsqPFf22h9yM9FUsDvUPhJJRSJnCS5TqjYHY318QM0TI
kbjeUjraHMVFApOZBQpaTiGc69ZdELFIEEyd7aHbA3bqPyZzGz7PCWp3cb64GPVElJOVrkLyLgZP
/4AuTOsVE7C/W5Hr9JRNJQ6vTQ1VdZHbs3PhljqRDfD+sixXsBs4UZvQHeptWOsulIgRsa973Pvu
YEFoyG+ipDlFU/+gJorxI2lniBHl5F4KXTrb7Dia0nii1mXDayB13W6L3EpnapghoSvOkGeKaYAE
Q40PuZ8oyOiDuANnv6OK7v6QjSL8tu+7dueYqXNw87L5lFqL8fn8Tt28k9ZvyOXJk3vN5kkXtuRb
U8p66OxMBqGDypQd984uTu3uRg2RRICUpaz9kwIIlp4774umnd/PMhHfzv+Kt5t4vcEFK0P1lhRi
k+YOpjRGABqUPCwbueg6g2YKL+mgt71yU1eVc7XkSKNqc1NeOKkn589jCVgB5RZKV2tYfJU94DUb
2mavMLRriyuJ9dWBa0s1DrWM5G9bWcR1K0bwIm4o48AYhP6gYRv/6fwCvA0YcFBVwjvdEQsbtE3w
je1QW6oSdX7YTrZv5jr9wklLH+y5mq//yVBEUnclvRrbTchhrqouZCjkcrq/GqVB/Klt4NdxKMWF
83bqu2KLTfJNS0Cz7c15G7PMMlIDziP8txY8hVIonSfWpn6D5NGzkzTl99BugXDqtdtcjE/rttmc
txU5QiSmywk1dT2Pr77tBI0E3cQYsaEs1m9DETvQByPVa+NuCVQ1krdug0FkhIQoPKoG441SuwCo
WbfP9ic4PDyou7zcrJssAd5XbXd6LgPcDEokQAd0V5ZY6PAs1epKy7M/TxFhMguaOqw3PYrtg3WY
kZVyTKTuU+zGrnC5RDKwnSzcVVHCvE0iDSjr+Q319r3xwp127DWsIrWw+cghsjZ0rQFnDBSZEJxM
43uMvGzKdS1KgigFga/Ksn9wbhGy4M4zGZf33ebuGSqJvPqQVSg2d+HByK0MwHAb7ScLqAF4FPsG
E8pV3SHC+Datuuyd6OLx5/mpnzi2XHs0XinZ0k7YEtdbRy/dNuqqoDEH7a9ZG4oDRIlijzZWcyFC
nNhIXNZ0gmh0UUJ8sRV/tZcXVaPoojQ4MEB0/NXqbnmDEOe0QzUJLac2XeoLn/VUZFwTTt44a60H
sOXx6WlzTMBmB88HasGDhXlXFxaw+rKPoaWE807NzeF7TUSVQUIt6NBaIux8IwrtPPjjVTbWapPz
NyLN3Zwh/s2g5FZSB0RwDDpyt6EXNpkaol41Ncbzg51cZ+QXuGkopXEhHc96cZAxBZ1QB9ncWfd9
USCcJkYLcxDlr0yf3As333o4NvEBmu0KtjM4sJDoj4eb7CVMhoq5VaU2X42DFcLiMe335yd1Ig5T
2WGM9XVOlXszqRSx3sSaQboja2SAKjIyRPmT1lts0jLA1Py7XTpBjTksTpz+g51LGkxwoAG1aosc
T7E0RIPyqU3ebYQtcszJ4A1I3UyQrCbtIOIKAMj56Z74hqQRazOTcjubdzvdbrArJJ2oL9lFv4vn
NEc/PUNZYsiF/R7ruPJwfsATcYATCdRpFRawVHNz0eQDRI0C2axA2sl0XWSu865DnuFJYlL09fxQ
p+a2vny5UdierOvxahqy1aQCQYTuUJl5skYorQwL5VZLHDhYoiovpAvrKd9sUNN2NbDAJqkiSl/H
4/GdbMDGSGHoaSyhRHIeeJDONq5H+M11ohrvGq2puF+6cAqWebYvlLNO/wCHlw0VQ/bQZsLWgGja
ZPEDUI0tvzdh3t/p0B6hZffFnQRqt0NlKNr1pV19TRv9y58vtwOSwUIZ3CBL2Yye9nmqjj12gGQX
GCiGTh3vWqBD3jDo0w1xvriwld6WXNa2JrCmFcfAPzjrerwK9HZBkc2ychex88y+woGMBAWDEV9V
po9liq/LEPcYqS8KdsVKkX6eESLHXdDFNVZxhj8tPfBjaOmimKXiegsN4PjHqJiN9K7ZuX5Sj919
g7uVPzuhuT+/yG+CIKPwVFxNhsjXeDcfjxJipDlnIwJUho1cBMypBZ5Ic6k1tX6qo52s66S8wKRo
CNOH314jFXMEIKgjXY4jwM5Rp+emCO2D1kDgwC82ujo/qTcxQQfWRiWFOwTYDZ7lx5OCykZoEyoE
Ujcqv42cjk/O3NreWCeXeosnhiLRM2nXkmqrIEWOh3Kx8aTyNut+HUbLjOJk0nc7I40gDUyVOafB
+Zm9XUg+EwpuJCLwdmlVHw9nNbADgDQafjOLv5QiHAJrnOUeg0F6IMWoXFjINwGAkVYmBOklpRSi
0PFwWjZHxmJPOo2XOPaTUtTv0rTsHtTRGu5VBExuwP4geRC28XI1NI1iXjqS6wjHO4e58hktgJ6A
Pldo1dGRlJW0klURdCDItl6khastSjiZX+LBQbcZYwbjCxhuyM0Vli8ZeKB0Jh+etCLeGVkDX/v8
F1gvsDc/iDeVhm4WNdDtfTNKhFi1vMCfDzeS747E5wiUXf2oR/nTjNjzB4Ak3S8MYi5ZNZ/49GSh
wGtdGAIUCzfBCY2OVqF3rfp5lcw3qP1CslajDv1elEkAsYsL8efEt6c2QYGC7olLZ3MznotqYT/1
eNlSTaNuUhsdmcrYujleFGUp7t0qMes7ENkIgLhJSH9lUHUKe+eX+8T54leA/zDoV6G+uDnKswYX
oyQw+/o8p9dVjY+HVGc34GB3F4Z6m3WvIBpud74shXeuveO9ho2v1kSrlrhBTy5I0TkIxiobbufB
LPcwbeIdxgtlsCwjcuMDZFekd9s/bTOsv4H1JnkCNvRm1QcsC7H7MSBL21p9XYUaqI8QwXO0oGUw
Ih19IaCc+Mor1ct0VzW8NfM+nrOUdtcuFazLggcHfOm4vteUWrlpnVJBBbQsxiBD6PAD6JBp9MIw
ci45KJ/Y10AV1iyHYjSVuU0VNQ0TCqnYgPlUw7IbXe0gwoft8qmE2f1rrNhmF5b41JR5YFCWoAaj
QSY8nnIE6M1NiXr06AsnfcoiI74Bup5ZCFFbdePRAnLqXVkVuMe3i6Y9woXqv5/f1id+Ay8OLg5Q
w4gVbJXt4tQCH+DEKmoaS7pXsRimRNPk4iARO8WX0LKbD7nUw0OtD4uHCOU/uCLJLUwWHZrd20Uw
87QBk9gs/jj2YJJ7LdtVGhRxLBPGC8+6E2mVCR5bXdFiZJJIGh0v+BQNkHKlY6Jxj6Wqn8nFCEb2
/50TN+EuSjP7W4uYje/EinOV5UQY0ivNejc3NjRjq4svqB6+DeHcZAb1RlgSJAnbkudMeQ/x4dry
0fVEMT4RE8YeZoPE3ZLflDgYIu3cDAdK05eW4m22RS2KYi93Gj00GAfHK5EhTmFN7oQRDKL+V/j6
DDeYKpoXULJvTxSZzwo4XncXvIxNHEtmGtv4AFk+Rwv5iajWD2kdmz6+3yYq+QSRC5HzbZBmOLJV
CIN0XbCAOp6WErfgnPFzxjgzK/wynJbAMNpkx5eW+/MH5+RQ9MleeMDwUzcrOOa9o+DZK3zuYM1z
eodzg2cKzG37Umg8uYwkHQQl1wAvsZnVEjWJosWh5aMJcjf1abRPjNwIBhhvnkwQXTg/s1O7cuXs
2Ly00P7aEglUXRkXofGw0zHG+AgUGHI3WGqv09v0SS5oIRaaER4qgZjI+ZFPTtSmurWqjfFo36zp
YqL9ZAwja5rgKDtIfEwnWOj3ANHzK9oll5oxJ8ejHaNCGHqhaxxvF81Bjiii8uWjizJeoVlffHQj
iyddHpbXIpGXCEpvgy2ltPWwg+eBErGVH0RuAt+EjPFG1ENgYayOcLPV3I1LYe4jNxM7pUd+y0GI
9rqDWHVhy56aLn1PClvEe0ojm+PYTbIwspzl1eWMbkhoGQfATJFndJh0LFN0qTu+fq7jDBXmqyqg
98DdBXuz2bdyHjMzGhrhZ2Ha3Oe0sD8orTBIGbvQN9rO3kciupQWnxyUV5ygEEhDflvmwqqTOrBT
CR+spXnjRqjoxHDlAolS89WsDPBjZKdfWNlTH9bmRclznQcfZLfNRppSw63H0vJb1Lcbr8cxZt+C
SDF3WjyI3/A8iwGlsCQDGpOUaME1dvzxz88O0L8V3ckD8E17u4vnceli3fLVsIMIDbUZqjSGglJZ
Or/vu0sPolObiRIUjzGuEcrfmwegOzl5XlBR9BXdmJ/VItX24DyrbxqYegNGY5X9dX6CJwIuFS+K
BGt5AMLY+oNe1USyXEWRrse/aGxRLOvjOdnjndMGCOY9nx/pxNSoEhhU2Kn4cJFs9m3aZUi+VIvt
SwDWCFb8gAGXBEmSFl5ai0vN+xOjgbYGa01WAmTrhY39al5VhgHCgqKlr/YGJSyDSoTdG5pfZ1jk
tAh3X0g63o5HBIIcA0J/LRe4mzQXubC4EEoSBdOMDRmGrHCSkf/wCsy8vQl5kQtJwAsX5jgMCLA6
dHbJ73nOvJG6zQcHGRMeDE0568/IOjnP2HwW74txUN/hBGh+L5A+f4zjNLpOJAaEuL1D01OLZLzj
LaDSWihXV4XQ+UICyzP3/Ndev+b25/HCQWADCR+HL3G8r1xDoSNexqEv9FxccTKlp8/5eH1+lFOr
zkkxif1c5OT8x6O01TDBwphDP0lHhGDbCtW/wv5Y2G57jafDhR38NgjShOOCQS7B1oAMrb/m1Z4y
6PaRObarMVU7eDqgcsRCKxwAonLax5aN6nlcXkKQvj2gVILIG/jKq77/FlhhGmmbxmKJAlPNMexZ
ithLs8jck2ZcatCcmJ9J1kyKAg5ura8dz68a3AXoaMvbOI+nmy6y7Z0pMD3GIRsG9qjWt0vlXrpZ
TswPDQeN8AMtYoUCHw+aTvFEn00kgOwsoC1q0XvRaPcfiq7rLnSM394nQABoBfEKpeAKdP14KNdB
X6mP9DgYRJd4+dBbe9w6im9agYYTTmSagRF02NUoCXbtfWNBKj+/XU8dWotbG3wKr0P+YXMqeA0K
TKLKJMBFqfolxdA8jOPS595gWcqBH2Pt1d4EBDg5evOs9mWFjzn6kwiQwjvtOq4fdzT7T3OEnVEN
5OZCkvqShW6OrUWRBFgtJxcxws0PrPLcCCNkaPF8nVGyazRUHxNdKg9pYqmp146YpSdToT8uoy7f
wbuY78MyjX0Jq+0Ldlrzg4vqKFgLUKoTwiY41ZTIH+hKXH7TLTjHiGYZdDRrZbq0tuvX2/z0tQ8G
NWKteev25nRKE6BPEXZx0Kvlh0qq+TXmYvFKmsIy1gYVFBdth5at1NGBzrqDwkULVaF33uWoz+BX
RLv1/Od+E52IfzALaQvST+f/rk+CV/FihY3hF76YuETZ8XVUZi2qtUjpPGYI2T3hZlns/3xAjhCX
An2steBzPGDYlYgtT4rpUZE3r/S4NW5kr0++nZfVtRzi7HB+vDdnF+Ybw4DYpagmiMHH49n10psW
jmOe+T+cnUeT3LiyhX8RI+jNlsWqanXLmyvNbBhjSdA70P3690GL+1QsRjH6RszMRqHJAggk0pw8
RyghW4ZXACmASlgnf44em9rZS6JrrDCcAA3BdqydQFjLRqdCvXdCCizsqR79G6x18SUotSmq6qA/
MLiztgB+HvwunUce9I0z1EjL+rJpbfTLISdjVKuIIOplrsWW8vPjtd35JSxw6ygKwp0CK5Xyy7+c
E2vI4NzpGLpAFhJYxUpWbSxVAc2JhzaEDyUb8i7159SE9gI9zyOA+T3uF/seHP2kFBxUIOa39lMt
pvrrZgx9MNYTOaZMXoIV3kPLGfrP0HBZUAuWfdxfhDEZX+GIXt7lXtM+JXk8nR5vhTJ1c4nVTwHO
w1AlBQ662rc/pQH/YHgJ8y+JGSDIAP1KVPVV//qLqSZjfc+HaIzu48bL6W06mrFX2ycQ/eMFwr0G
ST4JHrAZ0XCvraMUcXdV5GxqjpMTtR3FXRgRgeRT2vC9NibkzEn1VsLIfLB3d8+32juSBwVywwtu
Q1BjoudWTAhc42fjvxVjA2KqA9SyOU0T7QRm3v646L53MOO8dzPVHA986z6jYVuJgowo0EBw2ToJ
Y3B/9GZVQs/kNvpltVsjOw9Wd1Qk2rfIXaHIR2V7i7PrzHaE/V3J5Y2rEqRiGGJJJyYb0V2HZwax
8dceSou3kKSMijLTH9v2JoKMaK5W2DOlqcGY5g9vaDc6B877/vNhhR4jSJWAAGw7TwM7RJJSq2Ye
ak3yD2bnZ2erC5b3UyMLkJuLhj53rffOAZDwfjOJvlAStbkK+B93cxdIh7jUkrtgM1H4JOMue7L1
yT/Dsau/OCh8HSzzrg6GFzdsSjXwh/Fa/5RS+MXZ0Xkvg6YPAE8PdnW2vbl6IwN4YhE7JCyKKZ7W
jt+HdWkfzbbt+DlMK2YW9SmB6m2cy5LY2gSe2jo5Zg7r6IA4NDKK5rnrvTJawCaHiYFYFAQcU+SU
UEdqrmZ91pEROvA/92+LpXMpiHmZ/yDc3jjcYQTx6mZ4Oc0Y83PctrDpGIMHQdFyFF7vfV7OFfV5
Qjo4HDamepFAoh9DHJHIwYm8xppPnbFoT2gGIGXYI/X3+K7s2nPYWzVzrDLUWwfeF5YxgRnlOHGw
zolWsoHI8L6VfFWGZPvlIA/e20rAI9xMB0zSnciMdCeXvAEeh9zXZWjoWREtMJeepWEeNefvvTiE
M8qJU3VHsmgbzgkEfF2rwlTnJfIcEM1FVuW/GmHF/QC7QCWROJYysVrwL/cjmZYkjVvUIifGfMMY
pe4wtZf41MXZn97oGQe+bc/rAEICY0WniE1U3/MXc+tQppCB8r36OTMQh6q0k4bMyHPtVcl5NJLg
PBfG0ejgnlEeKtiJ1MgI7albo0az0An2Bvsk7AV96da05TuTObc/cRrOO210YcCdc33+8fhs7rke
JoaJLHgmGdtWP+uXtTbp6vQz/P6nTtTFuYQX9mpoQfCVTLchZamCCJLZ6VMDG8BBcrJ3KyjVEtfw
SEIptPmo1txXtQsh7wlNqfbS20MbCnTmr0EyoAGPfkT0eKU/p+tv4yhgODazBzRSeLv8TfRaFY6e
u3rCNeyDKQ3NpHIZlUyk/3fAQwK/sABuBawpdsvItRJHD5dSVO/1eax/GGR0c2hDpGaH1lwZybme
G4/8SUATG86yHscwSIsJSmMwed974Rr/IoyeDEiem2X/BNAf3SS9rZrxtBjtOoSQ9+affWEguUUP
AOSGk62yQgZjbF6LaiAOYTQIOBvugHBrc5yHOl3rceUTtzPjQWnuuqEVFMNZURpBTS4h0A/c9gSF
HrRcQ3UEF/rp3jb7DpqPig0sPdyp7e0NrD5oHNRiIXzRxW+LBVN6WLqd/tdUQOl6knABfhkMsKjw
6udVF8L5b35FrAqZ0nUQ9g/UGxNa5WnXQv04yPijI2SLPjrlbQDJXdGuMPrBiJ+UTjuGCf0X5o/S
krrB4wO041bpD4N3+sltQFZwe1VgLkT6AZLEk6fZc2QES/FlmtEFIgNfzq83xdAObwb3A6D3xhlY
hWwaI7dRBmiBXfL96NcY/cqLUQwHRdodv6Pmg/5ravMYVnbjGTZU/yfHkSgrmU3xY1VZUUgCmBbh
ULXzEwrb68Fm7pp1VN2JZNkktrvdTNtOYFMRrLCgC1eEXeN0SMYjSILqQyObH0EgtHNsd/6B3Z2P
SAvVNGByYSSLYOPWLgIn1Zzye056Z5Vokoo2bAa/fRub+l+Pv6G6Vptjz0tFAYCYTqEaN+6maetq
9qochoRpKv4pmtm7BHbboQAqivYFxVntwKHuvMU3BjdhxgwJXJVIguW0L/QvI3w4v0Og7R640d0N
hCOKSgpRI8KBtxtoQ408FWYDu4eRtMC42+CzrM3qWdTx0bTUnilk+uhyMYnA5MXmaGbzLLjS1Dek
kQwfED6fzrboGZsqqr8ff6ud00hcQUeEXh554hZ4OpaoK5lpTDazdCCgoLO4aD7s0zAiJtc8a43P
y1w6vz02uve9wLapw0F3iyT4dicFIhlePfK9iqXkPIrRhwce1PxjK3ubSH5NQEGhl2+2+V7UTKWL
+oLidOjM35Ku+qdB0OSz2+YH533PEEshSIF/irLW5mtZ3ghAdZytU52O4l3ttDwnZpI00brG2kGP
Y9cWg04qSQPAuy3qNYo0ogiYgQ5k0EZw1C0hhY3izVzEVvR4//a+EsE0zC4W4980bm6/UroYE+TP
+Eejz2aE5qFF9Yb41UhHCnhqdpeJa3aJM39rxTKn2s+yhQVlw49llu2ZUsWKaBSxZ4eC/MGh2F2U
KogSt6u0c7MoVwsWu0G77CSoj76tkMpLTzEyQnr0ePP27hWD/P+1o77jL9GlenWYXMeONTGiBUdn
E5p2K4EBBeslbxb/GWp7+Z/HRvccL/N/wFiADUPUsDHKVAs0uAiVnayeedMwjnvxfRTLcGlTz3tX
DH591MPY207yE6o9kFkTwqtf9MsyEQ/sM6lz9NOsdKLCqRBET3TzIK3bt8IpUeMtUMFunq4F7YnJ
dHtKPOU4PAdtBl7fzOfT493b+2RquEyncEbh6q7hhSJLKQbTOgFpEm9hn4GmuBBdVC2ooWix/zIF
8b+PTd4vjFKLSXUHNKQLpZCqBd9s32A2CMcQC5AqRIHTuJ+N0fK/PrZyn+mogg4EqUxnqhrLxhH2
5WimKaO2jJJ4xTVtXBvpsr77hFZXc0oAvYb0MV1AkNkRO/H9lmIZJ0RBGW/F1Njt+uDJprfesb6q
9MZ3lmaJ76Ca5Us9tPAXJUV/0VbHP2js3btIKkmq9KgQtUxiqU3/ZVMpb/ZFyu1j/mpC0lFz0N3L
TeOpRIn06fHO7psC1MmI0M+i2a0pZ6kN2lxAJdJEIgvlte0pC0bzvM7lEYvD/d1GSQtWCsbzUHDm
FtyaGpBm6NyVu52Psj0pYF7kpnkK2avIv+Wy1A4KuXtHU7kRNQtJALLFRwtUQvQpIXchu0pO9C+n
Jz317YNvtXdAQGRQkfpZsdnWvrIOIjzGDsGaBL14T+47XeEfzk76OqFQLVo/YmbuSKB1Z2n0jCAU
gXafk7nFBAOkDAZGsTkgWjK9FGaRnoMR7/Lqs0HK6dOupwtJ328T5Nit55ZDgRVZLkBtvSoNhe32
HyD7yl+dyRDgqNoJf5cy6rbzNlGBGt2SC25miJvSoUGEMEVMIFib+mTYlTzNTnI0jrxz9l0a9apL
xRG5a/eZCBEvE0PQaHgV439oZFXfwUCUkSj6Inq8lcpN3CYUaj4WnAV9KbqZWwwvxPS0Z9cFDjB/
mT7a2YQ63wAOtLDJoou2mU4MvJfPc5KWn/3UPCJrvF8pIxEEDDqdGdQxnE2IUiCBqAeLBzgfJcff
fTfWW+SaZHle6yU5UqzfNaZKFnxMl3HrTS5TTuusyxV1Hb+Fs6sVi/22Wxf3SnpqXB9v6/0MBPQz
NnzujMxTM4Wc4danVJpnIn+5lFE6odchkEtDa8wszgESEy/JMOdvnRn+ozl1GATW5rf26HcfH/+G
+7uIXXpU6mWCOGYLMQBDo7nWChEOHLzzG10YzTkRa3r5H6yo95Uok5jPVpv+y5NAGp5DJeqX0WTK
4UkQ2oKhsOyDG3/volVwwgCNqu2xKvPWijV0s5ZX1NCsnhq3JdbxjTmMybNwp6UM0f3sDz7g3ubh
vyhEMyV0j/1O7B6CZIAD0dpa3efByN13Y+P3B4/c3rI80B8gVUzFa7nZvDIjv6jXtAItl9tP6czI
f7HWSIjpcxkORnJk7/5NYAd/sbd56ZaaTjKzKVXkLdq7AjTUd0qwy5NwaoRAV//3IUiDgwLC3RKZ
JabhpeBzFOsA7d1+OT2uZFMmsLzOZmeHYyaD02R73ZOtcOeGqI9A+3eXHHsMBFB+8mELJc2/tYcw
+9oP2chJ0VIkN7qGbo8FkIFfORz4zo0EAMQzyhaC5D8PCUPTm+hvxj3WEPiWUd+NS3Cypzn5wVma
P3irHKGtQ5GNThuaHEuJokrbBNYfusjMMuxyPXs7rKn5bUV45W2xZFDh5kVJAWkeARfbVfkHVB/8
/rKsv5PJ90+G2y2fKGCP0LVZLarBdXfQoNzdOXwWXRdeV1qktztXNdA7z1ynSJSz+3bSPXl2RjIc
v++Pqkp351BtHGYAYSh20S36QM6eNU/k26gNL787k1/9McXlcq2yIQUz3/bZeLILccR6t2dVYcGY
f+Tfu8k/NFCX2rVm1NU0YzkH69ww/eBoYQxPzqUcNB2QvnkkhbW3q1RImDxmPhio38ZzrWg4x62r
FWRwkJB1mblEPcSbFAirIxj3rim6PKDK4BEkp7v9gNPaL14CLCAawH6h3OS0p1xMcZRS936tP+YD
wqYHsTvAAFVtujWV+slkTz5ikMNU+lePVlo0Imd41tD2u1hBGf/n8Stz/54qg4AWbQYQ4IHYYi60
WfXyAKxExpxkXWjYdaCULYtn2Wn1WySY+xdtRs/ZyPL6b+qg5tnTs/rgRd05QFgB8MHkGm2HLWFL
UIITrCuUgPpReFEnLGR7ZrsJnUks74M4aOFGt6sDoztfFddJPEg9nYdvi2npy4FxRcSQI/gLxTnO
4unraqAN2s7AIx7v8q4pilIgNpnuIC67/aptxaDyMmEq6fTk2vdFchl9U77vna54vbMBp6MYRdWw
011nXpTWaFuVhqmxDcI6Xv2L1rbzqa66oxLHXYhL9KOI7AD1KvGt7RhXUmYKnBTnEL+UQaQnuXNt
4Cg/OWMQ/OU67Uz7FdrUTsEUoJI6Son2NhVYtiLoIo2gGLHZVCIipFuTIkIGsAhHqcHa2qACbDSx
PCjm7Ly1AEpBO6jWAE5g48FXL0sRA5VFtFqjzvxY13wp4hUh7Lirngx0OK+Pz8vefaBaSvTngmeh
3HK7NEtSGHHzuYjyxGyeS8+BA6Yxqws8P7TPDCSNszRrD1yPWsRNxqI+5y9GN4+uWMp17GDQjObY
gnVLlsXyhUlu91pXuYdei5VegtxDNG22zfy3xwvetU0JC8AFbz8AydsF+8a8DEg0ka7Mg/WyVvoQ
Ehk6J7230lNXyT8QSjOe5ewewfX2DhHlYkWFC1srIJNbw8FSVb4mRBHpw4rKG3nvN0ZvkxPu6ggA
umuKaO3nM6lomm5NUc0qqkavCgYKjE9riXpvPXrTaZV6fFCh2LOEBCmDIwwfwfuwWRSbNtvM6uUR
iDpkvPtVO08zcMxs9rrL6z8cuRiD7wR74BA3N6OiFpi5Ou4GftDqzVJmXRsGRfm5bTvtajXMLPNI
aqfU7OZvjy3vvVzUH2myYN5TEqC3++kKMnlvcvB0q2ZEZpBZl7bT+zc+Sn0n2c1LGnrC/z4ixtiF
iNIhJUVd7SBU3buptMqZr8It8Gpv1r/EIlc1kzwa7Cx4I80Uhj67Sk9tUf1h+PBk0785onG7S6G4
qApeQouIuJ+V3y68EWaJnO6CTcHw52z38hOEP/5BMW3vSjKSAmeRqmMw8XlrZWDefk57ZLA6OGU+
VDbf01/m+MJr+bsXO816ageveb+4cFgcbOrew8KMHhNddHF4wzYLnKoR/qKuLCJ7NLvmZA9iOs99
njw5Tt59z4bG/8MP0G4OO79cTkgF6trBL9hz+GSPMLsrTg+iks3iZd6mMI+iAcYjdyJ9BhqSyiya
dKo3WWUfjfzv3Vj1ghK9A6Kmmn9rTxQuTVMNe07mFCd/CdbIaN3skgZdcXBj95bG8A9JP9Uhru3G
VNah8ydqi7AnEGYY1L7LIH/cPxVutZynfrUPztH90vCvirqTVhmVxW0P37U7Y0XZMY/GefqcdL18
HnQCzSJ224+PPcKeJQAYalFwJFEHvt3EQjF7IdGYR2XWyOukc9mBx4+Xshvtg/NxTxmgcB78Qwta
PdNbvxf0lU0huCRi1cT8m9nnI6KhUsA41fXT+mWhk/f3NBfzqQ+kuAjXkXCLVW5o0rq4lNNUH3jD
ez/Ej1HsqLhEZi+31HSFrnn2sOb4YU0UX+vKmfJT4fT2kztRrgrjsum/JRKt1IOgYdcuFRZohn3w
BdverjRp9A9jlkewn/41a5o4Azfw3kqHMjjZ9hKV0rG+vP47M7dBlUCR/t1B7BHktZRueB7Zk1Ew
KTjliBNO+rvFQkfjfzDFqwZBHl6APOn2SK2TTPif8pk7II0XxxcrN6Z1ETDpjnSn7u8lws74O/Vi
K0j/xuX0EI860sbUZJt1OOZMug+UqyPUhfUn0Gbmm9cvTb1aQGvAgoLXvF1aJ1xpVkXLbamcD+i+
1yfe8uriD+l6YGlvZSQKnA6F0Lx7r5ZKWD5TajlFCaEIiRhWWNsyCWch+i+ImFcHEDr1y28DWYUL
IWpmDIOscvvRbHNJNK/2kFc02vYyelr/ofU789Pr9w+oi6L6V5Ps2668YdbU+Msmi6AyHUMqH+7Z
yWlzSXzO+bGpvQX9ako5vl9KwZWwhyodMOXXufEhH+LsCnv3+D9cZfIomo+A+JlX38TgM0+hkSB6
A1NYPr8E1eC/izuoRJ1xjv/0Kgacm+GwGb9zNpS8iOJewW9xnW+XlvRVqfPci4gO2t9xTOmmXFHz
piGDZld8KD27s5M/CbZBlJL0Qy5zay6GigrBQSR40cHpL33qzh+Zi3qd3pkqX5JPqEIY0T7Niu0B
7AKztFE/F5Esm7ELtSyuTy1swr/PqTa/B1161JHYefkYRqCuQCTKTdvWwqDe87FoqbM4dyfGvpyT
m6ZeuGSHpCN7pnjwKCxQz+T127ipZu7yJB/4YEVcdhGCD/1lqXhswIwc9bD2HllVx2SOiliFaHeT
MVlpzqw3TjcqplgPkS0x/jJi1NDDWChulUKpxKBMEKVzoF+TqTRP8J8U10pW1WkqXfnH42u4t3QF
RdA5pqRW29aTzaT55GidgJFdEx+MtYjf4fRgKNKTI+DjzrPq0R6lU0mbUhEg3p7THtErt1wbwVgq
eEvLazsAOBKodSq6EYIiIz7XebA+vXaBvD6AAsAYwTsAp9mt1dSkjefrOZNWnQjO5iw7ZKtxCE4m
soMU9f7eWwwRgwlj8p0u8FbgARy/1+i5EFE5T0Uo+nY8g1JDp6Vmpj8wmiOunPuLD2RPVVYp9rHI
bZ7GTDDQsAE2/XXt0u/Uesszs4La9dUbqESvlMYN5xWfdruBMp8RF+bmRfMwWVHZZi1MWT3yOgi/
hI9N7S2IqVUSMxir7qnapwq6ucrQkoiIXQPpxkzyRJk/emxF3ebbpxQLVIUZOucUcppvFwTZKG3B
MZ2jCkKqT3oXZBfXgXWqIze85vy10Eu06lPfLkeImJ0DwiNOdZFoSLWcNmkKM+beHKAYG/ECI+My
BPLSW/3yT7VmSEVU+XJw9nftUTb9OV7BFdhEegguxb0zYC/uygXYVF2cSl0mbwKzXa5uwfTuwQe8
v+IkD0R69F8NxRGzzVaaAXahkggZ9fn42jCoC7vpap5iAdk8zSr72RIyOwha9owymYoPI7OHYmwT
SYy5RWQ+z3PEjHx1NnPpnb0efSvDldpb10zqTwJNs4PA4t5vKkDw/xtVW/9L+KKbHRgJABB0Qt34
VLer/0ITajp1Q5F8fnxed9dHmA6zPzfjbhB5yItuGhvOK6K4y5+GMaGZ4Qutughz0aK+5ChVtffq
kTHyQKYPufLUouF13XxKG0qhek6LOcodhlToui3RDAc5I0hZQH3P8V/vZrBHiIZ4gErkN1+xkWuA
YFY1R5m3tCdCneFsw0F5mrzMuzze0B0HQGr3kwaQvhdv0e23i2OtH2vZzFFP7+ZlhVnh3MUWg0ZZ
lhnGE0w42jU29OpdbU3xge0dF0d7T3XDKMNQFNmcGxjVM9kG68R7N33ph2D5MLd29vXxAncOJ/rJ
zBvDzkSssS2HEDUZFdqtUyRTSxEsSnHleW+iXCztQV6ycziZ8KNnqRwbhAObcCYQeb7UAd7Tr+jO
d/m4UpHUq+fSod9XNFmPdPpYHBjdWR/0BpTwlB81eHBvP+CiayulGTFFbjAHYVoVegTBev+UeVMf
Pt5K9T1uHwvmtxkOZyyd8gucCremXKePjWBixJ8TKX7XAMGdbAakPlPFK6OMwv9BZWnXHkhNkDiA
j6h+3NpbQFw0U0c8ZC+O/1wWs3iXFknDkPGclH+2gSwPDN4fSBZIb1axtJE0bztOvZ+202ysY2R0
KKMk7Ti8CObxDl6iHSvwzimAkSIEggzjdllpuuaW2Woy4sAyzwwM4hlxourAKe9sHkUb5heB4nAq
twWjdbR6afCqRmNqTRYR9TRe4ynJv2udFC+r0cUHVYCdZan5KMUOQX2Kd/Z2WbUz1YKmroyC2tav
jTdq5/R4sv7+jhG20oiAHkfZ2aKTV9/M28BdZTQ4vfiYdEP8rHWLwDNPBuVk6X2ExKQ7+GJ7ewnr
BGEKVE4qtbxdmhCaJF5xJJim0v8T5t/ilDAP85QucG1n43xEcnN/p8nAqDsqik5mArYwzT5oGfZq
yhERqHI+m6lonzubA0P19oj0ceer0V8B2US9jUnMLepnkVmw9kPFka/G9rnNLOOap6Qkjz3HzoK4
xcDBuMTUELcP2upkWucbLGiOi+KjmXXDObNrlAXTI2rVe0vgRcBYM0UPTMbe+gyaVak3ZDWxiK93
H+xed74GZbmaoZjaID1Y1v0wpRri+fmVoErGBW9eT8i2RoFi3hxJkdYjBOCVguWvwvdCyCxIr1a6
LE8yKZfx6hDTwPOzCAf+qCrTSWEb3SnCGEXiv4ZVc/pTHgz1t2lalr80vxdfl9Qe/yJuDQDqtfCg
PS2UmK2wmExrjR5/oPtrxfAfBQb4MRRRxhYlMjLMkFuJGCKRUK8J07msv+W0jZKwhKIkhFmdyatg
OrhX93wHFCipDjFIAD0rR37zeAV43L5MmyEamer6PserBu/x6KzGuZFyGa5CTu7FVtq6l25i4txd
YutfzesaN1zz1A4OXNj9PYd4m9xRQTggVt/qdM8p6P+JDgOM47146cmUz0tSFCdrzIeXXHjJwXuz
Z4+eNKgRWuOcWXU5fwmcbSTecyMbCL5KxzyVMOOeg5bJ2xTsZChRzTp4E+4vO2VudMjJSnAwdw9q
P9JWKRiEjIQnWrAOHTewyo+i5T0rylXSsaXnjqu+XRXin0C0AWNGY5UF1xr52wstqe7gxN5fdEVF
pCgNebCJRzbBwbh2Rp0gLRslpi/O1N26T3bc5qHOHXw1OkSZIkaFsZlG8BZDkC0A2YugJfxHUwy1
6XL6vfQQYiUkn5/cuE7+8/gy7i0Nbgool2C7VNzotxvY6KXF+BJxcWPP/qmDljwLzaqGqcxyi79e
b0sFIhw/iveUbG5t9VojOTAQVC29nb7w+sVnik/5u1FbqiNVqR0nw4EgVlVaTQQKm3V181zhCRKS
N13qT9oceGFspnXYAEJ60y7OfDJJ08+PF7gDI4DChOAYNmoeBpDltyuMjXYOBl356LmVoBVF+qXM
J3lKK+6XvzjyaYEh7I2JOtypb/X10i+j8ePxj1A2biNnhbyjfgtmC4rWLZRhDpJgXQu+qGwlnH2T
oh7hKZj8Px/b2Ts5BMpQdamJNBjybtfqF54nxYQdmDezqKSlGBaN36Ab28wH+7rnuyAawg7PLGnq
xhS9hGXSlhhmM+5hmEEld2kyeAwyv3tx82n87fHK1Dnc7CBRJTwxKvCzgBLermydc4FmrMpTK8dA
LxSwphRB04bjuhpPywAjYZrKIByt9YhnbefYqhiMDAQPwIo30R9ADcMsu5yQIllzFMStAr4IAWzA
MgftB93CKpy9Zr4+XvDOp7yxutlfq0iWdZ2oOViQ/zzlfrG8GEkyn5pAHhG67C9QVaIVdyjH5nZv
WbTW6gv+bdYTcZltdwHVUlPekDzHSKdPL35uHIldqP/p9oMqSCqwYrrrzhYy6cX1DCWHAfVfrsMU
nXTJ+3haXw/N5nWlKamCK5KFLTdpMU86TLKCFy9IfgxF5n0uVi++dJY0j8ZOf6a/2xVR6qPuTSyF
FqLa5l9ec8gL4nWoAcu4vV9+cNJCvhmT2AZFLOr3xjxrfw9LN0Rm7/XPEEPXn60pH9YTziH/LMY1
/WTG7t9Jascnwo3+XxqulGALZ4kCP5FHLce9b84oHXka3W8kvjbl0DiZoCZseD7NdFXUUrCDFx0I
y8wU8ZMs7eBMy8n6+vhM3xulxIwf1PHGdD62B21yB2fIPQ/uKr0RS9j6efNJr/R2CinYi4/GuvjG
G8m4T3Lwgt9fJsoxOtkbJVF0ILYohnG0gIwsFH+HxXUv69AGL2T3RbiOcfxqv4gpNcMHpTNdpC1d
tTvosTvPOKps0Srmdr2xibRucj84Wt32Yd5b7vXxru4uTuWJgEMAx2xJyHWt7SBskTyrgzNFQgTu
pUREIxRmZxwE7PdemMXRV4W4B0g552ZzxGNpZnbFqSkHz74M5pr/k2uV/wGZ3v7cjAz6OQNDoLqe
H0H0758bLOOeaM5RPKF2cmvZSqy2dQMu8tKs8ynI5/htXfK8pfEEs0GVN92Xx7u6axCFJVrXVLyA
rN4aJHRtl0CoWNn32hePEb6wqLP6VHazeUkF4ODH9tQDdus9fFhD6WAhy6Iy2M3WJrYh7bjBCZdo
oD+LzpqeAwP+nQW5pwh6puJLDZjjWo/NGtpr98errdueqqdb/ABg0JtENjGLVtITJP9zbfrKiaBo
G1qlj+MKuuGUM99xYcSsepcJOZwNsz1Cre0c4psfsH1kp1YzyskboqGliUd7BAzJUI5ve2c+GnS6
f3mIJGhd8XsBtNJ9vv2ys5F7AYpCMkLruo/ggITW1B+Oxsz3FoS340JSSYQVdntgp8lxm7GVUevS
so8XHM0SS2Tg0f45Pf54O0dVdT5pTRCjKKr12wUJ/rAxbCkjPUciNTbsPKwmyAmbpdRPqXbIIbW3
NEYJiRZYGYHeJhYbq25unEaXkZMn1ZOv4UjToV7fNSA1D5Z2z0dNgYWsA0IO+oDIUm3PhaW6oJ0p
wfwxrnxKZ7fOT7HdrlVITytYQ8R/nQsyy0t1XUwdGfEUwp0PvkydklabhFsIuIQhz5SY6y/5Ertv
TTtv8wPHuLslSrUR0j2L8rj681/eflpuFIKKQUamGLonOUJJNXfpV5EUwZfHH3unZkJciEYXfALA
AalS35qaRz8JWoMd0eumv3R9jSidRjW36bLm3Hbpl4xRqSt6OTPXVvdPPky5z0xrdQefZufU8TsI
HSi1kQBsn512YQJXFpyCWhZBgstYnbAwOWxktRajion36uSGJ85lg4n+CVW3DdXUFGNTZskUzamQ
bzx/pFQ5jtTbnFg7WNuOM2ZmAOg5noKMcdvp0MsaPN4yjVHlWkgQMB72Zs3KLEJjZIiYKhSME+jj
U7uma2SV4gh0uXOaKHFTiMO2yuI2h166TNGK2qfRIhL92S+sP0tUd/4zdof3a8cXkr6Bf+SCUQTe
IrFbKFkqXcSwNleNdZZD3nxd41YccAHsrgeMOfVlhJNoBt8eWact7JRcdIy6uVyfs3WazmkhDOql
WnPw5XYiFMo0sF8w6gK+ext+tV5QlTRfxshx0/KbXPvquYgD67Nh5mY4NmhSVcKYw3KwX1+QAt9N
FYWSlAHKLti4AE/jRAE2H6OyaI2IaRvC3LbOzks6WAexwq4PYPxDscKA5MHp324oZMayHxyaft0Q
tBfdKJNrWWX1ec7TL0Pt5B9Hxxze4ovKaHTXPJSBX18ludDBbu/5ACJqZssZUwYmufFFhvT91q+L
KaoXGPHCYu1pNelGMX9PKxusdLrAF/bY/+3kEAChGR1mgJK2rrW5G/ZiusWa0c8N2kHQ7B8tFKlc
78Vf0NeZkR47aTH8UI+N7l0T9WHpgUOvSqJ8u98LU4TSdKBT6ciawsKdtc/WUmcfH1vZuyYE1eoA
EYUxRH5rxcss4dgd8nfWkDjnOB7rcF3y9v1s1kfD5bu7yLnhGaFQBKbh1lSQLJlE0muMUDWGNNGI
ma4VcqzPkED+M8zl+K3Q7aOUf299vFeAKDgxPm/XrVG7NBzp1vUUado0cyhlX0e6dM33snCOxBb2
FkiNW+d0qgbDtmVXdGtsTumCyzHG1H/jOoMQn1sYo51v1qxeqaSGHdcxp+KoKbR3JwCeUgbApfF6
bMLLaV1se4BjIWp0COkT4veoGXt5kcKYzsAJj8g5juxtQvfYiGerybAnmiGL9HZMz0Xb1Rd9CfxL
MlpHLGJ7X5FBFkCE/Ed9ztuvuGiI1sulHiMN+Np3tPZQxZaxLc8ogYuDBsmRrc0xtWYm/3MTBADo
E/M8LU7wXC3Uv+olPYLn75qiTExXGU4quoe3y0oGq4UVkt6/1ZTOt0Giv5KOpX6eNff143s0dwFr
0HFT6fS2GpGPgTbVJmez1rrgCpudfzU7AAAB1+Py2KXsOS5ocFBGJIYm69kcDh4gv3LMcYyYobKN
c8V+jmoA4cgr7x1CEgFOO6xM4K43rivNBUV22ycotV3xydYKl4aCkz03np308AevR/d773Mp1VbG
IElbmXW6/Vw+wvBw1SRgZYnQLror7UtbIcQWz9J8fWxPDqfoU8BS3M+I0NRNKnONCXT1pTrnqIV+
5WBIygFOdmBq73MBzKU7QlGUpHGzjV3smwgAizEK4rF/U5HWfdG0Q3WC3b0DRu7yjNLw3eKUFKU7
gWWKh0qm5SlzS5Sv3FHy2szmUT9+zw8DMPuvrc13Gqza8jMP7AJEA8WVKSb/xdNm/4+hYKZT01Mv
ypgq+x9OPa06CBZAllPlVEHiL9lYkTVDKzNcFFWN+p/S6BjeSgY/PogKdg/9zwlcNdMM0ubWzGgn
3O6Ug+E1NcBDo0jsZz+xucQ9CvARr9IRO9Lul2MOS2E1FAZ587Z0QLzqZGlIDMbejkOrcdLnZeg0
8j0DVx8+dh671gAEQEoJRxFC3Lfrs8dEOoh9gtqoR/edGyRvZDsrwR759+sNsX+myiLhddse+9jI
PENjxC5yE50KkL94T8iAfEvHWjuApe+lB+QfpJFk6vDYb0IQd207txJsYIOm1XdthljAq81c0V6L
8zgMeljNWnFa5+L74yUae4dFhclINSLazs273czEDbS8nMi0INFeX9wJle/aWeprJkdI3qXmXIvS
nj+2zSh+QJ8Uv3RmJtYTVN35uU7r/upmifW7HsvSfVu4afWPtMbl38c/cu+DK1VoFbXQr9weaMjH
m8wIeAMDfXK+ZOkEuLbQkr+DMTtSLNnbDvoygCzAS6ouxO12OBVzqa3Hw1TFAaS0+IiL2y9Q+5tA
H5DvOpqp3luaQrYQ7QJMAHF6a2+oDMFzMvO85wtkYpWbfbcVAXo9+P9LIshAIW0zlX/Ccnlripub
0p5kaW6bIcOA8lP3HSrt0T2JBgmR0+u/mXoufNiAmO7apmBJzaRHtxhj1Da2+QwHwfDUO85vKpY5
sLT3ycDAqdQLzApo09t1uZquuUUeD8DQkh7YBfrV4A4bEBEBPHRdkhivlnUmdKGwSeUAtBZJw8bd
jXY7+JbIJORltvYmKUxIoKsxXbmkQ/x/nJ1Xj9tIuoZ/EQHmcEtSUme77bbd9g3hSUUWUzGHX38e
+mLPiC204AF2FwN41qVipS+84UrydenpRXkOkQOKB1t6cj47EnqvXmzGqkd7/JTnbq/FpISjd+Ur
Xhhn67LCHIPBSEtq9zZ5ZrdUJQK1sTNZ6a1TLs2hSJry+/u74uIo4ABA4ZBrvemuQugpR1yHh1gb
RLIeSuEnLy5Qa/X7AQuNoP8fZ7fXqeIATCyYDcisOVz8WYHcSrMr7bu3ZhF0/VFB+7XHaeLucw7H
DrLRwAU2VqaVLnduUc9GWKuCa2lsivxV77P657TU7XBj1YVBQjKkkO1tQCU/MbMyrYO+ON2toQst
RaPHM/OwNf2xD6Fo9T/8MhAfhRiapz6rCjMeKkS2uJOKSjyNbV5tt+BijeGYVNYaDbBocyoN0r71
O7KJQ1vn60u7FG1y5eNeOHAb2Q+NGHISCme7Ks/kTgDHbGx8he8jGlBmy2fLrccbu5YV6vzLNXbT
pU1DRMhy/gKT7/sIeVLZgUINIu6cJHherNa+BXdhXQvdL04LMgWcEeJ2Vvb8pME/zqa04KFPlO0f
udHkC/GaHmu+P96LLEvj98/Chat/Y1PQeKb6SHK3u/pXOoqr1fMZSw3NslZWzY3VjDiVVrN9ZcUu
fcFNv5KGD0oIhKDnUxsKSip4X/fs09yh+lXm3yz6wVeCmEujbPX/TY9zY/HtPqDSzNHUREWzrtG1
VxClkwwnSuNXvtsF5BSL5NDi4Q4miN4/ZE7Q53Zn+j1q09mgx64/i4/4UlmIxg441Tw1bSemx6mt
+s+4tS9/SNfVjINt5BibvL+El2ZMyEY5B1cjqAe7k2DMbb0mKS27xJZLuArDvOkGU79Sbbi0MZF/
A6C1USmgxJ2vXjPps56s2KH7VMG+C6esb+a5qbjX+mIO/Xy4cklvV/2u5YuAD+eaiHT7h9065rPI
i87SuhgoO1WxZrSW9NSTiALAzaxqjmhzZfmnQGp+EaL6N//x/le9dDAooHLB0E/hmdiFpEtXtJ2B
uW3sZZOW46ejeXeWlztPsNGXKyt4cSzePA/0Psn0XtMmdTTf1rQRpG/B5at5moeUMhL+yjXVlX17
cRmJKjfSPmW4vdBCgcu1nU9OH9e93d/mdt5CvHNXPHXVcOtsmsf/4TMC3kX9DbQAPY7zbdNSDiac
5X6xuzG5T2vNwjQnMO6s1LjW3bg0NZrKmx061SMgNOdDjegT9SNqAdCGO+c0jIuMUuVlR69L+q8a
418JVi41GmDxUiTYagVweXdbdBy9CWVTmA8l3Z2oHAc/CPt5vldztYpwKrv5S7Xay5+qtAeFZLtw
T6AcxLNr5VX1H77zv3/L7ngS0Xa2oAofj3wbZPBhbCIU7CCDkorT7y8p9x0Ql196CXvwR5paY+OO
kGdQahvwAKsMMJuyOzbtbB/eH+rS1YYG8Hb+NsOv/SNv6JNEHI3cN120PMpNc3qg8Kq/vj/KpT46
OOlNhIFyygaF2u0c3267WZu5Qdvac7FMK9LjXOh1DNwfjrHrTw+OJeuHtAKN1zXOwjWbDHN/bPPB
g8JAoeUE1Lt+qRLHue3Jl6/E37+kGfa3IeBYAMKIfbLHd8+0iWhihbrYAJOs7f+uV+k92vqyzKeK
c3xSqsMMucy9bjyZZt6+AMcPXlPbyo+Y7sqfmbKMElnc2beuLNClm4ueJZmjwfqQP55/uUqhEGRQ
8gZ52npZ1EyJfwMk0/nRQaz9D1t8kwQgN+ClAxZ5PlYrB5Qe5oXkQMjhs/CWv7G0Cm6bLLOf398Q
F2YFkwmYMNoDcN72B7tOtbSjeYKwKjeaTbA7WR2mZ4RskAPQv78ysQtPHaLQMLm5SGjL7mmmNlKu
0+hDM5KJb4fugG56ZU9eODWqegTGax6zXP9uzlN3JXW4OM9NvY06Oy/7HobjdTXU0ALmEWXICRCJ
Ux4aVCtP+uhfU1e4FC9RZd8w0SREaJfvVq+ClLRYRsNRrqzsplkG3KU8NYSBxLlY630vMpJuehYa
l4g2ZTgKWMtvuzQxMi1KCL3oupEd7C/sBHBT2tPaGobAQF7M/UmbrTp0iFv8lyUlGQOPsflM7F11
62Sg1j5TSqvw4RtDiF3+XTBhg6KnbR6iMGveBthDH/taL688S9uR210VhEz/G3oPXvUhZND+Rx5e
mV37Out0ml18Qz6jX1DdTXMWPHeyvAbxuXBRE3jSceawkLrsz2aXBKlWlmBCxm6cQhQ0zPsE9tKV
DOLCC78xFehDUR3YfFjObwCrHuqm2ZAnwyS1byKVtYwau/ee1mmhGTXAFL2yjhfnxfptLozMbB++
6HrWDUmn8zHtdFnDMmj1OjTTwP77928ciMr/G2cXu0ABTBvACOwXR6njNJfJYa5NP7KUn11R9bo4
JRPoDsYkJH37YLMwxCp0Z6DrhcphLLFEiOBQXyspXtqF6KmiFsNWxDBkVzFyLdQoldyWyiaGF2ay
xbX2fBiWtolTMpabcnGvkasu3WeEtJTh4EUj87Ab1Hdr1DeHXyXaurrTFwSqewc/MUwR0iun7OJW
3EoB4JgRo9znzcYKFqLvaUa5NdrmFZbIRrj6XGoQ6IpYVF33+T/skE1yyIJUAmrfPN/7k48utJgJ
hazGKlGKHe1IlnP/ycIM8/a/DEXYRTICpHhPsTKW1deWrdFmdHkOj3ep48aX/sGrrWtE7EsrhgsV
yun8l9rz9jT+qxlltyjDG9p2WTV183VoVvEDiw7nYaqM5OX9WV3a91uUvnG+ERzZv7Lk5703TFt7
SJf+C5To4quGFsGVfXFxQhS2SFkReyMpP59Qr2vwRXqeOcpy2hG3jiac8lbdTJV+7Y25tAWhiIBK
RrsBPcbdjhC4jsyGz+utikEc0U7XbopW5i+rNbRHZLeSKxfHpSNN759JbZo0fMbzqbVQywXuA8Sg
clGHwMuzp1TMczjQswoxlx1CzV2TP95ftUvfk/WivAm0iDBlF/i6UlNqxvMkFmXuv0Dbn3D5HtR9
MqGQ/v5Ql8Kwfw21TzbIi4G+Kuqoup+W8zFLM+2pqD1Nhe6UBpHXO+UjNplgHrnugvj9wS8tJu8m
0qSEDNTAd/tmVTKzlUYRZ/MBeiST/FA4rR7r5rI+ZmZ6zUz90mEAqQVrYCvlgFc/X0sTy0NUXidg
3rYO48d2cEvv9GsyTRcXj6xtI4hxU+5jvga7pqbMqRk52SoO2JpVhylVDaXnpLty7i5tTjblpjdH
nQGQ2PmE0gRhJmwwSUrXYQF9sywHHKmrsG8d82jlFlYdKXrT7y/axa8IJI3+B4Am4LDng+ZmaUrR
UQMElJefVI+3BDyPay2zS6NwD7P3qTeC59htjQRVD8vNCuDTc6kACGAas/RJeXh/LpfWilAVIRIg
5aTB2wb91008rxBrnZHdLxHe/JZJKnswdRYRerl7DZV1cUabidjWLqN3vtt9FKO9YnApVnjKd47S
qUvoMv41FtelI0VAyvVowU0mCjmf0ebPLtNBh/Wj9T3y6fYWDTjlSZV5eet5tYjf/4KX6kGEApQg
NwQCY+4eM5p0OpAKuJCYIIO+zNbgVGiZ+2Bra3qYEmzJrVU5x2aVWtjnbhWR7iWn1Vx+2xV+04WB
jUmVD903GkPnM1/0QLheudCmwc/swbILGZWAWLAzw1tCZJX2WuTCuRKcX9pAKJVtHiGYFgP3Px9U
X1SSlO44xXZRa4+jPkBFaPzsky9B/r//pS/tH5qeGyoCbYS39uhZsvjBBGMtndvgKIIu/zLhiXp6
f5RLE0JeingLSUBCyt2EDKpAljFDclKJqYWVIUW8aD5xrBb8B5YapBtYamyfTdZkd5HULdcijt3w
4tw+CaWT1GFjJONLsUzLlf7IhYuSTgEtcVA5CHTu6+pd3lH/CjaRsNRxj5bsqnAp1HRE/6yFreD5
ER3XawKEF57WzaiTBAc9/s1w4HxvjMmQFb7RsyEtTf4wpW/d1O04RFbX5v/QS1shfmbPQTJYvw+u
p2UHkJDGNZn/vkmuQDZMaGFP8ahlkLSQ0IpqqVREUvfz/d3yZk9SLNp4jRsRB7XkfXTkjhih055T
iCUXXbR0kPhrGqqf3h/lzZ22jcIbx8qBOqLpc/4h07ypKNIXjDIO050LauapwgXkSJz4KR2135Yv
34ZDawFOORuGTO58OFFYUzuqTMV16vsnTR/aWBttideqYf3uaYMnQ5SAvhQ3CC/D7k0wF5qUSd2r
uAnm4c4OyjXuFlneI6R1LUbf/qqzCskm/8cXgTFFeorO6Pms9F6UXimIQyx32mwilBN6rZsj5aoF
NwkI3hBhluZWUd4Op2D+bZm+bXjSQ/RN4YlRYDwfvkS5q846gD0lWkYHKmXNJ1VutFGisritmjqy
2+VaqPLmMtsGpR+64fN5EPZzVnqLY1gpmnizMoo6GObHWsOy08oScXx/j14civQbsBpFb7bP+fzc
lYe3cywVe6u3njppcrm4xO2q9ZYrD8Gby4xZEUIgI0lZfPPbOR9qs6ZyM3NSMS+e3ob48XTfTVqh
cyiUrT3XVu88Q7tIv7w/wwtnHUDRBgbYEkqQr+fDNvyUdhKGimejRn5g4dHLRN3/h++4TYu8h0cc
OPT5KJMzC7Jg9kk19tXJcjQz9jPfCPtJBIf/MKENBsAVRol071UrFk8L7IQJmbqnPlklh5TCmouS
0PvjXNoalJ6AZ/LaIYm+n1JPqTstbIV2V1Ye/Eb+Mw9BGpdjcK1zdGmkjXyHHh8TopZ//vGQEA40
KiZ17Bqrf+ODSAkbGegPo3TU774xbEI6VKwR0IYND3o+lGCTaJNHkcRR2RTW46Sf/HXmMe3s4vb9
73fh+qcDApedTQEHZs+kZAtkI/rkVSxqd2jCbil0+Wh603QL2MAfNz2KvLyyZpfGpDsAnItq4dtG
POZvVsYM8TftpuyQ4aEUym5eQ8PozVPl+9ea4ZfO9L/H28UKc5GwmiPWn85g8FqrXovkbC63/pBY
yDCk6Uk1+TUVo2077J8EyhrsfoMn740FScV77XR6U8WmVlUH6uN6VFBduZ9n390UtstwKnSPUNMX
kTW75pXz93bOsEU3fxBSSWju3m7OXua0rmq5xyq0xG4LsVrx1MPsGEXRf9bzqbn1TA7M+5vp7RHZ
KKrUHEiXYcvt1e0Cc7Lpx6DAwP9a4bpW2t1MThGaSED89lXGnuU/1DdQUWK48yMy1ARo7OgG+t/s
fO3GeQlnJyk/l62nrhyRt61SGBYGDBK6dyAqIByfjyUdt9BWZhYjEd5neEl0vgwrrc6/F3NVw/vD
CThqulL00TAb3SN4cp7cHIKZyYslsu9ukqOa4NuAX68cpbfvBgn2ZqXxi+Di749vM9aUQ2yXz6BZ
8rOkWhfpeKl8eX9d3x5YOk4AIVBVolyAaNT5B8AQsi9Sn/BG6qYe5pnmhMIbg5chV6/m1PtXmoiX
JsWA5OxUDQBGb9vsX4WDdXFbu6HkGftubx9biN7NB4zH3WtkiUvT2miyMDpRKXlT7qTgXa1snAaK
cYOyWJ8WoHJcV4RV0ImnbtCulfh/hZznlwK1MZKkjQYI0GOPHkasSacGx671ZSpuZzHXTwFJ4Uuv
Qa/BlFHZL96SwBBMRq97TIZg+J67QRcneVB/k5Xv3ne98O/1sSKfs4JmulVNauOSK8WnQhlZbJTN
VcDNtr3f/GiMcbciLfINe3qHl5AwW3bWQrLtKy/Uglx/bnD8vrMw1XwKvF5/qJzFel0MLbiSWl5a
IRAKGwSNyA/51vOdsCCmNfujRVzd2/8MswiegrWpDplvf20B9l6rLl4aDlgR3Fo6jxsy+Xw4q8qC
RG+zLl5wIPqr0pz5ZsDdAo0Hyw9R6blW37lwX/5SKPO4LIlg9qX9rHLtqh+1FgEOc3xK+9YIqaLa
t8qfrrUdL7wHDLWleIT/G8z7fGq6nfZ6jgkOYNN2XI9+M6hDpZMg3ImGA1xYnR93oEGvVPjfVrAQ
8cJAg5cI6TJqR7u7s62xlG1zQP8rjqkIXckOizUjmdpQFiL5kmpq+VTrQx3LKUkafC2Dbr53rMVX
YWuL4pp2+ttXmZ+DXPTW690eiF3ls+qSwu9qs431aRhe5WAjm+6X80NrTOlR0nT7nnpzXRxrc8o+
LVU+HN+/SS+cJd4qblCd2itdt20H/utqC7o1gWfddeD3l/xV4awRemmW3jaeJiI/k+vLoobpRtXe
tV7Ehb22+auTnbIWPNG7DAO+oGP089DFyte8uHEn8dHURXoPgqF4fn+SF4eiOkN7eytb7iE8PURo
Oio1Yi8VXsXlKuxwALQXlRl47veHunBiqf1syjL+VifdN03rwYCSj9hGPOgYz5xWrZ16nmbHy0Oj
X8pDZ6bX8t73hwQ7db6EvrTwXULME49kj76p6ycZyaHjalG2asvD2DnzFaDspe/5/5MEp3A+YuO5
i9S0pAWYvq6xcFv6Rf2yPjg5IKL/8D23w0o/+JfG1flQk9YZWWLnXRyQEj5WtZk9raPSMKFeMthC
ReB+fH/ASwcCCxEq3OSk3E27uanUVfqaIVeamkMWJnVV3wZj9ndmZu1HGM/Lndc5wROiB9eIPBeC
DCoXoK1Q/IB+bO0CZCQNus7K2jZOhtw9keS0ETJav580QkCjILOBg7Ym++7aXZpysFyy7ljo6mdd
FeujZRgJ7MylP7z/IS9sEnz6aKJS8EKNY18Q7TpVr2IkqXITvCSR3mviacIVAoHba8jQC5coYRDT
ossHA3nfzbcXw+yAUZZxa1lDF82GbO7bAaYfCkBad+ejmfU1HafqrrKr/EEOAOzen+tb6NfWt2J8
6l0kyBz+8226+t7oVRtqgb98xrx3+mscKeo1Wm2fWou6jZG6/kEQEYVV7wYnwnb7ym+4cA3QhSaB
JSzhN7wREJP6MvcZJu12ORVHV9rTh6kJACXPh6wMipv3Z3xht/4qYsIt56iAjTyfMMLn3ZzkTBit
ivS+qN30yzh02ZVRLhxGRvlVg9Id0u7dG1EMRuoRhDAnzIK/j3ruhoFVNo+Bp9R9jsXBJ6IYRRy4
Xrt3Lm0pgjzo5VwGiFztA73ZX9Kp1SkJCMO5SVvlx5WkvyQyOd10WafRaDPMeF6t+uj5c/H1/c97
aTFhFtPh2pps1DPPP68p82Jjx7CfDGvlyvFeG0LkYzH4/+haal65ZC8dVdo/3HdgFwlsd4sJxsdO
q4xLYWXbzGHdVd2dWQF+WGkCXNmmb5eUfjyj0IExCcT2PNjaD1o5NgivBVOyPKeuk0QlphkheD7n
hEi7onuXwHZK+CHvf9O3GGjCaGBMlD/QBgKGulvTJhHdkArVxZ4jsPTLUyc7mIPWctHi+F2E+mLa
N946OYfCb33/sHhdcexIbfJjXqd2qPdNK0M55J4ZzlbaxaM99T+v/MjtW58nN+B+qVRgeU4BkfDo
fOV9V8g6m9AJbWex3Jvr9hINeR0O/Vyhd+X3D6v7iT5/HAh7SkN9dp2bzGp/G9zGtwLhg6LRxjan
M3L+M1CScBWUONSuasu97bXxu4DUflhGuzgaqJweZLJeK52+3fSwsjeOyCZHBQdn+/N/xaJiNetM
JB28Jrxn5EFb59EICxQz9dNkLGg/Bn27yNP7H/zt3if2tWnbAfihi7bP6ICbeVYxkHMPeI1ENCNF
NI9u8qGThXOljPALxnC+th7pKnnFpu1NY2S3tsPCkQhKlKcSrberY2JZYxDm9LrY/iqd7voM/fET
TpANyfQESiYaK3f+Y2210ToElkTLRV8d/9Ef2raMNG8Yv09miweF5i/+V8Ru1XLEZlj0YVfp3Yd6
LPxrGeLbNWJtHD4YuhFbp3MXpayGVieFZFMOklzInlwvAi+l/SPqtIAaOZYvv708ZCeEEFS7KMDs
0zU8kvnrvbyNPWkLF+VLFTyviBu+tM4UXL0H315OwNlIDmnpcPHyD+c7UOVSOkvr4WcONaJ5zE0r
cb5P+YRTvZ8Wpf8EFMaZQg3n3T7WCg2PSaccZHL06KPLYzFtOtRLW6hvJu3ELqxr10xDX6/TR1Fm
FMyHMU2ooGjrkzWAFQrTQAVfGmVmVkhBDbuFZPK9j3Kt0pd1WJUZ6h5S88dEOukHL/GHh8nXdBHX
NfFQ2BQpbeW8sBBGBFvY1QfDVw4+xQmov2jSBsfBpxyDv5sRqtcSzWpasuOaVlKFAq6suCvzYrDC
vEabPAqKWS/CBfm34B4nFyGxxc7keOy1xh/uRyK89LUFCYpHgdkLE6nBAJVbS+jJR2vODXWDKBnu
F5VRtB7VMdf/sSo0j347vwIUQfEFHDZlK9oR5ysE9NRMTZcqtvCyIBQ4sEfOKEo0koPgUCypd/jd
/QflCM3gXwCJjcFwPh7WKK7RAfzecCbpa2c36tCjs/SxmpCQf3+ot0eL3JQcFdkkEgAy4vOhUPwX
DbTOJjanpjwlvpHee4sB8srLl3toJ9cS8F8tr/PriL4eu4qLb3tp9tUeq18sAFFge5fEwbd0Mdv1
mymHbDjl/B8eKstK/ujQ3BUxEWwiPhZLbZdRTalmjTw3CZIvtT9PX3iqszrMaQYn93bbGn/Vqmmb
kMel+Tb0tvyYzTXVkzQTq/+EuDOJfjOK6bbUJGpxZFvmHLW52+hhb2ZBiohd4Hz1Oku8OjhqvzRG
WyWh45aOgsdezCJcYcl8bdNyqCNAMurPCm/Sz7qstO/9CGwO+YjJ/5p2CNuEbSa6Wxq5xRpn1dA+
C6npf4NCR6VbBYlcQ2+pCNi31fhmDvbwFZ03967ocvPvZcScJHbtNfuD+K5VB2PGzSVUBSa9H9bU
L2mTyMZ7Tsei+wqDc6WgriVdGakOGvl9mRv+lxVanXiqulR3wpJ9qj6vQzqlH73Esnu0DDq5FrEp
9Mr5mJTIhEcBYRcHD2mAu8IP5q9Wnzp9pMFXftXaMusgZbXZQjXIbZDcRC2I4hWmlHk8gDArqWok
+XORbwbTtpEMTxOyTHoIn32pQ2OkanqsqU28DJokfa1wCOkjN7EXGQ5jK+7XIainj8O8agch6Ild
2d/7l3bTRSeSpWnO2YW+sdvfE8cMnDBIsNlt1Z3RB8UDdBHpRe3CH1wZbJ+fbIN5PLUELzBhwEue
H6a+F5juDI6B1aleRHMxeEc/Ga6Bft5UE7dWz+bQx8u0FfAc63wYuvF2A30PMrmsUu1Q+WK+p9KU
HBzBvRu2ZjB/ToQz3Ltj0yGTW/j2FBa+rkno50ZzDfOKtsc2sX8fan7R9p03ZPamBr4HbCIYaGbz
4mEvURHWvXhDoY009ZygRZHczZxvk8DN1u5snx6N0aCYICanWm8QTZEomlbN3IMsMDWc3VXfqq8z
Ju8W+KkpBVMhqimNzaDNvbBTQytvElwZqGypXjcj8CV98qwcmVuHujPLNEzmLDEOeel6x66DinEw
UEv62I6d4N8u0u3KCYou9Ce/FkfQi+sYYRy5VOHgjN4/k5411Smwxqw4SC0wnrkpvOpQ9HPwQfTJ
9KNVhr2GTZY42ampRf9a6HBRo9HWON5p0vHBJ+F2c5S6tf2zUSMoz6zphqekgD8fiqGa3FtZySw5
JKbSvue1cJ88BMTwIob3GsRAZDhmkjCUMygohB/sxqzvZZrO44OtD/5r3Tb2gudMW9526dqJKF/T
Rj/qrT9/p/PX3y7tLMGF5InxMth+74QaBJ+nORf1B7pItYxnsWIA1/h+noTD4NdWJExPPsL5ZlfR
TVteciW9O3wBCOtQkKabUsK98kNskahf91BchhMpFUKbebGs96IoK0DkOJ5EHrI6PzgH/EITTMDd
oA+OgDhbYnyiCq2ejo2wF/hp/iw/I73kGPGYOw3BaIoxY9h6ba7iZCzTj6IiWvk0+E37I5U6es8C
z8EvtPgqP5wTc/peoSipxZU5V3/pere6NzUKxWuUa6X/Omei1Yh0OpFHoCCcV4q0y+ex6P2n1Mfp
NVq0Pvhz5cd/nluFLwM6G+73vjZkGemaHXzRZ8j/h85NExUv1Wp4oIcSEzXezFJVDEwl6aPFS8SH
wahSM5r7hmQOb2IhgeZYcxaW7hJ0X+vS7/4atUJfDmDk1RMwM9oPVmY4D+XamHkcDE1phW0DyxeA
InI3cdDV8tiWGpJQLaoP1pHmovdX1RfL3yTvHn91Yw5Wf1v4DlTstTCGf0gmqvaQ+vP6xYHHsnzx
LIFJKXbrWhdlVTtpD9PSOk3kpb6U8Zh57nPX1dnnAVKkc+/kfL2QvBkO3dp2GWqjlZuVJ86P+NRa
o49jWNWuveQt7McHJJjL4M4Rdj1FYza782FdFy8Np14W1aFqaHZgdLOM1m3VzdUrhrfdHDaep51S
2eMRgBRN+kc2V8lTPflNgbmR0l+dyuy9sLQs8TxM69oifWDaUFI10kFtcrqPtuYUZuSmi/X32BZe
H9oD3J1wRpDlyUz9li2aj8VnAefYPKElVdznY+I7D56RAJAUi630WwwwbCeSMs8cGYrKq8zIwUT2
YWsi/ii12eSszrn8VCVbWW3O1/klwSMtAeErXBWWST6NUTADv5otUzXEH4aN700Ny+zJJRESN8mY
qQ9w8N2fqpq8NuxXXFqizY+qPSJXM4yh1bKp7mxp5R+FZgvCcWtQ3rcgl/5x1Dcb+bxb3MhOcn38
APWuyJ5NLHybqJNtXaBASw83JCUy/Fjrx/mTZ5mtHyMy4/cot6r5s0fDoYp6K03A5gi/qGmpugxs
zDIrjlpbpVCc/CRd7zt7aou7crXln1pCunpbSFEvB3x8Uv3Y+MiURoaQXhAnfLI19OdZ4Ae1aNMn
HE5FfejtLH9Cghw8iZnil3YH89RV2Ukmqk7DWqxB+TgKV/xDh8LzDqD6F+uo2QMyAl6x6D/niQZv
iHbJ5MStkVt/kWkTA9WLtE7rQLkx2vQKP6I9UiZRo5IeaI43eeC9TVlQYbSdXr/TtDoQHMXVmiK5
Qtx5NNl2ij/1g08qNb0Po2fYP0QWTNnNqtTkfoQVPBTHpg7S8lgVjf685M66bBKV1QdvSlkTTH9S
PFCyYmVbm4W6laZT/tRLOaoID9Lh2R5LPz3hV1vNd8s4V5B06tL4upZtz9VszundiJKnQ5/CrF+p
1dkj+lHV9DVf0DAPp9Xre2zesIKeWovjUsNKaY6lnfvPY2tgvTUbvefEAIpX/6B1SdqGVjVltAa7
yv+nnQenBXzQVF85lvoYYueiFbeTmeh/Sntt1N06lMYzvhnWcJBd7d7laOipkyqKzucj1e2nxHWJ
GvXWdNfnqZXiXiM0JaJIWBbRIZl96wlVvGiZpnc8hF35M5vH2gxVo/Q/INtmZpgkS//YJmzzeJrR
8LpDt6qroQHYTnZ00iC4cedxnQ4ZfrRt2IHzSY7p1I9BpFpC46GCTBIDj2vt+yBte5TjpZobgF5N
vpXFguVHM2648MDo+292vfQfitRY9NBtW2Qc8yHR1V1tKNS88RLLvhNd2ljLG0FdR94IaPluysY0
i2wcvxVRgaHdEZ46EKvY9WtxwmSvzqHwZoONe+hSIyTvSGVj8txbX9u24S7M1iH7C/iuMEOtsQtx
2wzZYoa1NRbVx6RhWW7rdTSbR+mj1vJlJeTOHmo6KWlIV2UNsLas5IZ+SY0P+WqUQehaZTIcFo71
GInRKCwygt6H2VusSxu640LTZ5jM+gAibe2ocnTdcrPpz6Rx4dXlV72QMgnzplYfOi33fg52yb8m
XeGg/DO3ywcloUpEQnBTHVUWyCAEUSC/ZZpUz4oeZH8Yc8Obj8imTiamNHkvIx6nBG17T8Ecqd3J
lBEpeHsslFgoPggz1cPRn9kdbedMj8po1hEYz2xMD4YxkyFuXBQ7clSTfMKWm3K5IVTySdOMoYoE
kJqfs5CBFY+NniD3rnSWadHb9sloat07TVmbtXfKgUnxLcsyIjhPDs63TupaH+Fe6b36K1WP2HQK
WYaeOSRIsWWFeETSPfFDisfD9Oik9uCFK38rSMGaukXQm1oRwvW1KHiITLOXeKh9Gu6+0iVJO/6c
vKMtM49Eac4fvGGRuHkluvuRhMq/7cxh0qKK0f7Cn1SgbiyQ4uiswiqOtjRnBdQp6ZeTWgMPx2Xp
OD91yuZBmKg2+RNEARzgUuV6+tnLVWcdlGupb9LwijKU9mg8BO64sjalYX1NqS4g96Pl2g0yRJof
D+ZoWycu9ObBW1c7CJvF0P+mWuBgQzkPxAOTn8TNXBA76VaSJjezP2V6JBsnbSPlTI6M0aww/oKu
oG1LIgz2r2HlMTpK/nBExqX6ZNWOwCp0MRcFhiZr1tCEyP4DoiyPR97ZIKWNAqcDnoqqTqNaSH+6
t7il5L0/yrnmQHdAT5DK8+7WElR2uExNmxw5l20TlW6/PtpVZyaxP4hiCTOgcjyunt1S1QBmNkXF
OKj0NMBeHiBlNDTKQUVgFywGf7zJTM3wjkZdmd+cihrwCY0fTkIz6/ozuVGWHzyj8oOHNMd6MdST
YnosLCfPbwuDFytUVobSbELL5LPetUZ/SIdV/4mfWqsfE2G27UkWU/PN02f6SCQQ4qMzkUVFTYrg
W+gESNYRtCz0C3odPyXhVv4d4bUFR506aXmiaqW5cUO7VEeY3eIAVzj7zUeaNVr6f5yd2XLcSJam
X6Us71GNzbGMddYFEIgIriJFUaJ0A9NCYV/dsT79fFDX9CRDNEZn35RVGiWBABzu5/znXwJnc2Uj
x4dobDq5xiFCsUNBb9NwAFWRfQDtQ6BICYnRkB9iX/B8JK5CTzLB1IcVmi5eqA+pR1VZiy+FNFUX
loQBsSOxtjnPwU6u+7lr2Wd0CVXLZFKlAVG43RIUppI39VwWY9BhhQBTz5FlG3o9izd01lJYezsB
Pghi4cMe590j5eLKCTTXqR2+yTxzavafyv+YO4OHv6Lf23EWEI/j5IfYmaD9MdZpPWoxYjeDAorz
I9WzTbVmO6MXdFNifW9r7MICk5goufe0rs0/ePXsM87AAM0NhBjnEU1fC65fYeQYDa5VyKiBYSgC
SOkoSSo0Pexpvk/USL9qlTyUGJJcrtaccxu4SxmHShSVHVoIT9ZgtepiDdEqzkZo1cN4J9Z0gl0K
2eK5SxKnpC3I3Ou+6UhJMWuvdjkH9bS8i9nLPw9CcYzkrMs1KFZnvWZ7oLa2mp76hCBf87ku0vi+
r+ruSa6VVl1bxbhoEU5zM9JLC8uaTb0Shzny3Ud9XJYuHOPJdBgpef5VnizinjdiWGFPL7BHf2G6
UVaP88ckXyC5FBDYjNAeYysPZ5G4V+acQRJHf9PeiGnhhO8zr85QtzEW3cWTY5dUXK22y3ttWEJf
9s5PR6zCvxKtSj+mhIzw9odxfhpw5CDpTmn9j8b2wbSM0XYvjMYezdCTlnU3W8ZSA/d15fVc6BJK
Z5G2H+wmodYck5zXPCkykkKnI2o+6C2zUmE9t/GV2eE7F05FrqxdNqdVGY5Jlz6M2AV3sF57+C6Z
j2fbVZsOU0xGjTM1AaCmeuibWeCMJVO7ucRHXjynbmYXu0y19OKOMSU48aIKa3Yyc9QU9IWvPa61
2TehAC1sDmbVDuiqhsoLRO2gruVPAIlVOu2AHKtmCFZ3nBmaWX6b7Vie9jfOv/hrquVuEvRzO5AS
zqZekekeqx+iU4N541ZrKSPLV87z3MUVAaFrW9JOU50GssizfDf5OXBbQf5Py9ld8UdWi/SxH4a2
mt+HLmEZ63m++RWgB5CMR7LleYmz9DLBCax9J2osYcIRQOxTr9mQLAl9r/jQ9FpjY5SD/ahbqffT
NRZBhoWhvHSXj7N0r6fKVvf14KSfsWZzyl1Gl1AEoLZyvVxJ03vG919deJRdfliWevnd0At94hDO
wBSG3hsezHbKkqPSIVkevdia+AD1uf5ZTeaURwXVWQEKWltPc12OXwc3b7SQOBO9BYGpfBCYcurn
4yZ8awPRrnYXiNEeu3DwBvde6wUjEoyhbeiwMSZ2sDalO7DzecYNYhYYnXWXWG6A91D2syQ5IN2O
S+y3azjoPxT5Rd+GXKYFbRRTqR1kqaHYLYaFLJCpT/NNxcT27WKjzA/pnI7djsqszMEUsc6c3Njm
ZRB3Bx7kjiajBJ74tNe7UTzp7ciAwPFzLDetrHEbpqiuVUf9rIufnePQU4zZNu7EiYHeO8/gNrO8
iimoajl9RIOSZGFCEfWgza2mKA5m7dgxnPEC9G89Z/M45IFWYGURWPFEcq2kzP/YVZ1FQPs8Dj+0
Ouluyy5LvldFE3+alyz7MlAxg1Nj9vzYGbgyh3GdrI8LSeVmkNoa0tbS9pbAwk0kCc2SDG+X/iwL
jCwxb/qFPmeHXMLVo2U2ksNIsvL7fmnU+8XLgFxkK/OChrrjVOwBn/FiTTkgQvy72w+eu0xaYCfN
fM92DY6Qz9r0tdXs5mfXTk2Lcilz+3Bc7aIOVnz67nHvsh7w3Cku6AiGn2JV1vuUD+h5bhtIeyXw
SUPbrwPb+qnloBTqdGcKYqxyvUCnDyW93l68x47ucAxSIIevhiGbdAejxc2jriVYK8DWWDJVEWt/
B5azlNTXKh9DBjJ1fy9oQ7NLy18RCORmZX3uU6e+G0xz/OoXbTFed0vpTYwlJ1cEeuck7XXWp14d
0YJjez37U7PLZOc3FwVjgx8ZMP+VT+JjfYmPpHuPMdlmKcfIsQ3tZTX0CCFge+0pTX0oJm39jq9k
/QEFrlvs67oGMR6Y3d64cm0S0pkcbIFhbBUykEMtPlUVXjm7tfPadsO35HuSwGIzMGyt7o9sv+1e
2VWqBY4Zs4HPnGHMxPRG08OKffp+NTiq0TcrwEj4fgJPJ91oQEbzpH5vOP2wXAJr2A8rZTJjvpGO
OYJF2mVBAua+AjOW88VYAZKGZaZL1kyvgdtXFel2Qd4vtRGmnuaX0aKsuQr7ocTjzIRV967srW45
Jr5feLc2M8OfJQm3jw2ObEM4LVsJnS6Fd5HE1ZRTpunddM8nACpEHM5wK5O87vGZdqYqLH08cMOi
6K1HYTeMKxRZENvARauN6y611GUKghEHU49e97D0ydpFcVa7Jb20MTPlnNb2+7TM2SO83Kbb4biX
5Ls4FSQFyH6wKQYYnP+Mp2m+Xrpx/VEW7KM3emNMfJYowNWB8ne8FGtjyuPSldrRWfRkYBLkDPG+
AmGtD5Ka5as/zzSxVrua+za2umpX2V1+Ty6s9s52W/tBMjzNgqFz3Hsky9XnDr/KLKoLV7SB1Ez+
yXkhcjx0xFjTE052DAYwLxwXPQ2jCC0272KXqnijG0u1BUbWi/pCIZt/SgePw9CNtTbho/cYXGV9
PhwBRdYBjavFV1EUOW2Wu+gtbot6jVdG0VEc+CL7HlujkIEaYWThKzYnJSMYU1YByvVmDtBomI+U
JM57u5xdGQ6lN18mTWv4QesK7aIcF2VfTQ60+XGohuxYLmb6WK0gSNcpdo7dPnFVm1Hfj7QlttWK
zyvNShqROiA5EnJZcJa4XuyHC7P+R5yBRL5HfdaI3VAuXbpnapvcQ5EqyU0xQKXaxvAP0OeHz6Kb
3Zt+1gqmaoWpX0DwzxtGSj0fQlH5xbXBAEsF5lhkd5ppcJ73wyjzqFZ1/DWB8NcG3dizG5LMjCbM
K1e7CnRKqIeY/GxKx7IuVOSMsfy0ljWk175lqwgwVewfES5q33MWwHcFlSENGVLET3Zh5u+komoI
16mzGIjj73IY1h5wL83aeohGJ5EEGo5VeVnWg5bsDV1qlx67nRNhlmLXOzm6cX0sZLlWoUMuQhW0
mcNpI6Uwrm1bDW6ERwH1Fu0vEmbTzdK935tJE6Z9Z1ysIPQMFJpuOOSMwkQwkDdIiVuNkwe63qka
4MyxOZzZYqkwEuh8PtvPwnTYz2/cvvEpicRq/qggYXxrbAxew8IoDeoAha+FjzFBUA64wofM26Qb
+E3cv5uqNTN2fBmVi5fHQpSf7Q+LfXCMUk9oHNL1k7LEpIfF4jTWTmmAPVQQxpCHbjPbn5oSEvdV
SrySGfQwS24WbfGNsPMr4924bq0lm49IryCXNh/i1Us3FolpvBcUz3j+2YI5blUWl0w5vDSscqU9
uB12Inhm5ea7kg6nvo/Nav1RwXLwLhq7Hh69LEvunM7bZ0mry+OsGcBildObAAL2UtjwC3z/RvnL
9MSswmuPqKOqK5qg7odWJuwMpKjyN4pKM+/WaZU+9eSoIIfSArxrOX9IovJWQNuYygE0x7VL2szC
SqOtyR53SVt4OzbWxAe1mYbu2MDuAjZqSwZAC2nv5XVfWimbpT3lt4sdz587zur3Fi8nC0pNmT8b
L6XS3dzyrpXlN/OBe2ze2XneUrrmcwxEbvEzPSMca7McxtV5Lf2SFtRlmQfEWNjoYqsREiAv9t6a
YkB9MH3xxZldygazj7PvkCFwflJ4e+aBi1GHf8NEF7TPq22QKfJrhL5bWKGC7bvUkDJBLOnfpXVS
6UHjYB9GkrujkqipO/XB9skEuxqYaMhoKRHO0QI7qHNbZ20JAyHp+iv0kaLdLxp9dYSzKIeN2afJ
evBB2x+RR1sbXizoVpaRWdNxAa4aAiULVGRpbySQihK3sgMAcA/wR+Ps4Hhwkjqy1xpTQSo9o9xn
awH3MdK9wde7wOqmRexHS1XabQXoTGZtW5SqfW7Tvk9v58Sb4uMks4Iqh5xKa2EXzczCjMpy1mCc
jAkczv52yJhHL6EjrW547IauWw9ULW2iBXlsQWbyZ9iaeNSZqfZgqtn2cJo3CzhRQVI57IOR2xl1
/t5KnG6MAx0r0RK70KWzPtjk6ta3Xa3NOuALh459lLqDoIrYTJPKutY17ZOeVlN1kc9TR5YB7ilZ
c5ViWDE8OMa4Ul9p3uo1z26TmdQzzPu4hmp9pAvB0GhiorVfJ904irkwp5vOBj1nVNCO9U9LG8e1
CZkf03zt+9ZJ4p+xv7pEQ+MoW17JmuTbT0VSJuqHZ3B23upeEzvhjKv8/JE5S69/qEanGPMw9p3K
+NxordCdfVkyHDzGxjgyRZbW6q0/tLnZGDzUcOnXGq5sceAyPWPEZEvaXjgSCR54smxN5+M2XGzx
YZ8BnRla4PW2xPWpgZEA6sIoBZeHgqeDWkIOrjiOYh20h0qYDZXGMLXC/STjsV/gNCu945MSEC28
b05nOe63wfEKVx0yBqRJGtizk7cS1Cmzq6fW45T54dOu4v7nzVZ2NWdZqd6JpTM2Tm1aYu2N4iV2
r+YejcYhs8axutbpyu2DR3rGFJVg5uu90/L7N4HuMSPAn5+Evh9JlszlByfVtflLvMwcGwxJFv/Y
s765Ncco/AN4+DBeGGrkyEx1kxkKkNrUXy7agHezI91iPMpqIidE1WU2cVQOMr+FAZV2+2Zyh+ay
X/U1j0ZRWcUXrD3ijt5Wen0E3Gnrxx5uyRrkNfXrztKWymWIAcASLsKuvaeCL+Y99oD5fC0XQQuz
6pyvkZoVtgjYOi+fh2ROn/t5NfoLh02g2M12EX/Wkr7Rg0Qbp0dRgwLvZ90nM76prCFAPV8SosTx
Z0cYmhXNl0QWsUuDZfnzMWn5QyHnxhJfJHwuPwbR5eR2QG5eDjAxjUcUR+BKArDeDwYf7C1ARaPd
MUJNyl3h5euXpXOb98ihjQ+Ll+guXZLMItmlWc30gBoxSDuEtgGzk/Smpt++82A0wly2ZSWC2InT
L4rAECMcRa/GALPQ5aky12WikB11fWcMZvd9KYX+NA3FfKnhZ13Cg2mci0HiaU9n5kSaxXdBiGVx
YeV5B0lArdfMf8YyapLRvmr4eqZgNQfmNu0SE8BrZ1NxXbqEYE62YvKQWG1bBWNqtor5XAUJowX4
+VatxvyhbVoXyNQtx3rXlfDZd2vKyPd9zo74Qdd6CRhdtTDkBuGmCwMNC9ZBaTiwPFKe7oesQ06y
K5qxf4Jo5L2Pi8oo9kkdu+77hlDvTx2BlTB07Fn88JuxWABghKSPXkRVh2Kai6hP/HnzdihcvJiT
Alhtmkm5vZbKmLDrKLvqYtSn9DjBXm5uBNqljD5acHz7fQ1+gbMcgxp8J8F7JlNPr9GsizJshzhP
wJsl+bwc/DUTzy527aATbv+lSzibonmpIHDk9OucxoVPsu2wxssRKCuxd9KTVXoFfUqrSC7MqjLK
4nV4XOEHyIjecflWOUb6PdeIvwooMOWllbS2sV+6LvvSqwl+spem+Z1q7YyZpek1EBWXVTFeUWZ/
Rb9Ez4rlvn+z6RmS0KicVIVQexjAMFVlzKvGmnCDtiJXNSBQVHJYjaWtBV28qoc0pR0O9KLBHt+l
0ul39rzMdyq3xpZHMgs9SNmB1iDp3ZIdz/BhWCWjZDv3fRzUDwYw5icm+lAexgID6pBlCVidr1l7
lcyUWNGIVmdkc9tCB8WadZ+LzrI/6P4clwHbPuvGlIsyr7W277NAZwT0lCTSKenxJBzuRvaMktmM
vHRPWGq6H/RWG0KXqZWxLw1f3guZrBvZT5g3TdI7d1jr4PhaNWzigbYW3hKl2bLcZXBxH6ys66qr
3neaNIrtMU/CDraBimIRJx5DHoqMvdczDt9wA6D8UQxJC35piG5vmFVe7YfW9gF+aAABXtU8hsNi
DF9qzl47LA18cD6hqajXXadDdgNrS90k0lM/wwfdteQV05OleTLy1cui1da8r24jPSvsyEgYIz5u
zBPyCjtgguSkb190eqNuxpkEqxArJJB1r6rqS7PRgK1Tg05uT4FgfuzE2D+zhzLVKjJ9Q4hAs3Xa
z9nwwj4n7Pkxz/v1mMOhKMFdNWay8IGKxz7txQdjxpr4yuC8u18rw6EeeJuV+RuRDHo4vkoerkc6
Nd2p6VFdqmWgqAJ7bfN+X82puBjzs1c5VcPi94vdEZbf+NP5eB6dUN9pUjqnWmsvbFtwZ7fk7YvG
gOxUQOaYFysJM+zHz9zab4S87aK/+J9IMEERt5//hW8/JAYnUYwttU2K8BWWyc1DQ5LAoWJ2//cv
RSoy7FzcozhVThVaOPAY5VK0btgaEAosL1OHxCmGQ2p09RmvklMa7WadvKWw/8p+wI/uhJKXTm3N
Zzd6YZzDqy9iQhEKt8oOfAsFjM36299eHxtBmMhp7M1gAp68uWJp1xjqiA9vYDEvynWcLzz20TPP
77WbgsGMhtXECPW39YGcvXKLOfdDKHvkyU4wvq3YKHblKBj35r04Q598ZWkYxLSb1PGoI5jQv1wa
JoxwKRH5h77TfctsvdglE5zybGjO+YK88n2RW6ZjVsW+zmI8YYUiievaTsv8EACkf4AI4N6UVL1n
nt8v+40XtEhWhY8ujwXhYKxwqsttRS9oDnlNmgK3j+tB3JhTDAJtkjxHqAB7ZueNodELN+xinU6u
g/NSFal1gE9jbwPGITLhyzz8/eXjC3jfNscoqpoTPjvdnotUgwcte+jzYeZDW4GxZRGy8/aFfqeq
ovDa1im+iTaJz9bJlcw8Rc5NyGkII0ffKSMDIdRShA0cOXuse03erinSwIJIHAqtMXY97Kdgndpz
bp+/Ly4L70gGX5Bz2Vj9ky9USw3JfIWeX0uL+RtDFiagCz4KT0jxsnOh07/vrFxskyham1M9t/9y
Jee5NGJmISBkruHdtG79tW0djcEVeyrqC3tXJON0Rujz6jU3Iw++1o3wfHJNZ/Z6jeqfr0eMYt8S
3BV2g+3uK79td1riLKFuVMb+7Re8/aMvVzg3SnwxqwkqMvKclzcK5WS2u4LBkwL5QOkOER4m4LLf
wjsDZRddZBodfNN6OBf+++r73HJFNvWtiz7o5ZVru8OMs5p9Vq8cHmc5zx8XqwR3neapevf2Xf6+
XSDwxSl5Oyw5vE79ZTJL5u3Y+f42q/EO+rR0B2Nl0vD2VV67I0H7i/CI3cI49Sagh4/BXF2221n0
6IkbJltDXV0tsOfPHFevrRVhogtDaupu06KXD28tfNm5uDWFPpyu21kt8a0NQ+izgVuDHq21HU8B
FUMuordv8bUHiVkeRrREKyKy3R7BXw5/LdcBSwfa4HUyqy+lSdzVrvSVNe3evs6pkNZg20F26SL3
FAwarZOTRGoGmQmL4yM0QEiIayxfXK6MHeOLAlZrTsk4DeJHD1XydrK89Mxt/n5wwqxBCYBVjI2L
6mkO/DCazG+ZPocx5tqhjcl7kJP5t1NTjhGirs7Z9b22cjB43JxbLUD+UzfOFIuOfEHkGnqDPu5J
iLmPyRDa1ZnjndnQz13p5MHiN7pmS8eDTZwGxWplEBSRF/GuIgj04u13+OqltrBWE1MLrMlOPnCw
rzjpY9sPbS2zv2FjQRKFlbUf2yw9F1j+2vtCTvHflzo5pShHnIGplB+OqY+/tVkk5DUCFhH4LaBt
EjL59q2d7pomnMFN4o3GezOFFifXoxPC+G0ohmjSJuOANmmGu7X4+2LLHLCsedy7CXiPtZTyzE52
+lB/XRkjIRSH23F8qmzMzQHFo2kOkScL72fVNP5FwXwYQ32jOfMNvnYp7BV19masCYV9ssc4GPaX
i9IHJLWj9xPivR0imvigxl4711Ocvr/trhCTbW7CuApz6r7cVspy6M0sgeuqWfMN4xnjY19NfcAk
w3lfeuU5zdzp7snlNukuPjIwG3HHPLkzQw1JlXv+GM1aBpPS8Q7il7QCpQUT1qbh92DUd+bNnW5p
20XZTqjY7K0r9E9K1kyMnXIb+JseE9FrUxPFccSo5LFHSbyn2hARiFBzmQ6d9zVd5unhby9Zyhne
Ir2UxT2ffPhjwsStXyoVVUuvDqrYN817q0qGuyr1RMRctoFT0py76VfWELp9PpEthNVFU/XyxY4D
pT8XUVHR5wx1HFNbQ2pX52fSZ7AN3r7F117rptW3vc0tl8X08mLdAHWE2kxFAmfG0K+c6bbpU3kX
G0u6Vx1sNK1t9DOv1Xhl7Ro8V5cFpRMKcmpuXmZuoidFq+Cr9+atCcbLiMZz1LdSNf6xG6fpg5uu
xWWupHlPP1h+AkG2og49b0duDnO12K8yYCxEHVHcxFZgkDJ+rnp+9beEwrb5DEJCPV3yMx098dI5
1GUd+V6nvDVglYhjX2ry2Dui/P72u/hV7Py1sNyWu4siBr06TAf9t/JOQmnsl3mIUkRkSBdn91H5
w/gwNYN1m5nAxGYSZx98Cf5bdnN9RdxqtkP2FF8VWSmPo9tM/v7ML7Ut8t9+KRpTG09J/GVO3WV6
QFIzxYE9KlqnugK2q/Yu2ehHN8mKXSuXNWykEjdSX9tIlA38b1561A1YtpPI2pypF19br6TWeJTe
uEvYp949MP+TuDEZUa9TWl1BOFf7VnnjO/qrb0WbuMyo5u7Mcn3tmnhEUA5jMssBdnJyYdapr9qU
qAhJUQ5jxhy3UZZy7/PFG4uA4R9wRBXb7pnD5NXrEjmweVxCazhNVDOYoq8pMB3B5pbD/EHVm/Hs
QFIp05gUna2m41xWdPaZV/7qdbFF3DY+lN+nb7xR6ZwNolaRbpbW0c0Lx4GKrPKrGJn4bmwWg6EK
KrQzW9H2GE8XGl8bpxqG2lg/nng2TFCCB9NCIoLV5viYZbPcmYMjHt9ez68cKWQEoTPnm8Zp8tR4
AP5pKZS/ysjpmzzysSm6QE8ACUMmP9E5j6E0ZzOkWrCwah2sM/XdK4/W5EWS82kb0P1OSxFKh6Uv
jJSlVObOVe5At/eIdzpQtMpI1Sb0v06ec9h5ZR/josAxFAqb7P1k/XK4YVTrc4wNAzNodyk4sBdA
+cKNs9AV0/j3v1G8kczt3CaYWT89Nj25GTY7norsctGupCP7+xQ2cLPXEVVmoV6qZL/47nL39pt9
7dkC71Dl8WBN0ppfHmUKqYWAga8ibVjVYWmM6qhEq0fIcr07E447ysJ+uf9fXNQG7diSjLZy+uVF
20pmeik4rJ0iba5mG9y894T2PWnb+aDX5i35u0tx5kt5pUKgMmAJmzxHEwf/lxdd4tx1SjtWURNX
EpDcGh7U4iHCtfwe7erbd/hK3U4yBmJnVu2WJ3RajijTHIdxogZbECNb6M4uxbRaDxpz0EAh9w4t
PL73qlj7p7ev/BuUyHnIIJWM2c1pa0vGfXmfer1y6i8+fCTAA+YbS3fbMcT8iWhj2aetRYCq1fbi
u9fGLWJ3eM2QQTRTvyzJBn9kmjNdteZUpztYUWgM3v7tXvuqOKn5sEA56StOXoIYJ11j5+Zc9CC7
eaqB+Q8n4obJuh7Eyfh3rQB/PQzAbyBcyjTCNl4+jCX1DLfr6GJSCJaBUNgdmCCZh8xU5t8/ADZn
YcimhLbpBNC8vBSzJkumCMmiGF76gSr4Y81XfmCDoZ3xe/HON6si+vuPk8hcjPKw4CfF5+RDQgvX
OBC/h4gwcOADox7eTVm9RH4MMcUmNu7929d7bbfAlM/zLeo7j0Cpl/fo1frajEs9RqMd68c5HQxE
91I9Ips0kOUbMe/QmM5UeK+tGZxQyYHBInNzWXx50TFLMVdEhhCBiluh43cQ08pM28Er1DYLA+vM
i3xlo7BgFdsWr5MskdPrtR4bMFPrKRJLUty0Ius/9aa9HEDYis9vP89Xbg1UHes47g8A2Nl+/heU
S6ygn+uaT0wxYW+6XuciP3YQLmoDhHGc5tczVdkrF7RRZ3OGMyrcvABfXrBubEQr6Cuiokvife1M
z5WdmUdC12A1Q+w+sz5feZTYb+IMzIAYD4rTRok5/MDYWJ8iyZ4VQQwsDtAibBjpzjnX8V8ucCeV
0FYGkaWGLRj48sm+56Qwz5xsniOVp8tRWLgddJk23BNabOycSUkaUr2+ywapX8oWSY6Q/vpOn4bk
S4aF9jfU4DbOCFZ/HLc8F9cS8UMS98OtRxt4yXrIjzW6l2OSFOqcndkvW7nffvmtbQWGFL8nZa2G
RRgn9LlI9LKBYRSj3RLmLK4Iu6s/NRBBKGKXOXnyOY4vmi7DpwSmkfasrCZDR4KRgNy9vTZfOcKY
DzBmMyh1XAZgL5eKrjUYqfYsFcNRGlylytvcmkZcXCCEYW1RHFfNl4gyG+vMB//alUHrgbaZTuBs
dLrLiIHU+DSZo1x3f5BXYVOvr+oWJbqIDGWWnxw5ZsEk/eFMofnKcmUowgiKjo3lapovbzlBMFar
1pgj3NRT2GlOEZA2aEWiIzfv7af7yk6KT/d2HdBx/FBO7tFSZWJxGs54PcQbt9+eqgNEnzlohxlu
5LL2R7czxzM3+Mrnv+00JFhQF+jmKaq+GGLoiwZBfLvgiKJDqIXqjc3HcZ3mmh0AS5A2fPtGf3um
rGbqS7FNKwD4ThsUmAONMXvDwteXyVtppPXBbOzpABPz3AzxtUuxYHG2oIjxfgu1a/NydHIX/4yN
s3mJXC8LitGDpgTGfaaOee1SOFNZvEHPERQWL1dKbbRL7jnaEiEhBrOvensIBZyXFJbTVJ5ZK9sp
/mJzwHQQqBKfdSBXeLsnX6KHtAYiLXYLGWzrWwjcuYNsrsG45e1X9dt3x3Vos7acER1P99NISgQN
E6IXE1uHhQRfjJqTy0y0hCEhGEM9Q3ZwOgzOpT/Dc377yr99DZutokOhzAZOI/LLGvMv56BT+DgZ
bIg6wtfuqAbZRhJ95k4N2rIHG18+6UY57d++6CvvUIDfWZsbLX3BabRWisUeclcDChNkOOw3zOx9
vQDquQqq7f/mUhZRBtvNUTm9XC4OyjkDDuTGllLE3wrJPB/7Ogj2vvtfA7v/+D7/n+S5ufuvdSH/
9Z/89/emXXAIS9XJf/7rXftcP6j++VndfG3/c/ur//1HX/7Ff91k3/tGNj/V6Z968Zf49/99/d1X
9fXFfyCoQGV0Pzz3y/tniQ7o1wX4Tbc/+T/94T+ef/0reLU///nH92ao1favJVlT//HvH138+PMP
7Of/8tS3f//fP7z9WvH3HqZMrc99+bX+8dvfev4q1Z9/GPo/t9wvxsDM+diPbLbH6Xn7ifgngSDs
TfBjWIkmJJY//lE3vUr//MN2/+lhnKXTpm6oNpDmH/+QzfDrR+KfdHZ4WVHdsL9tNJT/d/cv3tP/
f2//wIjorslqJf/8gyL65DunZyN3dkOxAe75506aIyuTCXRSVCimvaZPhe0XuBrkaCYNO6ce0Dtd
hj4dI2tHJbBFsaw2Js29q7oyvkjXTo/a1NcD20jkrS9V+4C250tLCXah4sF4V82Nf1Wgb7j2KeFv
ErovsFEY1Td1RsRutjr2zej3EZnb5kWb+A5iiVGOl3O2epCGEtAfDUuEwByNicgBbTgMsQPc3Cu1
R6q3fp5dKq15RNJ6gdJkuUpGS1wZ+fxQ+012M/O3D5bbw+quxwlevEz6J4XNBvJmJfcoue9LQcPp
zzV2mhgKeKFWpckBKWIelQiQd4VNiGHQox4J+jQTh8608ECvsnK+z/GKCLZzNkx8vEeUDR8bN4v2
EveU6VAmtbVHSD1+n0pcEXrLfsa7CIlAgxdCgxw7NAs/v3TKagkmrQQMsfrxBnBrvDRKEolxjTTc
i2k03QoNN37d2AETXjOXMn3S60X7xrRB7YzWLwLUP5wERrZczhI1buAas/Z57Q3IvEPuHpWy0CQ1
Tud/TgxVXOKW1z7IwSLY0h5LjDCL8ueMIdOxqMf9HIOgy3RYjiMayou0QVy4q2vroHq9PnpQlR+n
HrOsAWHtTWKt7pVMRScC/OjHY4OGEslhVoorBK1GOLT9elEikL61Mh1vSqdqDn6j5zjo5pus2Kpq
rAsJS8W3c7PkWTAiHoT4yYbsXI39AIE5btb7dbTFvVlDqXfaCrUNNO6D12n9wfelvBrXDFWSVTiX
KALwg8bu5uhOqK8TXuqjWWoTVguwjxkemIcOu4YQ/UW+E1R2u87SjA94P5TmzsbqyWRUEThijYN2
dpH/oXpHRsAQvmoPUhXuN9it/CnOXx5dqe/cGWcks+r2E2cllLpYIvfq3Essg+wbcixESF+UBqWb
VTs3LvFXxjfgovLW6iKtOnVsfYyenMk/VOOofwRc8T7YTqz2k28YWujrWHyVTulFanBGiNW5/dSU
Qwp7n4TlQCRmfRX7dZoHukQJSTeOqMKWufGUlul6WPJx/A4VfAnjxDI7LOVMcyfb2bjwpMCrSK+z
9ADhOeZ/hIqm2sX6Ge/uEh8MHKj9BccwC358NDQD/3fhXY7B4pgG5PwJlFuU/5e5M1uy1Ni27A9d
ToHTvwK7i77vXtwiMiPpwQGn/foa2+65ZlKq6qj0VrK0NJlSGbsB3JevNeeYyweGdzPGPbh8NSJz
nzB8fJSG1SOcrewbxLOXFVZ0PIiWdbAN17rF1SJ3A2fdw4yDbNcqSE5NzVekgaledx0BFA1i2aO3
hBkcIoguSzS4WeZHaq3Gl24OtzKSzFoR+I5vBk3EZzH1ZyKbM+8HAoXNZWmPDQkJiTB6E7t++dYG
g7mbHV++8qiOV0URVPd1trz4MvSPo2vYO0+c70ZUZvbt4hQPVY58fNVLvjfysryTI65Zp9QBQK15
GW9Q9jsAX9uCiULTduWLJ5blCGVjvNX25H93S2ZdrgGSIrS3g40vWOcxIvMZXNVi6qvaMRdjN6eG
uBajrpH/p/PQJfhtmxuSPgtMNrWLXafsDy34oUiO25cx9+t1RnrAT4wHlJgO+LaDUkMWL4637IfA
wFGPFevbkrBoQn7ewShXfdFU9XwpSu0gzl/3qiqfS8NxocPPRY/N3hjr+SIY8ym8zduV4A+jG8vX
jkf9pqV4KeLCaLb71miug7R3EjtIxYmtLJORgEKAIh/B+67yneZpaT1HnUwzbQ6ZLAeVFGLZsd9k
UV4bF8JP5wR/uY5IU1+jqiN9AFCAqHZBbryg1/Yut7IunpgiIAibg6t0Bo+Hd1AkNDX53tusOCye
TJggpjDGjTA92U42XqWQlM6hj84BFwOgpHL6YXeaHWss6pM9IlqwLKhpCxBcAERuGaMixldXEY2M
pZWMdQCPuwmWXEt7eM+M4YdX9u/VAF8qnN78qrpxYOR4aDExg6UFXIfG8/IIeRR2xXRRR12qT7gY
67WxtumVa51vEmIijyZTvt1oaxuV1JJaR7WxUhbbcEOT1H4zpJXu0sqpL/CC4/IFU/RU5v76QbEd
7GBSwnopxwqF3DRAktvad1F1b+G03pRzeIshU0b91P/UfdcToc0YmoVxx2oxc2j1l5uNji/irHw6
AWW+1L7I4tUJ7u3KQkphzF/NbMhXPagsscsmT9Jm29i2wyYm6q9I8iCE0VRmZBzBWMbmZUMqS6VI
byt0fck4QQGrqjyIhrG8GnFpdbHLBtyCep3ro5OH5qOa/PKz5rRQROC2/RhDkzwRNtEdhtxdWO3G
6nUl0fACrsB2CDx4JBjCJcnYfvs2Yt53gPyP4Lx8LC+WUPYX51W1t7wmR0ivbZ982MH9CV9b3IZV
bd73KvOBHfBWbzGYrvhThwsRFOvF7KfypZ0Wt7jM2666W6T8Yc1zddFLNjEP1kDqW7TImUMd5mVr
93QWMR76yj+FZY7VULvZe7fmLpgjZcPDNFJ1aly5NDsItSe/Y3dhXQ74zXUP3JhmUrQu6Uhi8W7L
1YRTlFaWuk+Xzf9sRHU3ARCfIECY6MmzemiuucQYpjTQ3bt5W8cXuzRfh5YnagnoJuUgFAK8Azjk
ARXt2x7gvEVeybOQRntMu8nN4obS04dTZ57hExQRkULbkqDt9d5UjgslVXbPRLCT1x6suJsMMuYD
VtvlZA1ll2RGt8VrHeBBbG3ov+BZjR+8x8qJLJNDdFxPgX+TdtK6TPHn76FawlJ3dCzcXuzAlMir
LfPsQ1bhSIqg0ZVLVIZ1Fo8YUvbhmB2MQTXHdqqvYfNYEVFGDCbAvLSxMUEQgNi3eXBLHKBJGt8N
nqFSkps+Oh+arnAZicBYoqawSsy3HqRJcaZ9NOF600oITRt5OxdLb/VPBdg8thALBNpkBUs8W2Z3
N3WG0scKlVOy8LATW1F4dhfnkD4+MN+U4AsCa44FUM4DpP2UiXlgPJbZwsKF5ZDE9tlTL1tfdO89
w27zCpyD/K7sbrQeM0ASMICUv+1bOisy3nL/o8+nrQJmmDti30D2igesNAfXK4Jnpx1+9bbxq9We
/TiHMkgCbJrYPuwAqpNW9WdoK40TuSo6cNM6vOkdf6QCqYMXqD9GkfCnxgWq7oMVEKTEvts+Os7Q
H3yODPtuKrcHt+BWIX99441PcTHqfm9irguotZg3tbUgN8SFB6S54Leu4b061JJ7bEHAB1I/223L
UnwH9eYnAZEup3FlJ6UlVR4BPqkdV6I7Qs3bnpuF8d1Uf3SOIEZZQiz16ZtRQpRXTUglVm/QAEiv
sOp3n9SMyM/zK8fdHvHz4LgnO+Gz0O5NUer+biCV/kSdct873b7y1A0OmG/RhnQEmofODL9J5HnI
F+eHXYqDAZPtOLebuALh/TQH86mq/DvJkRrblnUCRz3QPoO3MnQwUZzMO/UpjmFcj/RofVHGvUtN
P5tJ5WTAJartaynkeTY/w/z2Q10Als+84WFdOgsxZN7OwBXHtiZV2NcuPJky/+FTwd4L+iNPjCDo
8mTag0sk1vQe6A0QU7Oa49YXVbItdv0oa7uItnABKYgw5QIjfrqb8Xffhu660nUP+4kyN5feJbZm
w2PXS9MzWHS+n0GTrvuwMo0k8/riIR35X87S195ar81ZGcchLPJjoDZOC1nF7loTIXcy0sq487fW
C2KOlNuNU5HVBNUu5cgFfJDQ0fYmY+wV2wSQ3jlnW7SvcvgPkCrIsOW8eBipcpZ8AfYy4LrxUdHQ
haEPFE2gCXa2U7EK1yo7lme7QCULOqMNF9jNWX/Ye+3ustACQluQLte1doiQyN/gDfNFDM1inJq1
ooKovUMvxyWG+k8SGO5g605BY0aLGjxUm26SZnxrQHSwmYyPdb6ZO3/c6qNny34fBHAZUte/aGo9
X2S2DVcDV/l91omryumw4Y8bdNy0e8WsaD90mJ4jeJND0kCTuPY6eBHO3DWxX1T1gYyw9OQKQx5a
M9x2KyX4rZ8H4jqzFrHvas85IHjoYEv43X1Rc3tvMO7OVsyZymK5ntz8HhwKNAU9G6dZbdW1JFQK
Ym0TFjuQsHW51/lUP2x6+TkWrXWcR6BmRDHi1sXHlFFxj0Zz5fLYQacZBjfOEXY8+2LmkU3T8MFa
5/J1BNEldlpOqbMj3X546gPCCDhThc75B9T+VZo7/Fbm6X0uRbPEi9eo3dqHW5JZrAjGZnlxmp3N
FE7zlgI/urFAvKaAtAywuU0eDEAEDBINAlC6dcXVkpV5gQMbktO0cWBFZFIGqrmDcuFzjCzSOyCH
ITbzpn5w3U3vs97c4g4jclyfUzr6ydoS4AncdpBCup8YTttXV7vVHOmFdShKaTE4bQ7Bb3al/bJ0
gXVoC698nLrVTIDmuHu99dUJpm15nRfOEzcDxc+oV/NiM4au3vXqzN9fjO5EynS+oxPbsj8XXN8M
rHXE+cM5f5YsMuSy3NarDh57WN4jp9QheDu74S+HOdD0O5S6HlFTxtjD16dgc5mNjYvxJbd1jUn/
yX9Z2gve6L8WJ0hky9N/tW7dAbkIRJS7Fj7fHBZcBqzlCKHPinPf/LSCYr78L5BVW0GjAwKQHU5H
syPaZ8XdeqMK76bIRxn7XphSLeT3HDuLG2ux/q24+EcNuqe25tfvPbc/9en+r525P/1fh+/23P0a
fv9R/z+27xxmHP/rfxpkf2nfPZf9Z958/6l1d/4b/926c8x/nfUCqGhpi5EFcR4j/HfrToh/4StB
9omy10HxajK0+XfrzhX/4k8sgqO4aOafW3fOvxiBnJX3GLtQ5vLz/ued/T+07n5v0NMx5OyCwpcE
DnKBfo86r1mQ0Uv3c1KUIrxIyYK5oF32d6rT/+OroC/gI6IuQFP85yayn6ugztU2J4bM0ZGZ7NjH
Rdfr1x++9n9/uD/1IX/rQvKNEPSBh49mKA9B8Ntog1OhYnSMzxjuB7zNzGwxJ6TGMez9/MIfm+HZ
aIbtsi2t4u+mKn+JwDq/NlZWrHBmYKLY+G08XUPKBUvXQvJIOb99VR19FFiG8A36yJiaetvpNUcj
BGO5WhI/CNMXbfXWe0PjRybU8IBCjNGuljg1fJHu6t5smxvU0pn7d3Kiv14Nx0SShTiekS1X/jxd
+MPIAt/1VHqYKBILVNXDgHlNRiB8uuUfjkZoLZsofhn9wJTkZX67HMUggnkGAgffqtRUqDZT4Vuh
626+DtrZ60cmhtNWvGXQe1g6//O98JcPiXITVxrxy/wiGP08T/zDhxy1LqzOLoLEH6CYbtnqX3Km
7//hIIbH2UNOwmVHLIWN9LdX6ey1QDbSWQlxG8P75HFwn1xbvbj59vafP8/5J/1xksYrMYNBpSOw
39Jj/O2iuWuoalzHVpJ3FseKxpMcMCe6qgDLjcuqdNv1n3+DSMTRThILRCap+9vkJx9HZxTYvhOX
Y/8x86aZUqA1/qF48LwgmpwsGREGjDWs354bgJFODxrIJgkHnjLUnHJPo5Pz75LbJ2F2L3a7Vnf/
+bv8fWb3+2v+dmPWmPJXZ+M1RdCdS0i5JVbZ/QCG4L3qoLQjug3+P3Qu4qxjiWVCglfEZE3/bRLq
pwu0FGgQvKYhL6Zi03cEEC4XpdFSeLnFzCGSse8s/+Yh/Ot9c9ZkuIj5kPQxPvrts5IrAhSg0yLp
lq56gBSSfVYkE0csvz4gA68u/0anc74R/3SjsgLyD7NYFBCwYdnU/vjgtWWAw69z3cTSgbq1QkXw
4AhUHpRwUBin/3wlMUr8NvpF+Ak1khci8Nq0z4PtP7+e1XZqhao1JYNHb/wwDlvRXCgYedtrgWGT
5jQfUu5TCLfM7zWd8EjIldM1CbfhkciCzvpcYB3DtEjLcupR2NBtuiCsbDX2dKs7n47GCuNkWRRz
f4S8DnFgvSu9XcNwYzqwrFkzjtBhsY/jeB5YTH0+w6+gJdrHNYYSddsPBBBcrhNA54t546TxGmwL
QzCdVvGw2aewykJrZ9dEC0UdrExxZKa86C8nh4AdrcE6t1czsxfviDI/tC4KTxo/LAxAZpIzAXuD
Ie27J9qQm45CN4Oe4SLiJKVVt5BBwC9C0V6nkrt96sPpkBNatkWyVkQl2ZUay+vCDMchogWUCqDc
bnFHwuk8QXkVwXRnlOB/953w1ZtaS8PYU4m6ak8ciBNcOT4Y96jqzUBh8jaz23O8nX0k9WR4kfC8
fRouaUlyBQfqNf3B6ugszk6JVKxZLOXQ8dWqWZTzEPWb7zxrk2AccHrrxleoG3pJrZaCiRethDTe
mMC+rAsTn0PIQYZIqrZSnOIEHJJLoD/BUSwj6FuHMQodL9uR96HSs3kwVyv8oDOoR8WEaGIyZM5z
DwcNgGBgPRLrYVn3TucWw6Fe11octs7RClbj1rbpDiiGno/LFgJSJKJmImoEgN25Vwim7Alo/dJE
QDZtqEdekM67VmvP2NlWUaHjhyVWIkgemu2Ev4mDhmVW/LvsPadIRkjA9LiLxnotiKYpAR+X7uUw
cN1xjG+GGq5kkYdP9MtahIqFHG1gbFP3EkgoUlHGeDqMF9KSyhtXFcQU0nCRJ+mwAUZMP6oqabXy
HvteAjqUNlT9S9Z1io1a0YNLmn4QjFb6xv3sm4GCqQuCGjCjslXw1mntfMsGTkpco6uw9qZR1Xks
arNDVlUs3cukbeOJ3vpS7m3baODS0xKDn1hOoK8gK0OhqVP0Z/H5tvnFnd/mtEvVZET2IOVLOU6d
ihZv7OEheuCgE5L5eCygWuQX7eYy7FgmrQADW5DSDGCGXWLwENk8VjQIDn7TplD6mp4fUhqMsNJB
ANuCsdN92UQPhDd50QI1qYW30j8OSmIpinGCw7ZtGXj2eZbWz9AYyXx0VLAu3F44fqBJSv3DBaVk
xoEPZTQhQ4SHgUDTtcVea3Ne5tqV6zHPAHIAzG8M0HB2oBgKOGIbbxWF1ZwQU64cBFE8N081hpL0
gU2wyPeM4bKRbrbd3awynDKwt7oGUDWbb8bUFbeBRdTlYcwXiGApJMr8RNLWvIDWMUTwjILavODR
Nd/pza0pR1dDPDbAbsKPUsCR2neZ4xpZfJYphx/0BUgZsgdTMiOcrAa1FP2dcmBgpMDqZYducmpy
1M25f7Wcuh/ubH/sh8ucxJ3HyU7d7GS2veCoPWoJH/WcnG12+2DF13yyRWWSaNGMWXGlKqq8fS/W
Qdx1ae4PD7PfCqcjv5yQTaLhOxuWWZOX/c+iLIFDGV1eNEeezaZirjY4wXfq0cDaV9SmBLWNkkSG
cTWWLDbmeTNiwlv96a6Fp3W19jVhqfQlyNPo/bQ+0DI1P/LAcJp4tVDmM14aynsmCaJPLKnKB4po
8yXbHF3vANe6SejXfZEAmu0u4COZ78SaLN8eZM9fDVWAfXD7LrtVS5Cru9qsuy8mWOrDbe35XpQq
HGIn7YJnc9Tui9ljiIx8DG47H3Y26WOGHzwUVWj8VGG7vQ2zDeF15YhY7JR2B/+ilQvWehbPKfFN
CkhQqi6AytROiyNA9rw+2ooGu9H4dtJshdhgmBfztO/XoQXrXmYhc0yAAHyFiwiqSAVSXZWkizz5
ZcqKhYmfySOtQmeXmtnsgVNy65fZnFlWiRTa5EEjKBhAUbsErLhEFHzPYQ5GTIS98ZJ2pbiDaWzY
4HnHCmpWb4tv8oLcZi86qMUXBYaoI/SnMY3GtOVplzqojm2Zy/40MIT7nMuAgACBneZtsCqA/jW+
e52oYl1uRkdt99WQG31MYrDPWMH1gAWr1Da3XW1KFKFWU4kWYF7RfteklXza+L5zMOsDjbeOPvmQ
VK5Dc3TaIPgdKhMJAlDngskUiof+aTY1UTnWaE+f50v7o6JOocCiA0+kjsEnjSwvn/PD6pbj9Uw6
QkBw1+IwTmpsHBbFkN6daVNw3po1e1tdPj9d7GJo6CTPZhaLpe9EkpU9UTwpLeu7zdi6PtEDlozj
BHYTN0DodOzgPko7YsRy44ucxVmRG9qGBIERU+jtytVuPrRgenyz0pEbk85hD3kyiQE2cDxO1XUz
j5a1yxpwjI1Z2PLoD03+ndHaLuLG8Jnq2FCcf3gN8gUCKeA2HQa+0V9FAC8fBNpa0lf0GocryjRn
h1UmlYeFOdAZ77jeymBmhtb5IWOTcF3xgLe1V70K8pPAM5PXMCWunM/kaoZ7W1xoSuYIfJELb8ud
FTxLayZ7yUcfc7f0ys5i8OPW55Ca8M4sMzcX0HclnGyxgbOqqka+tag2BdPvVigQjYv9vM2WQWoG
wifm5npsPw2jgSHj4vaBHN+LaY10vpDx5fXDwqClkum+D/P+gbymLUs4u0CBhgnUzgdCESDYKoUO
NXFdgU60xDW0N4iVGGOekO6CIXq97noLDBgJb2P5lbMoPgRszk1SMyEn4CSYQVP3ZAMAHqb60ju9
BSybFnbnPsoDXMj7wdlMfZoM7deg4UvnvQqmgVkAbDc0BqnAPTrIFeKf3GD/R7xBkyhMEGjHhSkF
nD9S3k6yIW48XmgYkLycb8q8mVMomkmuSq5qqXX24FOXGskswX/Hi+jXKSHyVe3sHgPznnyL6asI
ppKSlXETEXpe4aGL0QhBYpl7hJs4GblUDOSYC0Z9X6Y3BYaB+ahh21bJQB68DUNZWae8UYIaUpWg
/M6TqPcqczwiDOo6m46z5+sHmTqNvgDxSqM1nJ3sRU3nAR9pT6BRDZHZt50aGwdiiJd6R98Gc7sj
vpMCOLeG/HXe5PTZw+APdo2VB37i4OH9JetCAdQHOZvFE8v0r8ltwkevGkPo38oDpjKo/mWyzfJF
4wlSrCaE/UQZILKDDgf3rH3yZc3H9zzEv5AfX2jE401a/FF9LS0jrSafpuehV1tAPa7U0W81H7pX
uevFpRsQB+DPaYiIyAmDZCOVii259Jp7iGvFAP9NZTrqgEK9DuVEXLC7mM1Fa3ibR2q4RbqJMSn/
Bc6Ogv23pnAqK2sL550AKXqe1vfUpi7tDdQjgyDb1mHwl/Gkga9OMHfPI8LpgAwMyDVQmLHyXW+l
4bYJ/S00FRtoOfIWwZXlUU8Zh8hTm8McB+6kwosVEPS0s6TnPTY+HMuDstzmGinS9tZT4QFVWBju
oucJKegEDW/a0RsobCajzatcJcjcGhbRDZezY8xZMJ6G2JyJe08P60e2NT1jk6mqH/VUmI9CrM0z
OxCZGPas5TdpeB0DT8h9d6FkVMagsOwN7jWClAKpSYUMSVh/ATtElFeKJIvEBoikP6asbm4cYkQ4
c3Bhgf9t+TDspsXIKIDTxR2pFTNiZuADNicV5ETlCbcVUAo9clo5YS3ilWA1lyEM06eU6hhiDW+/
bU4kzfDoSArW+40VsueWmAgYDMNcPq7OyCZSLVVKcIIjul1ujeqXxX/OSfxZui/HE9MUeZkNMbqQ
HAnADiP86oYNQqLWoXqE8af2fisdknDGzfB2mFVt4uNTbeZxvnjzO2MkAlrCpnOvDWDyTTINc/vI
tN1gcVY5aVAOw7gevKKT1hfShocRLSxFz5Mqsq+A9K7lePYU3zYMfrNLlsj6fSBFuD3oeQkeK8k2
Bma2HT90D4opMtLZPszDAlvGaVv5QtbLUp6Ip61fQ/OsUdSysDgBQNa8oq1AK7IPdP4MGNE1uCVs
h9haowhHAmJQDkeLga8z8lW3FURbcE9SgDnOr3qYmjYarT690FkAkztTfUs0Cr+nO3sg1osgHLQF
kSk4ue6m0Aw5G4PldY4baB+KGqOrACko3SK34SwbTYjYlshbHGJCLH+pzXhj5HsgKiSDJItyOo+B
1vjZoWeaJJmHWjbKOri0kTsH7juFiyMSiwyz21aCM0LAgi6RlDjCzCNBKXCJKIjhUTHIoony2Rrk
PbIzIjvRms3vE/KUp5LTUsXSWjQ3Y2953Q19wZAVpgdIzfogakoqhEhqN3JGLbhuA7lRWm/jQl+o
7T5ycmsGPhlRe6yTGn/AVMy6j90xqJ9IBXOezNE03CjQgf2YlWkJ+JXZJqSqgKqR4/kQEre+jvkn
KQIeoeJhtSFzCTmfBXXAmj663OpRLkPNjIo4zl/e4mYPnLzGbM/crvzo3Hz6Zvq0NHtYpuxNfQWH
/LAMOfjs6cwdj6iTUUHM2iQzp2CadUvWLNEZhAmsYdQ6I2RbyakVvq1YRb0/f9JvomOmLM4KRAGW
27bZBSQoc3eOprXjigNGGZO+UXznxkyvsW6ogSPI6Bvg1tQpvdiHRN1HYl6rK1s7KHDGyr6CK0/o
e22qMwcbv+mnsGrjauoX/T6lZn6WZ7GekIZR6AcG265zzi7Liv0krMJMStet+CLXtG32nlbyi/qA
vDWqfcJMpOHxPgog8fjjex4I6Mp+cOP7pf9ouI3xPPpV9wnjdWNrt/P0aazPx5lCtiNZGr30Hheq
qAwIRo6opW6q0D6EU8jPoTqgbbFyKvkpBid7AwutnqUvchr6VS71MS1FQKj2sFnqfIAaiC8NvE2f
OKVSX/aCQB3qJsqOg5p1/QTts6zjonbdIwwVp0O3EhL6a+pUXwI4GInAAO7AVIIgbrGa+XxkSd1g
tqOeM+IU5dLD7JWdtct1NTnR2rjdQ1nOxJ9Ujk2KaOeCaonSbUu3xB+dtojWLqUCNYiouG+gwIYx
pzaSqqVmId4ZQZuT82lMbnoY3UHdEhog3kN9HrYLZVA9sjATuBWMI/0lRRPlaqzX1jjA3R0RIDiZ
RYSq04DKJYnX6Y8ElufBJ1FlrgByi1ctWubWeZ36tlVIE2bkP8hoMnQ9tlvcLmPgdju6WFu160K9
ZElX1+EpX3XoJT2RqiMa6mV60UTkqcjRk/U5UqDinAc+kUWj4t68aAhRSI8T3NkBVbdR7seFGy8m
CiT0kETXWl3W84ohjjnIwineBoK8qNSNXYgA9sntyVDfNbaRfXZbycs0JaveZT+ErXEkuokgizb0
uLGcaeQV5lUB8M+azHOPttz4ahEFNnVk96HO9xwJh+sciW59mkOUvkjaajY5XWgVRpqgM+Q7XTdv
+z7XCFKc1A1EUocop1Mu37QvnA6llTdwr+xwJAXqzaRbVezrJoNGuRgLOTMLIe1efHYmA7mF6H2w
isHzIq87RyX2SoogEdC1n3mCN3dvI6G/z1oyK449ZygPdazsw6h3lUlcBJTj79Jq7TdOG+vKUqG3
H4723Atc4YvFvpd6b66z+q99IfofMJ1R809OFhJYuczuN+1jhBfaSXPE7pQr696fxfhz9heg+FTq
3XvYeBb6QgXyCWRR8My21fpou7lPD9M0tfcMOUz/GjS6etaERaIEY5x9V6HxeaOxIQkPMDJNJd0N
w5gM1pB1iOnOG78BALCFtUzuQuSqHN5wwPHix0Z8EvixjDnmoIh2i+XSrm4iCO1R+ylInS+7MOXj
ECA8iWtfmu71FgxttS/g3nz49kqSuaVJ4mZdmOz5WJK+lN8NOc1C0pKyvk1sf/DFMdcIwSKPZRbM
ma0aN9lkUzDg4vm9E5vgiRhLT/2CkzpOR9tDcxUtqU0k/NRmeRYX5jbVz0ZZtM9rxzAH54IGk91r
B6Eb3NUm0S6nUMAu2geyPuNnQHRUqKt2ITwqcuYpZFWYGDHQ+FPkqnguTjsabcK/Gp2KjFWBwEom
qYE4/SwYz+97j9Z55IwpsmttyfIzq6QY9xMP4Yoy2YWAsSgveDXrcEljQ5z3dJyvEy/ckjkS5UPt
3a5bEDjHyqH1wU2Upa+hQXcnHtcW7QlNPXpuA7GHPxk29FZSsRqcOc3K6ZOmrYr3HKQ5FeZQEPeF
LAE9ZysgMB9Zmqe3AI1HirzMbSjATXpPIF1caUUVPEUZubJTr23Xtt/Ytq3Hogm03HljNnMxz7EQ
oxi6Z1bMCaqQ72qO8hVS2IIFmrzoofwSq91SCBCIkB7WmnPPziFE5U2SIl/EI8FhQwxcebx2u8BE
J1mGnbeby3PvxGjdnJ/H1HLlfTlSnlx6wLS76tZIjznMXfSwhp2+2XbT3YWVgSKGnoAkZ7chMRDV
T3EXLoVw6Ns14pgSphfuHWuqb9BU18O+MCwZRgRoBM9+Ma88xYPdBfFA+wr9v65EsG89OWQ7evcb
FY0/rsGeY5W8ysxmBCSapnq4KGrVvkn6rCQMSZH9MsNUAB0VBsL3JazUk8PQlYtG6vaH1K5s4o0v
od0ren8kO8wV7ly7DRHjbEXwYw7tCVhIkNavJhIVmajJKp/zqe3rnSUaBkYDNlo/1rnhP09L2bHr
sz4s+8q2yh9Mm+kiFbgfjLjvK3e7aksyh7ljRPPRrCvZCG5u2t3XpJxN7nTn02lmpQzTu5a4jurU
zsb8bbuj/mmRYFhG7DT9eJFrxjLRYMxGuEera906tj8Rv2TNKPKJTCqXpOtCl5MObYvrnnWC8ClA
V0ffQTp95bA/48FDsYwb0BInex4nzeLROz8qOw06INuSxq3hBc1rYeaEjkryPm4LT7kPcN/FD5Ne
GA2lxTe+sqHlqOS46LoOMNo0PQ7LV7+GjLlowiwgvSEcjZOXO9jiyFS7Uhei84LLdB07MhaVOscb
0rv9DglqYH0aCVk04PLLWI822ufcsIovdA3twvPUNrT3x5aJDqZpFxQH2YQ+9CGbZXalRCSXUOsq
iDi4BZSACKz0EXCQf2F4VfezcM0sZx1leMCqOefolwKu0p4MGbeJG3rmHSWvtPLLlQaaSKbNz98R
nnOzcGSbW9JNB55izCj61sFZ+bF4TshZzw55fClFUYLRxj87BJjWGnR81v4pU8L5Fs2WQ3pXw0Iq
nG1NYOjtuWcjaLFPdfg6HuxspLqQzkZ0lAEWnp5Hym0R2ywc6OiZZ64kxXpbcWLM5t7Otp5whc3k
EJIBRmsRlE9AiwAF3yZ21A7KjaDJ2wFvJZvT2By38Gmu61TGQtK5jzxqRu9SeX1OeFNI4MxJD4F7
AzPAvLPO9zYlFhtu0mll0ZMl3YYXYio8MxtS7tW8kLkStY27Gbe2UQuki7Ynm2guV57oqm+FubOM
gKfW7knVPWQZc0oky1KyPOG7n3dqqOiNhy1NmagN2p6E0YKmxhW2ebqFWrA9Xpc0Ro2kpf22JbU3
Ne81Jl0jxphl5TiP7P6eesRoycJyqL58UqmeQYK5GTp/F1Y/bwnjjcWT0h4GXALV3SwI89oFiDnd
2KcbbEarVHRAZEVvZy82a3DoYKnUi4u0L2QccIHT6PygkIBgoD7CQ7ONTD1mel4xfyv8FYYrHEDt
Y26L+rb3T7i8OKpPHE6vLQJcRCIRGbF6qbUf4lpMdnUgsYJtYArP+Tql8saTzoRxS/OkpqVGqE8a
98T7tnHY5dm3s/X1cI6yIzM16DlY/2/mzmTJcSRN0q8yL4ASGHZcSXCn70uExwXisWE1A2BYDMDT
z8eqFunM7JGqru7LXLIqJTOD7iRoi/6fqu57mv3oiSWDV2wFToBmM2i9vPK9ldZOeMC4x3FlVdi3
oZ0+FLXr3duN23yfmAasRMTYdKB6ZdVys0tnmhzqlaPQlp7FoEn8vuamVHcMpfZx2loLa9ySPvt1
GmMKo87vtoqXjbsJM5erq831FgeGO4d77snIOFPkeNaZY3AoDmoq7PzVRtEefhREPkf71l3oe7Qk
JDgCD69aPTStCvSBwz4qfYPsKS+G8AyobceDUIfrbzwcSlzL9i73iMtC3ugX9szBYSKAY4em7MCm
abbs6vKIw2p8IHQPyFaIftbPecWBdwP2iLCWZeH0FSYAGXllDobV0KkjQeFiWRWUbLNLe3tKLsJo
t2KD23Pcn8U2sGuJWUJZwzPYUvGtb4oCXbZGr910XW9YzQtOq4Rryhc5UEIF87Jkd17mkb3McTa3
9j1jgXwvhQoqTEAqHjcQ0NzdKYei73LmCocrsIzrlMXIofP5Vr6M6SmXabCf3VV+WGHY20kz0oyM
vj8FH7rF5cHooLAHvKMNwoRdykGfeOX6I6Z0/TJ1PWIELdTl73hpqq9zAVhHS149/oj9sdU/ucVA
Y+2pLfe9j4bVSt6qPFCQu20zAHVijovZIlbaL7IkqGfRbuOy0csZcYyYSx2MTBDTUJGlTc8mFRvh
jOGMuTnjRLpii2j6DdRMHEHXa5RXzDBZ+sosIh+4Uxn9iWmM9cPC85ptnDKFA6ZZB0sTd83I2nZx
uvpUmpbeMbMoDkBKjotoZ2vopV3JTvmiopLzL7LTeCKiUNFfYJf1+5qPvUqA0pqeHpE8dIlRE12x
7dgg1pelEO588PKIr33Z2dWaWBEN6Ij2QZufG80wMsHAmuWIt0FeJ9riX9pX9ehap9b48WPEYU/u
QixwAa1FeZn64MbEc1LXmXHE+oxjwureW3rayPQIcuBxyAKUU87pTsv1PY3kQ9GVI/xyyHfjplPX
FEPHOkVyndZbcqnulUstIdU/1I66AduKrxpr3YvCkNeOpBGYszHjDGYhq3iftmxmDIo8DMQEQ3Jp
mCn8yolaj5vGYUi4jif+ohgoR3QCarXxEUV44xYBXX/r4b0t07gOzrxdLZYiese40TRMzYm8Zlqw
adug/zmwTb1YAMncCS13Ibg+n1s6PBbPP5EYPYQ7a+hGBEaVzjKhzLLVKLk2/gW3F+RRVRVKPi7K
mSGqr3RkLpY/sb6ZmObfgxiLMj4Lptx3K+0mtMCH9JWojpLNbVDJLj44pSTfwuvGDCA4J1yWe2SJ
/j6S/nogbDrgD/eqZn1rQbTLY94Ebp6Moos1qjPP5Xzqqjr4gXE2/iG6wawb3I6OiVHerCa44+6A
zwurJcJT3NqhfPMR+fPHrJrr9jflafpQ9aaU96ZmBnCaEEzBwmeGArvBC/MHJKZ+2KGjWBkCInpd
Rjd4Par3hesrwS/z2oen2soK+ynlKOvTVT5RwMluTrNWoeEHaPOkuoYDj89o9+bzcq6CQJEO38uY
2weXkWL+MOvCi3e5F3btV4dNUT26VtxZWMRgP7ZIF6iAbhF0/wDD/i3A+b9HL//TnIL/LxFmOKx/
gjBTuPrr5/+5FCr72cg/k8z8h/8RQvA3YOQbwgaWfIOGbwzsP0hmK/obpz8Hxpm1NQ6c6BYK8x8o
c2D/jTkrBPQtcwRAy/tDCkHMPwKGJ2g0IAUs9P8dkvkWqfAH8Mz3AraMkFQ+x3FvKZb2XyDjVaaN
FxVULOzLF3nXbu63x8vTJfkdJ8d/FTci/t5q8Z+U2+3FSDMBZOYn563gl/szdbZWQ76KUaAeOuHS
kWbLcSjaI0H100a1xEIflqpGUMLL09D3lot3IbuClngixGs7DYv71WTR77RqxO+5V80Z+3p2Wuol
3M8yLF6BiNrdjEShX9Z1nSFduvaRALrgEiyO91WZDl8vQb70IKOLptvGXyAg5qH4FogyRERvcWUR
1aPSJPIUp0zcxQAHXV1pVGD2LPcQGMt7odp8jB+qWDVlUuVrvZ4zl5yrU0z3n9hL6gq/OmNkKSgi
Z9I7CIkV+2oq418txjYGipmfNVw9LW7W8WKL+aDZiRFP+8hxtlr0RrF+dy2Fqx2R/ycr9Kbo2Ylz
mnsZ9s8zi6oMQxyKvazOaMU1b9yYdYmRbGBKmih+o3W76NmZu+yIRLjwEvEsP3KaVB4MpiUy6po+
9Pcqonh0daLbtTW6MWk0lk13krFYuTVrVmPblWwMBwkUtksdzSKkgK+uJWlRzZao/ZC64nQKnL3P
lbHaxjRe/hxW+3ZGbIPFP7RTE+rHHGZoOC2lDeHjqTDmGGst9QtJvMGD47RzsZtVU905C1aRjZ9z
noCbiC0GTIWnmED4RXvWMZvsdllXse+Z8nwXgwyww8YolvuBzbbc+rTpUg1JCtO+rG2jaGfK2wda
stX4ujYIaluGNKrbAbLE/Ylzlf3dFiPNc2nOHdNfuF9sFZYkc9Gljj5yL6OxGFbZ0P1ImOuRCRzz
d6EZ0dFONDxNpmWgNdIi8BoPoYZocSz1gzpC83PKg+5rA/tw5wFDHTs/Cy+jRcEo+McUhomJJ5yH
uR2sYIyt9UrvgnyO56kbE7MUYeLKvLsgQFGYVlAc99LWUu/TzlluSHzDfL03WfXeMPB+1I1bB+AT
pj9G5YTETusyMzi1TumnT2Xzj6Zjz9nGUb8exqax6eYMteS2OccBkjLOqnzLzJbLjLUoZipldQxK
y33vBAV8SR2lzS+d+lx82jIM6OomnczeahN+ZrkPZ+OKtHkqUEkPZHoyKBSAlA/4bJwFHz3lhJuJ
QzvzMI752U7Jmsvm6KblZ2RhDz/okUeTpxu1FoRJmb3x8xm6RxQY33vcPJt6gY/ZUELcwmrS93hn
zZh794ov6/dgEVVGssPE8fMPK/n/wxXxFxIePpa1FYvH37ORsKj+BZClMm+wkXdR1HTS2PYx0Nnx
f/AKN94Xmybhg/HtJ/gDa99jANbonkjHnOrW8GhDMv3vXuEvy23cjsaVLa8gcd3yO4RD/z95Bc5p
IV8pIpD/SrtTddLzqIByjWFi+d6xK/W/eAXntgH9555BNigBy6Qy+oTLg6D4f//nf3ib6PPNcSQg
K5B67s13+djaL2svoy9F5lniYusOh3PIUIgBRqTulFekO6cN6zvhZ9RYRm5fBvtuHuUXbKVeuIW1
WZj4i8mWR9LBtTik6Gvz1ba4IyWirtp/Ffb3Z5ic34CnR5CGhqOD6EAqFv78QXdobV3QhYJuZnG1
qVWNq/PtXN2Yf6/55h+v5BCp5doerUr8nz+/kuUh+tu1JTbO0r6mkS4vWPaeVC7X5J8/Wbc/6E8f
Cr8SiXkxycVYePjg//xCa60C/AC5g0QeJBJg2zXNexGbr//8Zf7rO0ejDhlotFLw2f+XLyFl1020
3EzlNoATSlazrVX0MavgaJnqX7zWn+0Nt/cuvJm5sBuIW0Kn+5cvfBGS1GEXyt2M0XxS5b5DNZnb
FQH+kof7f/57/aX86u8vxi+F24pJD/8rbr/4Hx5qiBnQTe4HTKiYEgfvVAmzP8RWAxbyGd4iAs6R
vBIF+S/cKYC0f17Y/v7SZDD7uGIcDBX+X59G47V4MJV2N53jj68hOWwBGXZxDbAfjdmDMsS9bXGP
hD+J76nP2aDWZ9dMzQ5GpfMSjySmhqHGUjyUDQzIlsmNYsrXACUxWBmtr62R9WFiaCa3DtvhhTSJ
9m2JHZ4WfyyH15Rr9ke69jewHLB300eS26fjd2mRCG5FzKvkCLhcuIFZEi9rwWRKrCHXsmVY3ES3
u2oXmOl73RoV0IfimLegjeZwqzsR7IjdiJ79UZr+ORtC2Nas83CMQEna7gXS0/4+tG3xWNPEhy3X
TTvGrIG1nm0YSY8W07h4dsfsF/tDtmxQwsaYMKO4ZVK8cBdNmMaLF9MHhXNBB3Ru6XhZ99KtRjen
ufX1fmmt/mexZMOjr/LmhPKpjjLM6h0YrUDTKpe8Yd42OfowjQQ2u56hErDjYEKXfBg19iaaGstL
hiAMbdqyRPu9LCxyZ9ZxbSEjl0rOD+3a9Qnzy07eYZWYPtNobC5Mr4lj7zr7KXb76FFop0ka3ENX
nOvM6CaOUtuMVCpEYN9uHhzKX+V+mgZ7fKGpGGaqRLByNkEFMXvXW31mLlnQTxYyftrPKJ7EMI2H
3slHfyOrMFwSt2zMS6tCeIC+iKqPeI3PJevd0W/mdJ9H2n3iUBi/kC7duQdBAm0t8xCtGcydLAhI
sECkV0vH3bCV6Zhd26JS5syH6ez7DihxjtLpzGBtQRHRhLnAIJbq1fCt2VnIGTMzG5aP60j4TAN5
m4f+dchMfViRgd9bZyW5Kx5HcKmgJBOoWQKdP3J4oFOvL2mLBwBE0xiAQe7GYcK1blklI2hXFyen
JZL1eRwWG8sGbOJ4kbyVD3EedSd812weFLmY5bXi2bkxRWWHOp8LWXFWwcgTxa+DV9Q3Gma96EEF
NzbPEFPbNzzLm8Jpoj1h73APnA6JTxrssD5DBZG149PsQeEgyrDtPBh8peWPyXYDsUuJ7raOix/X
5oVUu/Kzb1BxLiTYIB6oVaEVxk0dwJTF/mtQKV3QJK+oX4kLhnhJR47BN0zTJZ3D3tjHaTKxqx88
bmLzlrF77cqN0CERAdoOxqThbPlFVfFN9HR6w+DAHfZYwOKXnCaAPfY2IMnAdoZPhzyHvWeN5mgt
Rj/O9CVwdPba344w3rG0pbMvMGkcS63Hz6gjHdjPCqr85hkMNBFeHWv8ON1ocNKn9F0vkfUGiUQu
njISwKrMxvxnQ93yM4G5pHpYVMJ+0a5rGLTQg/wZ5yXos5/aipn65J97p13hxFh19+S7DF/ReqLP
ZaGPHRES/wPRVcPjNJLC7FtYDhnodPJcBFpYn1SVu8jSkNY7ILS4Sug7m1FSnTmzdgF5RGYLzTBO
h4pCyqu3Ll8a1eafUkt1pe59/cEYnWEGcxSQLi7A3cL4LLfNYbYoPNyCHBRvS6EzdyN7MtR8mVo6
uTWxFjsb3uq3QUNOqtY18TMMmQ4ONnXa/sVmIuI85CG8+U64bbHA+Gg6pylBtpGZrYxSdenPcXe0
Co14yaBlfuJ2abo7fXPTvMvRJy4i6WwCGopkKOgZJIIMe9HIEr1PSxQwiDxnfuXnVomHBfXTLuep
/YDYvVVheiwd4JfUaw1TSV2BW4bU1ucWh7GNluV0UJ0wByc1ojuEt0p1Eico2A1BIc6y00wRMSWs
O+JnCm8z2b31nKOiMcCOVfG2ptJ/U+Ps75ZStee4FTkNDyNiaxcNy3vUusFK80RhE/S0zuNrp7FT
bAs4hsfBKvMD7hPS4UYRwRHEbe7sg2ptXcL+8sh9qwH4tmqmeLjWmQ6PzYAz7kSijtG7CrsUVBlp
0K154d5XrufaLopmD+/veI/h4PWSxMLOdHtCs8fiKbADubPlaJ/JuGrENwLhhEqiwu+8R8P58dqh
zT9x+wLlE51x0iPEYp5kk5PdC08Fz6odHW+7Bu3iYPBKJ1jwgkA5tSPrOcg+A83nes8EdlEbRIM5
2pfjCrEzm25x3oeqablkBWa+wH9lxwaUMLtjMM+glSu4Pi2O1bzIdoLLU2Yo6kvmoz5DfDdgIplx
4t3s4Ks7owbW2dYLY2wUYsgYi4+pBhsBDiPUZEsiOYwHnDW92Ha0VmixK96IEu3ieYr5thxxQjvB
kb1BH33kFnmvEdQPhZ35X2TmgAGVCA5mn6JikjQs5BcozvXrygIQ7jOvUPveiqD8WW2nU1cHgm9J
4AN+V04uDpmtx0cMAFN4JeeEEYuHYUfsK8Y1HSa02H32hlXxzs6EChOk9ZkNhcY+QEfTi1v1NleC
lFy50kl3K3AhU1FOFYdQ3vwQhFNyHGG2TtaJn/usYCEzqUO+ruB09Rq6mIYmITCGBAbztWhS9ew1
XtjuMF3ZLzL3LXXoYz534Bsdh/c+FPMzuVSsPYSPeG9rnj+zTIsSOm0au2OXzmP5taqy2NxLi+gz
/Aj0M7QWHsAi620kIjT7EXSVW9Qe4zACwaBg7rnwMkxhChEFSDKltU2Xcj5PdlVvm5WjFWB8Lb9Z
c13zvYPBB3DrTVVDZxUEBooKtyBBSWr4blkgcNKgJCdMT+2jR55KdWVOSyBTEblWlVC7LFChuywG
00EwXpBrhN8Th5ISm0V6Sy08U74bOlrZxnQdR/eBWEuqv2cQ3G2ExRAnGdgjlKDNH6HpPv+6xjYa
RJQNzWEi4KBiraXT5Zhhx/BPGYMtde6rqkyizgzMhmVfZc+CNnccqQhBGKCIBEykpbI9Ma0rJ6h2
eY2IAplebN/f0pRengFDQWXQZRKTucfO9vP73FurQ2rifM+YotumAkgm49vPCH4kMLQmYukIluLu
6sjXK6kDQXStRG33vzsccjBxhAEauIFDX+OqYK+lG/I2zZfT0yRNV+3SieTQI6ztcJ/Hyv6Q3dxW
LCRjeyuzWy6SkEcoxoFcmC0a7rzsTdB79VfaumnO7hrp9Jv+1g3kDFD2BKF409XGpOjcxZXnQHGP
cf29ZHPlYHBL2lNVUAH+VCa4zJMJHst0lY/zEjYRhqEpAxi3VZs4/RqXbGlB+JESYb/P3XbdwSMY
DhOW/WHNVDZt0Z/7p9l1FPiI7AMgehEhOkRls4tjIxmqUcnr7KPUcmm+ydf51E4cF6lza2d19lYr
/S7pP9wK6Sjrg2vUuDKJIFj/JVR5FKI3FbJhbpIvn0OZVstPJ1Rp913oRuDeC6U1kq5VaPkCZMsS
MnQtLBSYPmctxNsEC7SQCTpfvHPcZmH4NDHqmJ3efR0XyT0Bxm05LwiEJ0sUjdxEXmpFV3aMaYsP
OMNV43Xdb+XBAkeompu5rE5LVV1GxmlqUa63Ix0r75Nl1daJ7JkKNj3PqHEv04eZfprXtt8PHOV7
lCHsNaDokHvuIB9Wf0CfFlWM+5dz5LomLv1aXDeqNXxiJtq5G7P2YPxdqXbcMvz70V64Q3ly/F0X
fv3GVy46hG0VXfq4dfZW1Fu/BU5ennKK8U7GjlNz9tO8sy/r3LqcGheV/Qjw2xy6dW1hct3KnYF2
o9TZNqVQ4nZGtfeCxs2ZLKPSn95bupS4hcUgrdU81DvtWz0D2LXXiQYFuvY1ERw7JgFKbIeucQ6p
ntP1VKzrkjF6yr1iK3ppH6RRHYxMPZnyZAWGZGBddpm6RnXATB9fV/u10Ix1sXsykMfrMzbqipHH
XJrccZcTy2J+4lJFQiUZvjZ0BZjWD3aDUm2rVWJnnHPbOWfd7d4FJserqiHfB9TbHstsIL3LboP+
2JZZbp6xy2AsAMYrH5ey7r53YT/dEWXiA9VWMSx2DF7udBUFaqNVmK/2NExMmtVsRocIK3oMyF8d
5pDQL3Ldrg0Kenge0raUr4OKkCZJDxvDHbaV6itgoq62nEWm53mq3SdrTvtvUU8O346530oAnz1c
Jr/2PmfpZHqbedJWd6sxNjF5xaDz5yC1nYBt0iuALUdruVhTtphd59nzfRUO6th7kza3uwkxfaTs
+puinfQP8KbxwbIwEp9QHavvoAE4Rab0RjXG7X5d4A8h7fL1wxecz+EzNWFebgFxsi59iV9fOASK
se3W2wl9vt7Aq8M9Duw/A5FWTpxYgdZJgBOeLaAP26tbGhOcyvgWjtX7nBlicIGlrvjbOJ72RTUN
+4VyhOdWzNnOtruQPM3Ihd5RdgTunWffStS113Zp6YdQKYl/HYz3U6N7+10LrqxqtasH6DRrV89B
D5JFot+Ho9sQgU50l8gp9H0ORlEn8MU3o09upi9x0Ba/66Zm/OrM8XyIvXy5D6aFe/kQaGRiHESY
r4NieFgazyGnLxD9W+P5y5mZdpGsInLWPV85P9vWBOtvpQl+YCSy7ip0dQCszFZPHEmbj3ESXs/R
q+cmuwIebz03zUaWiazFCzD43DQZBYG9+Z5/CKa5v1ZFVV95okUCpF3u+dG7J9dpxKvx6pdUcUzw
UTc2pVvYZFJ7teiT2e7W3yw0BA/EBsdzGuTmxFy9VZtqVepLr0dCFPnTvHt63StwEA0GxE3W/UFH
a7UzumtOZg3JSFRtb0hr1NxF0tCLP24gz7GZWzQqa+4Z/Lu9xZZRg1nPu9DLWxKrhwbnJ+vBu2UB
AjjcJL8GORaDk9NbQBVgiOpcOG2UQJaAOU9ZUD1ZRTR/WDqTz0EnMmrXs/lSM6i5Gp0CyLsiFPdN
FMjjtLjVs04Z7NtdRHBwWDcPQ1/Ex6CKARcotsHYx31PJsEQmG/jiOUG7KgPjiXhY8g6ovPHPdBX
Fe5aGxemy4ZibczMD7AtOpW+dcEcHVbAqiQAuGPmR0RX0DlE9Bb9eswYEpz0DC8Gcu4OiTJTf5ZU
FrwS7Vc+5UIwXTH+TN5EUUhoA+lbazKhw7+MtQkO+AxnKPFgkorWmKU6Nk6KYoHNYNulYx9smlGY
PWnrbDzh0qQFHqRxqhKZE/ftaRtjvFnikms68SQk8NVifsJnTqpr2ukrPqohiVqGhri/i4NvWNd8
sbTuBlWV/6iPpXyvF+qEDxXrx7IRfp3t3XaJE8MbERFK5kxXJWKAsGnQ/q+srxpCT1v1DesBIGlU
Pqe9cKe7dh395HZ4frsVj73QzSdHjq3hWP1Yo7j9smjLm/bWGtmwbf7M12duJwBlMdMhPoxRzV9X
aT2INQgY+N20Qc4Bc2QfcEWFePXLwV6uKhP+Z1N4gsUYXTTR4Kb+ngwNDZKla2ImlsqOk1h0YbnN
dVphp78hsbi1f0xpQGKzFzx6osy6bd9ykwKCMNN1nPjqhBbgxsR36rFXfvQrWFCmFulgnhmcfP0a
q9T7mvaLeUYE4y4Z46i+RHy7BHJlP0YbBRyJp2x0GMThVIdDxrb1ksZrSew7vaexUGmxb5lGlxtC
MbmE4ggHNqXAufNxPojw6gN51NvI1dlToBeyV1vm75x+efJwjWzm6SXFLtK+W1eGeKU82KK1T33D
aH9fVVzU+qtdt8UultbPYRlT0F3u47/SMbDEzkql2Cph8r0PeHkxOgSsHkRk50dDisRn6ElMoGHj
Jd3YFMtxGQQvbXoX34llT/rJsVrxMJM8QsDyrV40liaxJVZsXEQD3ewQcWD+nefYW5uYLv+uLfrX
ph0/w0hP8PrO8uxh+LiuZPewygIu67N/yJ8qHr/jkg71sNUe5/FDqEn1XgtFho89yJnVFoD8Dk2e
drG44dKEpTg/EZiDIV77XfDO3RDUKFK4N8nmno4ZZRE/Ww6VcMJxJJOp5dHYCJI0kwh1Cugf8hD5
pMKkwjn4e90EfA464Oq4qwYXniqPGjh6TA6ruFNRo+Kj1mT04Z+bQSo5dnZ3uYlYfTmykeFfrot6
i0kwJ96J6cXDnE9xs9Gjy8JBDAlexzLupvDedetmH01DePPKcbcANfDNd2c0RXEgZHM8OXndx4eU
s/4nlvDgkLdT9Wm5XtQmmDTEOV3L2d5zeVjMoejiB76WTwQKBABY4Hg+kRPpKdajB7/aF7XaKM7J
8R7C2L1rK5y4mwxWGrg304QCT95W9z0D8DqW6RfNlSfGfxAZ7Fx8ZO8BIix9Z2vZu89uw6A4nUrv
FEh+/r1tACMTEmU5NrmT0y9JkacG23XtIQy6hIPdpdkS/UTQ/EU78lOaV8Tz93PkPCw+PvP9yhi+
3mXE4b9gNqMVDzwK4r9aiCOgNIdIcIuUDxU2TJuxfcbyupRkGPBVyLMVUg+bRUK9+/KZtSCyW649
87sH5Ndt0qgqL8JV5HLgYBOEUGHQpjAC/m7aRqYHhfdkMN7o9HGodnVGkgQwP9kYmMsl80nSdaf0
lYYFPSRhge9iz3A5XaA87ZQE9JiY0h7DNX2cCoOcVQyOu4lltsTHXKLv3+eUdy6bTPtzx0RhKX4I
xPFpW1myuJYeDtMED+kSHt1lKa0DdAqJC0DN2NY4OQVJnNXjgfDrtXoimSx6bQNpT/gkKnMdw5Gf
I2wzuzrFpgIv1kTmTdlG5niuHykQscgTm5oR6Z+3jJjVvjOfMu+NgyG66z4nZLr158BFiwhqzr0n
xRo4HxWwAB6e1nGeBI5sMmwqJV6t22n3mHmu6I9xQ7DxMCi1w2smHzDf9S+jqHx0884Wv9bCzfez
onACe6Qi9ZksJaz9NuDhteZ9Bw7VAQq0sPecTYo7bxrS9QBmpp/w3I9E+fol1ygySh+G1C4eOdaZ
e/rHsDOGYiaPBhci/1Ywpz/VMtp6a5V+5W6Z1WZ4I1RJEoLdSONdXHyDxOT26btyIzuRKQTfFVgG
oyF+Jmd9HmFQh23BQ/wuV8BEXHe5xdFAZPIdAKBaqKcbaxKQcbXzAGXop5vRysp3zFI9dw3UfFx7
dZqsgddfs4EkriUklId9N2IC1MyfvBjJ1aA+HRiipd9q+HYma+xYvzxZlo81Xr/k1nYwHKYgiqBX
A8xmMurpR26QC6kGXT2zrZvKda6FP8bU0nNzBcMfiVHNCYY1B8I2FphnfJslnvo2mjbZENfHWVVw
L80c5icKAwmi0CRcHXCwdh/SX/y7dLRI5wdqfbFdYv07WqvqTforblvrSVq93pfxzyLcLLGPC4hB
J8rBzAGUHHVlU5cZVML+1QsTd9tphmveKJWW7qUioeYL8cmt3hVjzdXM1jzPzJTjN1TBhymvX1Ph
V3iwgpyMc5P1LZ9iAz0yzCMXjba8yHwZjn0ThCAqlFhcFoUQcrVTL872Xrx0+kzOzNCexlIpRgZ8
1PfkHVIGqWB7sW2n1eRstLNa2cUGUGp2Uq04R9IUgY9PHLsv0/SqfrAVTEqrGAwl8Cx5yg+ZZwj0
C1MraBLdHm1mhs/dbdPNhognL4jbSm8jvt3fGPSJkgxYR2MRjXEYFZqAb274q/Pay1I9TKHiJFih
O/JWcXvbz2ij1QFElH1BYVDC0FuQcHwWYgq/isopLmTl98sDnuyRtIHZ7YD2c3Em1sAUiTQN7v6K
ecT3SnSq2GsNzP2lbZlZbEj3youDbl02W12EzW6yUsOoDtXmqTXTesnjcq6eFOM5frOInLJHMfjR
U1GQyXWuywXDi1Sh9bb2rf1gZ9nabWyJbORXnbRJLFltLnVO4HDQiYP5TrZr+MUlihrTozUERL6r
OrjyLKV7zlH2Pl6GUZ3nQXjfOXHyDvm+aPWRWdcbXjpCBqgCIQ+gl324HhwZRUNSZlnpvHYcxYiu
cYUg7BM4jdcbrXnL4Cgjcc4OooWmeYvlug4m6/2WvUMwC1sqHpZ6+c4HJ+4IKyqrbxW/NlmAhWO9
MBStGa5MAHEId6H7YoaIEEnC2fukwlJeb/1Sm/I2e5pOg4wzCgWzttWHrPfX1xJ3dg1kP89vw0Jf
O6ln7nVBrn5iil5+U0Onj5h7pD6F2FSrY64VBNjsOzuIQTRKmS6h3nl1X74oseAYNy28L8ZaE7+Q
vOUNd/Vgmfp5aNIw2+LqWbkbT+D9exAGjBM1LlaERJXVNqeRMPhtAb3Up8G0OOWlZH3cunHdn/AW
9c33liHO8mYFSuTPfSor7DIxjsUtUQlI+uRkmLdpwtOVpHOh3nozx5yRcQbdEoZcyyKxG9l8v06x
lT8N6S0xrSiq/sPNMnnCiZ8fPeyBJK6U9fpe9K4H7ThXL7nfoivBU6ekEVB2jto2kiu1Kbti1hgS
TWtfBwNdfl+RZWU/5/nCE073uaS0gS37JOUiinPJlJk7ac67T0ieM37CbQ73ojKUEbjY7J8KvMHE
fHWDfCTTsX9xufZ7mwD7SXFOh4BGhUzM49U4jiJ4qsk+Ag5C/WaaU7RG3GAuF5x++ezIqw63Y9YX
0zbTbC5bXDLDfLHWrBi3wsvmHuvOWDy6We3SVYRrsfmCo87c11g2uI1nVf1F2RAIG1v0w+vgB2TB
BKHLGDhoLcT+ojlHa6fzZCXkS25id6z8zbJyh9jKrsKYzUFYXhH06id+dksknicG70e1jPoyKV8/
ioCDieN1QPndkt81VLklLiP3BJv1dA6QTei/8pkcBDcufsENiXeUBGlsDKDyOErC+RnQnMlnaGvn
qVSj89Oz2zhP8sKdsAYAdH4UnAHRPhe4CNJmhvDY8305ab8cr8zcwm+iHaOLG3k+srqmSII8jLQ6
GJIVJBfB4v+Sdp5LbmPJtn6hiwh485cAXbFYVlUyfxCy8N7j6c+HmrmnSZCXCPXtUauNNJ3YLnfu
zJVr0SavhuJzm8ntVg50pJKSYFDf4IvEw7YNDsmoC5SJGt7EVC2TStrJjcojK0ituliDmLXWcA+N
f7iyUNgb89J04DWLv1dNWR6BFfpPWR+BKGRbwVuhk//LnFQABblKgck2L4VcyE8VzWubIEGwWbRE
+YtU1tI9fc/aukCG8XtB9d6l06bSEkQLKSHGcge5W5UN7BKVnm90oJFRUlohNO8o/fSfyRSlGyJn
iH6SIaejX/G9o6HlxrvYTEw2pdw85F1j7QIQ+4MTU4PmvSJ5JPApjKXEpBT+f3GW3HWbV9ZTWDZk
qmIUQwtPVzZeIomPStAAn4RjzXQS3MnnRiS4F9maa/CMZk9ToS8nf1yP2O8+6MA53nmmXPmOG+OP
dwTpoF/9DuqhuHOT11Cqum9KGnjIsuhdRVTvWaXy5AduXu3A8aV30D3pu94izoUgrM/Y0aKQvAzg
GyhnhkX4W5Td8atcaVRGRCpt5Y505fBWjGItHn0qgMyFmuTuvlMa0Lawbim/FY7h1qWTtnSUOoTx
LxWi+MXzTLIOAFmkl44cJpEUWbdVFcltuvEFyp4I2cey7QWK+Zag46Wt9bYxinUVBoDc2iRpnISO
l3TvWp7gO0lj5MKGiAIOmJga4S6NvTH+NAQj3CNC0t3LxHW03UZ4uU3GlXYA99dI23hM0ifNJMgZ
XEmhqTKVYNhiaV3ilmnhNm5FUP1IntP0vrUTBYDAO3MqblFFcLyk9Y5NUAGUVoa0bt/1jDALgsUK
nopC0Pp9I48qWWeTRBpHvOARCZG+Y+AmYQeodHnlU9Id47pd60O+xV8gGdUbUQAddw1/XZNSlmcp
DrSEj29U273qAcoBNyR/qHg76p/ep1wIOFddEz54kk6SGqCeB6KEOD3cGKnAE5ZHPediZMIaWyB6
dvpRoLNt6P3yZ9nCKAE5Y91+02gehbey8JMnGl6t3omob6HTFKbZ2qQqkb7Q+U3xckiTg4sbe+AJ
oz82dV8+Ix9HJ74splQsWrqcLZc+V9esoxZuxRy+mSks3IRZpRprX9aSXQNlkA5Bgyi+UDgj8Vvw
34LQU1Pd/cBl097Vuo42eNGCb4TfDbK3UpsoKmHgAUuD4kUEIYzaZE9KqMrHPhV85QC2Luv3ih6Q
4jJLMXsS6jSiuNNyVKj0B7w1ivLRK1WNs9Gl25D45iC5/vjdLaPutaQ1igo8/JP30EyO1TqnmRRu
R4MAa5NbgDzh+Y/bPZlr+V0n8v4M3ByWB1dTKDuoEMo2mQvDLMfOzZ76vI/WqoaeKyHaoN51UVBa
n2GcLe/pKaXN2WdZlE2pJkVil7UAH5TRhFS9xDh6DGnUdzeECRI0Vl1a6dRMTViqqEL4wytIgrj8
QthD17yQFP4Oet/oTyWKprClI6/1n3jKm5DiEs84ShXriS22qmWsSjUzk/VUxoVFWjd7svTAcF5w
AxHIJTHj/oDydluOtfxmSPRguSS21sy4+BVoHy2LqFXUvezwkiHg5+bueMSOGukIaqYxbjlpQ5f6
UEVN18oo10D7JOik1gkAIhJ992Egq/d0ChQh7Uxe/qbQ2PWuKqLhRIbs/4Lq1Sp3pdrndNU2KEnw
WpTITPHFvY8sWtV/RsMtoKXI0ktxjcdFUL3lMoSawCzNX94wytE+ReJFO4JOLNM1AXwf2VqeSceB
LjTgAmY3fKlTNfwR9KnyvYDHDea9KDW/+SCb4LoqaFGlmu+Zv3zKFxYunvoLKdTOKGwBTDWuC0LQ
feWHyWNYw1GzhieJNKJlDPm4o3PCeiaFCQxE9szgtU1KMX+IXFhnOYYwvdD63+XtY0JT8J0vtf1P
kXv1N2SRPsRfkYzfyRAFZJ+HZv9FRrX6dSgECTrXEhms3RSeGVQLSS1tyGfrqD/KqRTeg0WD/8BN
TAlWN9mqv5S8Jg9h70f06VUTX3iDo4Y2p6WYTJOFPHlqD1lMGvE9C7YXtfAim25qLVqPo0vuO4LC
6l1pevUHTaztQJc2VGy2z9Va38GFg7QWtfP+uY6EJtv+n7of0yYtW1x4ECkZbK1q+8dsKoUePzLQ
L1GTmlsJhs97JMG773JYF+RgRfHrbVjqJarXQPkb3IekE0WJkxrDKSo166S28psBDsvqZQjkY8LB
tYxxgX36CtCWWqRoUghFQ0pVZx1HYh66wlCHVOPRRhOFl8CiqzN7oJabq//pTEMR47rE6hWsqwUr
igXGXoP/0JwNCHxWjp4cGd3R58Umup+izH3+6zmzDBGufENhPOK8pUlTcqFvIkwo+XNufErRsLEW
wNaXKGhTnGi6wZdpdH19tHCdgoXptG7JVqsUpTungGI0iLYiMFkYsRfgwSYLfA7rNkUkNbjNLcOU
tA+5hhNLaWEokBLRTz3AUhiS1usCGuBNJCF/JuZdgHbK7cmTLsD9OlMmyyjqmqDIL1TRMzpgS3C2
6qqKR7sleShKd2m5DWiTDo6et24p9+oL4OvLXT7BnsGwyRrs7uIcuy57FDUtsHGonb3Qqrxr03qj
NOvbI/uAi59PpSWSAddZLvrgqMmdnyV4LzKAJMTQudPZKOluW6d3hBWcD6tgndkEmY5lk3e0C6e1
6zWSaY5kM+krUiU2HJYrd204MC/8VVvLhP7msyTSAKC/DV2db9fcjKFX1/ksyXrsm/faXBAmUOhz
nG0hDDCzsoykMcTzsyOH2jBZapO2nWI9jbt1Wke2ZZtc0Aoah/8dN71rNhVSG3yM859Rg7W0PQc9
Hse084UTJE2zfbYaE9ienh7jQ07go5vy1LNJXR7TWy3BFTfskRSWPIeKJ4SV+mu1kR7cnZAc9FXD
Crz5q9dfS5P+IZtxy/x07k7OVSuGbQazIGGUv6K/TX6GKC3df3vMbCghyajCtbN3N/nuJ1CWFTTu
q4dh9adboQG6sPzS1MVw/iWmhKOiIQUAu46nP/+SirS70ZdwYKlVYxeSCMXS5xBuz3LwoTuAUEnI
YRlvv8vVe0U+hZT0Pgj/K1n+/3TLF26G5hQ6ebhjZN2UYN86/wgpS+gGsCALHhTtMfMnpYP6ZQj1
yu4E6Uku4Jiuk4fbB/KjpWI2cs68SEeiqJkc/NmB1GMLyK4vUVsJEfcrPucdQWSlds+VkN0Pqbxu
Ov2BOu7E1YTeKs1fT72p2JWCql4x7irPO0LN9bLwVVfWg69SNO4QJoO2k/OpKKuJNZ/uL0jmfmS5
ehAJ3bVQRRAlO5p6AyUqrJVp82bJ8SP0fJSWlB+yKi30vlxdEBST0LrgWpbN2YIYUH4NXg/UukhA
6mqo2EJb1hWok5nSLiJzB2js5+2RX0QB0x44MTk7EpDzgvtIMVmy8TUSZXA7dNRom7JDynrB5V/E
ATNjs7WHYg1gfIexFlAVcR71b4NX6O0RXdwrGOFkGRq8I4rMYp4vJTjaIWxS1EBh5YKuDo3gCGw2
T4jbZi6iAYOeb4O2b/w3pEb67AR7hlDXQq24PPbMpyEV/+imRkotqd4gsMnebxu7mDgTZXrFIpVi
GOADxcnbnzguWSvbSgsjFNyzr4p6QI7k7//7RE5sf6YNjzDb/rkFtNTLwKwNY/ajJqUxdsbCEC7m
iyGcmpiGeDIEIRRa8CyYEIFU8RRdhZ1hG41TA5S4PZjLDWCpIoEt0ZOu6oSc55byREH3UjPgdw7E
rcSDxFPad478QlB7eVgxg4SZKE/0RJIxDfhkQFntyW09Wu7KkN5r+A7BoyCIW9AB0Hwxcs2+PajL
c0qwLtGoNrXF0SE3G1SHTmxtFR4pa6yu1KCBuKhdR33yHKHX2Kbjgr2L5TKwJ6ucH0nkr3NXFEAl
lkSSjLYWdES69BD39QualSs19Q63R3ZhiWiIA8SgLCbR0mceCJoS2g1CHVLAynjmdyLp28K6U8D5
7fhIwd62dhGBEBHJkBESxMPoQBvo+aqJZV9CnDclEVCVVV8l7U9Hr1UqUmE31kn7JW279W2LF9tx
sqgabBEL/ght7o8aOL4iT8QiGslQyEFDoP12Ief8ays84aB2UPB79IPOxkUqd5BhrgTI0T/0+Vet
dMl7HW/buLJS2DBZK1jFeQvNvATF4tykFZ+Hj3CP7tpKLe+M+DN6zbfNSJM3OwsReBKoRIhUKy2o
Z7XZy7StlcFEeoG3XCVI9/T6105hFP0+7pUQwjftD5xscDd75HPzNt2hi0L9kwrpGoKifmF3Xpw7
k+eqTj1i8roE6zO31VVFbPWGpCHJqnaAc8C0mImqfFLUNt6TYCLZpzbpQvTO+bqcAjoYp1Zu0Ons
09lUF6AhWwVinZXjOAfHOTqHI3+3mX5sNqvNfr9a8ZfjZrPh71b71bZe7bfb1cuWn/7vHzrtJz9W
L6stv7znry/8Pn7vevp1frKnHzZ/ONNPtr1y7OdnZ8ePww5bzvQTf9r8mH7L9Funf3B+Hd6f3w+/
DrmT80+HAz9+Hab/C995WDitlztOUUUoVjQDJhITEpbz06o2pI4pq4Lwqa1VVP6UxXHjRveu/un2
lrtcZUVVdM4O3cfAlucN296gFWNZgxpG9GXVwsteB9ohAdyVB3Zu/blt7NqgOKSqqKuGit3ZoBIF
zk7JIvMYxfkTjeJ7+qsBGXf3rSzsbpu63EaKikuVRQamE0FM4z65oyJPCdvRS41VEkcOROtVgdh5
RVVOrtZp/RMEwm17l75O0Yhz4GnQqVlzcM7tQa2s5EroIwHQquVBdJPYAaKQ3fUoTS241UtHjikL
AmR4mXWNEPbc1MTxrKKTQ1tia0Z7iWLDKmgRsO4HPUMnSQx0BEGH9gAM590AhbPgbz+m7txJgeWb
wgycOpKGH8puJ1OL6Hwq9jEUuWiPrL7951WtPAKaWg1rPmXbbuhDdRL7d7ehv0BZu690tW27A1pE
q/fcEVd/fpk2WuvOcCcsnJrJJ80/TeGhTcpjOjPytEonn4ZmC6/LKjNXjYJotQwrgLIUY12aUDQO
ynQbGLJ6cWD6doCT223g9WyR7hBoCy4WJAcvc1I8x05NzPZSLpkNOiItezeQ0l3WCoOjDVmzLwHY
2sUAzkWR0l8RolM2KkyPSiMW9u3dfOWgTo6H1yqETLyPZ1+QxK7rqy1fADk2zMuoW2d6RpQ3fImR
+fp7WyC2IH8iH8tTfPacoCNjoGzC0yiuoRkW7kTrmCREW9X/p53p7j3ZG6hZ0RMuYQeEgdNJR9h3
YUk27SJeCBau7RBLkjUF0UiuT3EW1hUukvaNBOqlyKTnIvd+hsbSPr/ibWhsJtyRSKFMW/18LJ0f
gSmOSSWgMJavKqW1NblHqlUrFg67NM3++YliYU4szXZCD4WA6WfMWqPS4Rg8jWw8/3ctqCDGERMq
yQk33ytw/rqwZPqKC8e0xv1HIYC/mQ0SEY6hBsKIW5E+Bd4jUAtV3BXVUydvRYAManCftXdiv83p
CYZHs7wHWNVYG3R3x+z77T36kXe+nIZ/vmU2DWpYB9BeMQ18y5BtvfohE7+5cMIo2j0N37q2DXrU
Pg5u2AJIWevRZhgWQqMr24rIUJdB9JLeVOYRgdTqSqaXTEdeihLVtZz7Grza7YFeOfi6pHJhQv1G
im6eGGsA5MM9Qb2MXsM/cqZt6JX4TZPyukAF569NTQRyCm5G5u2jyud7uPC6Qs0jBZ0zo/zcBsNz
XmkHsLU/EU9actrzKOcj1wd0xqAIwzNfn0UDbhYZ9DhTJ48/VdmDXj/241EMH4PX20Oa79i5mdnJ
T8yuAFZHM48bvXr0DMUZLy2ajHejulW1ZGEC53HAhzWyZTotG+RH5iLGatunstfCq1h+STIbXKb8
NbxzXwaPzP3tcc3dzYclsuqGJEsG75PZE6vUar2mv4QqtHYww22M4lD5lzfOzMTHnXjinWVYxuly
n1ao+zx2v+TKkSYR1u3tgczP0NzK7K6RAzlSGsg7AHvDO95UKwS6blu4NlUf7xddp7JESel8V2vo
SsmFJiV2qtxrqItCfIQu4W0b1xae56FEfsIgDzMvx1m9TO+YDCgA1Sf47cYktxGEX8kIC/T5FsiE
A7PEbZMXMck0c6c2p5k9WR89jehk1rApgMNXU0hOSvr7DmICeSKMVg9QhZdLzmiaq1Oni01APf+h
k5rqZLPVEmovLP0UPTSZx2YrxsDtfyNGuBrLH+jq3R7gR2h4aYykGU4PNjRttseD6dIOShfxNVu1
21fa2YlCgHV278Gh3iub5G600xey0j3tjU/W3to26cqiQSdcq5UdLsQQ0pWdytj/93P0WZCvZxQ+
SoGx0/i61e30k7eOju5uJRz9g3IXvIovt8e/aHA22V4HbXUWMn6QhuYefLPjPdc7A1P9u2vH+3z7
a8Hi9Nq7MeP67AIYu8RVWgDTdkc/GXVJFPPuws3TuFbuUpveyoWTKU9Tdsve9D0nW9hvug6iJ+zV
Tn2v3I+tzcuaJ0z6qNri9+zBW33WS+eBJeYZBxeEvFkY8NKaTr9+8gEpgiR6lX18QHWs5A17TN/8
9O4+yyZE1SsRBY+VsJDFubKvKTbywDdEGF55oU4O68SoBrQwNdoip6qSs7auo9M2QNNLaxA2ab9M
+Js77UsOy7gFiZIKzQXwrMj6g1jgMaGPuKl2an9vGa+1uNfNF69B0LeMHaPaJNXCHXB53qdPpQCk
49emp8D5p4qBBQIHKi76ttdB9yIlX9H2aGGoQPjm9lJcrATtqzDH8d7QRJAm8xJGZQmjXvk6PeRZ
lm0K2vZISYz5gtOcpvZsw01WeKTTK8nNeeG/eLrneoqmim2UyXhXZdUbwLhxixjW298PxwCUL05P
KFLks53dKrVLLhywruh735NA+DoiuX3bxEVow1hMOJ40iQc/uIzZ2qS1oMRaAkuvlX8dlNcadVtA
RhJdFGnwrun/YuaQHVFJgdIxbcgzZ6wgOR6NGgoPflC+a5J3b/rlu+XlCyH1xYbjfQsCYULm8P40
Ph4/J2djaqDIYf+DAiCGsqH7pKS17WkvkOLao7JQ/p1H1tNbmlc9CRM2OdnU2QQGNIZYtHbi7cxX
3f0DFDwZn+heu71M16zoVJglaAtpabWmLXkyokHrOhRIeJmJXv8cKj9UiNTy1OR5Ni5EnxeF/GlA
kwiRCYG0IV0k8wrV0+kkwRTEPU7f3LXKzo3oGNsJ6kHS7H5c6zrAiu5raByQqv77cfJkmAAeVK2B
V52P02qoudH5n9JyCqTD2BrmnjwG6fml6sIVTwE0iH4Tkj3wWSqza9FUgji3BgzRo2JTXn3oPfX5
9lium+BpYknseSqr52ORMwgrVC0F+AsRBm32MDK1+c/bNq7tCwCuFJXxEFOx89wGqs8BbCX5JCP0
w+zBiX2ljXoldgtmrni8aUmo47MkOL25mSaM4FMumS31kBUkclTDkSBfuD2YJSuzZ5bVIZQpBVgp
8xQN8fI+1NRfSZo83TZzdc54MzJvBu/hDy7xk7NEIjyEoBAz6KoF6Y8e9TQ4D6vhx20zFymW6SAR
Wv/XDk78fG1yvaYNssNOTM5LKLZj/03J7kZKO7Qq08n8gFJkWtgAl28bvuLSz+zOtraM3rjXupNd
tabvFn1QMpphbCLtqq5U5UVEEOG2xSszSi1J0mCohO4dlN/5SNPeBX1cR6mN7wJYgnBSDcxMeXf7
Bce+ZGgWaemB4EsKgl6AZ5DDNQJF3gOgzA5DmX+LDH/p8XplJidyfTgVNXJVmjUbVyNAuigpOIkq
j97FYnCAYjT01aVk49OjAtrDVf+W03d6GgGjo6rKnWzC5Xo+l5EhCVQiUdVUIMbsWtTkfPp24HtY
SkdfOW14eGr904uTm2s2uKCFBcQ0cB2aYMEJm0KyCo4sU2CT+vvdQdBnyMAWKTh+XDgn5w0a+rzt
ABrbQ+TDT/mptZ5pCA9KZWEXXru5SDr9Y2h2SfauTwIMiLftQgoQRfScwX9p0MBh5/odKk3oxNio
eMN4QTPBIVAWNufVCaVIxNIRGZJnP1+51MqKUZHaFLkaGWmTCO1QFQmj7OX2dF4Jbqypf/K/ZsyZ
W3HVRoI+FzNo+9Cy961TildVzJxalnZZvrRLrlqbbkiIn3mrK7NBBX3RC505MijWS8yzg6j+CILf
Xls5cBusbw/tyo1pTRgnsAwqb/X5TkHARCyqlqEpQfokJMq9UXy/beHqGp1YmDmQAlk0L7GwYISt
nXrtapTqFzWKN7fNXB2IpkF8hcaGJM0xunWQDkkrdjgO03sWjf5VCRbef9c3u2VNwFMeHKB2zndb
FvCvkwztOMhbX9xsBEj1ySArBQzNfKWxX26fDfVo/Bb93E6Tent7gNccMUAhgw8g9gAXeG49VavC
1YYhtcNJmq9EueFn0EBRtgTaueaBQb9ziwJ5Bvg7O9KllnSSTLXMDhUDzpEcFUwECcCagCPcgiFc
IV+9cIwv8JyTB4Y9XwPcMoHv51nReOzStFPhd1Y15TO9pHs9SJpvRqwc8lo7pnD42KPqf9JL4yWA
KnIF65y0L9VOvHOTYq+ppbLJ6wIqAkl5uz3r02GbPTx5pAEfgbKIvoM5hqLMNakLBhINJZxNiHzq
iHMWmzz5PfVHDdYnBKlvG7y2zFDSgAnEo1E2nMd9caMF6BMgUAjXiNv8MIwNLejoci647qsDO7Ez
i/wgdaK3MBNIsLdvdf/UpntR651E2+XWUco3ebdQir3mBmgMQDpnOj0XxV4EpjX6631CczO0VbLT
gtCtqlJaGNaSmWl6T24+ta7DSjKZPt16QqB1VY+eA3/z7TW6dkSA8rBM034FCXZuxITqjh77ILWl
/sH1Ye2GJdLYWeKmTtf+8G8m7sTYbKF8scxoe6GZ0aVsWBQHRLAqmJ5uj+jjOTHf55Dt8SxTNaB6
4sy7RJDzdwXcH3YBdaxGM0qnk1Jry3LVQc4lZ+5G69RyJcCFoIWRLaU/Ey09Rr21aYfcbgt6BLQ/
WlEsOL1ru3Tqx6Esw910UbjEzcNt6vOgS2vDqXOAUtKfKK+2mfQGWlHIjnni3J6JaxsIwJQKIAGI
Guf+fG2RWKvh1Y5Z2yIJISKNVTtS/P446bL8G1NT7IlGnShx45+bQqqpclOLwWXleLTQv+168RP9
HK+3R3SZj8YG3QGyzJtb0gl0z+0oRImJOL2KxlTbGpH/1tbBsWp/D+4vpev2yCv6K60RbU3tXqWg
X2tw+zmCLNLiCOXA7Y+ZjsZ8n50endmYo8qrKoHL2kbnR0DJO4XI28/u6+BNbv+NJ/3n4Mx709pR
FTsU94japK+5uYPLo4QsI9/fHtBVf31iZXZw0HaP+gpJdSR59hNHW/7Y0ofZ/YtzQB8X6GqNxxHF
jPMlVL24DQNaM4Ehe47V0HwekD78DEAHbsNgI0FiYg5Lgei1o2BNuHTgUbxX5kchCOGdKg08D1H8
2orhpii9tWk8357AD5DVfEucmpkiuxOXXUuIJMJVndoC+d83WB/afOeiPB6uW80YXiFtl9wNcH14
Aig4wUKYS1b7HV/VOYMlwXFnmG0s2IQEUvZiwsP03jcSyFLBrSyDHruSrTb4XXawysz4kUAT/tLq
JWAPeM7NV6SmrOcerIDdJm71teC/AvMj9cIvcWH229rPvGjjQbxXUxWELhwUIYXJ57Ij0+VwaKve
DmHDgZJXQT+y83slXXddp1Ybg25jyGRHxalKI3/K3QISlyCM6UJv8hrceq/lG3g57MSr6SWq1Cyl
JIYmDs35FHAfLGgZIKnV+/SX0BjBl0GMKO4ERiECKUQvx6l6lcoLDFUesPFw0q+IWkNxZMMTX+kW
78Njow76E8Ajq1/Xbd4hd93TewJtTuPIueIBiVSh04bgUjdhnhfddz8HqHr0E9lI7LBTjEephKXF
9+D67sOW6MA1Pe4CeHUTkdGHxlsHoyzVlqaNt/BIZJsEprUUGqQahCCMyN2h9ar+Ox0hIRyxvZCv
oQLL4wVPeu0Qnm6hmYcrx24s25DjkVDerNyHxn2BsW1lRp9u79XL2i2ulKoKiXuymFSlZ4aqUIR2
b0owDv1jmu18Yx2Km6F4M1GvhYUJ8QZlCX559RSemJxFND1d2VAXkBEp/cTOZZT2Wh/Wlnz8ents
V+eQbsqpk4wui3kMblXF2KYxdiAx2HW+us2K8C1U9Je86RaW6/o0/mNrDlHohxT06pQKHvWdZP4Q
h2cENuzB/K7m9Fyvq+gZCpCFm+fKI4PEEm9dndYsIol5AzGMi16JsDJJOuvoFU9Zdyz7n57/fcjs
UIPfZIPoIOcccui1nCM5LjtB9KWOf9ye5umCO/d2518hn3u7Tiqhe/D5ijaahMFfQSI6gEBt13e6
/LMf2EG18G693EBYBJVsTC980u+zGyqF97wP/BrKZsjW80JA/8BE9mTJzJXkK3aI1CiP6pTp5pUm
t2vhXhozbsJOf1Wt9jlofVhRfOtOV6h+wqOI4IbCIw+K/32QFcXahKZhYWtdxhcTZhUkDx3igB7m
hc/RjKw8mDKxQVUdiWX9LUwANAgN0PNZ8GauVM2X/94rTCOnGwTAF7qg84vSlcDwShFGkwLhrN+R
j850yUoKX4Xkezs8DPL9MC7Vba4u64lR9XwjiYkbe6XKRuq1cRdK+pfah9+9VBcijytnlcFNJQhy
6+Da51kPkTYrZEUr8gGU85NJHuITdJGIG5sV5LnrpDrCEbhwVi990WSTMuI0pdy9sy0L31NjNSjt
2FXyu4SQL8weXHgbU+H37cN4dQ5P7MwOowsZKuJYjK2s7rL4R52spW4hvJmW4eK8n5iYRW5laDVg
mBhKXT6PIjJk8HPeHsTSZM02gikj/emnDCJC/4ibYh8F5rMRH0wZzrfbpq46r5PBTPN5EqoluRlS
YmEwqfkoGL8EuJWRFlB4urjSfSe5q6qWF0xeGx0nyrRI68EzMe9JshC+6DuTDLNcq46fPA7BA2ra
G6X/62c2Md0/doxZjrfzJ2oXOkVsVGAOEECtaxoqxthzbs/gtR13ama+s/u4VRskgOxGADTTmWsf
aYw8qRZGc9H+RIVh8kQ0UVBxoz18Zgf8HyQ2JlnXPOhGiiidq27kuglQaoKfNzlGMoQ7uVkIcCgF
kHmVQ/rN7JL2IKNJHqy6EnDY348cLAo9UGBFqADP9k6Oko0FWU9GDRDcV5kgVesVnbtucun331s6
Hbt8vksNpVR5JjB2BMdeM1f6VRmqY2QLz+prZ+HUyuxgSxA054PLShrdZ5TNIeqG86F4Bu3gw4Nm
Rl8o2/+LcZkknMiETMHTzKKHoBqKSKS4p8bKTYhIyl0G7IvaZqwtLNY1rwVyeYLAcJES7J5PYV3F
tZdNpppGuYcu/ilIdfv2aK5eLFTDpn1qmWCxZ8OBQyesR5E6B4KekP3ayrCTRVjUNkq9lqwnGZh0
3TzeNnrNmzB9JokdtiH0CefjEgRLHPKe5PakCmBItR2Pwz5R1bWe1gurdZkkBGlPmh7GK8r4QO/P
TaFpUZRjIKdUFJPVKDhj660k/WspH1HFS8u3fzGwE2uzLKGRdFC/w6pt+6SNzXSriNANZRXKcwsz
eNWzcCMTSQOex79M5+LkDhDGMkb3B0uDJjqmBt+KlTgBAOC6QtvRQFNh+Gx10GcW/dGNDQTJhoWd
c20R+QDSyKCopt1z/gVJkkHe0HHh+byy3eRnA1U/tKB70QoW1vDaGZ/wZkD4LTLXc3oZIZ24JwQg
4VaotF/EYezKFbpoRrUS0fz8nulD9agFXlfbCExoPAeJEf/FJ0z0PfTlso0uSrnBqJspOLQJ0vKI
NNRmwu7WT5qJ7scehYWVgajK7a10beNS/jGhc+KmoipzPr2m7vUSfJSZ3ZvfR4ko9ikBgF9J/goR
R6/yF1bzSsTOWvIumfYU5bvZasoFZGoDKjYTcXpxKAbVvAuF0kc+SQ2DtUIWZFvXZuUujHIaxWlc
RqFfpM1QZpQ8B415OU3o5KJAC5puHEXYFoX5U4lk1Cmtr7cnc75XP8yA3pFFFRCP9HGaTk7L0EIu
zUGBNa1u7/0+gbUUFYtsWFPiW4DFXesmnBgLprTEhIFRZ4GgpQpVkbc+JCPQIpjPOUxxe09WhO5z
XOdFuFFCePfWMKqZn1Wl7kNIIke67oQgAngOc1OwR9xPf49BwBpHt8y737GI+MI9cjWTt4TQMXGy
RCO1Vo+Q0G1gYIz/DC5yWI4+Btq7TNbqSSxj647Wl76mr7prP+V+ifRRr+gpPDV5SrZJCXvIjIEj
vhn66H2aMn1fIcCr92HaN79dI6z36Nz04ULkdWUlJrf1vw2N06+frEQ9tl2HIJKJjpkQO0nUezwr
xI6GksFaV5nYf7q98lcanWDrmyA65G0Bws+b17IUAvrGTC0Kp/pKV/K7PAIjHXeot8LMitx1KRaf
Klj01LCn5wSNlSw9ZEgMGqh3SHK48BCZnzOu86mASfEY/KllaLOI0CrHMA4MwV1Jqfqiqh5qayW6
itUuHP0v5ijtbw9/HkFgDqYscBnsew1G0ZkX8aJcF+RGFCBXDNz7sDL+dGM9Lmz5i0NMJ83UcE1M
OeXj5mMq+jptKFNDxldbjtTcjTX71Bz+dufMrMziyQGp77ENsdIOaKbAq9SgsTrA/mUswfHmrhdv
MRG2cdkwKGKU2R7V8nhQigDC66T4EVhQRpm/iqCyx+IhDPeGvNAZcbkjJnYOk3aQKVvDVXp+IuiV
V+CCrvEX5rhTFPcZTtKV1LRHlX4NZXQXHP2VA8iMcCCIu8gwmtOOOTmAoq6R0K4sE44OaeU3aw2s
kDGiR5wuGLrYFebEEEYHPuwSE0nULPKCA87NPOi4V2r7PchE5D2MjaBkC+f7cvawQviDIiLeFlqV
8+FEOe8k8mqenVfSzxr4pIuqYS8YqC+VBM5SZW5vn6hrw1K4SqDOIGoGRnlucGzSoRUkRPuM7FOa
o1kYGLakL03eRZp0onozVMI7QBkqHCezgxvLfZlkQuzbhy90L6y8FeQPPz/ba/t5IS95UZfEErxh
Kqh0VBoUbJ0PyKdr0oVX1KdDpXSgodhu7ysnXsEQcXviPmbm/K4/NzTbeZ0i9yhOoZuNSsQHh18J
j19o62uFf1IY5PRnwv8OX744R2t9fNys9v008O3TT3V1r64KR1vna239c/WEftmKfsTV5+361d49
//p1WMqyXB6U88+drQDKU5FXesyLYLShHTRpsE2lHA1iL3oxtE5aQN9cbuTJnAkckbQt/A6zp0Mv
abJE7sa3w6a/gwp9IxbGHWiAY9/XG67MhWW/3Ma0WILdJ5sDsAYo5Pmq542cIpJHohulhbuqEBFQ
G7pDLgtPt1d9Hrv/Z3f9M6yZF4hdwajNgmH5prtS3C9IKKyjivu+6XcKLFi6Fksr3dcWLouL4fEy
nzijKNTiyqlYng9v9NRKMfsisr1stHUoI7SILjBl4RV2zYrFsgER4i4HVnNuRXZ9C7Ia6Hy76l4r
0R4dI/SvFs7NdCzOjg33nkSHBWBV3AHMSudGiqjIRSXtIhi2mp2G0gGucHd7ka6MgyHo7AW8tU7C
4dxEM3qNEpeMY3TbdxTkNhU0UWJs/P2e43qjPxpUMZy483yy6mpVIU03d0idTkNdrBHvo/jL7bFM
G/dsuiYCtxMjszABYbphiGnutvuAOaMwvW+qGKgT9zdPjNj94/fl622TFzUXNjkkv0RYuFEAMvNO
9jbIOwQQ+sDW5ODZ7+SNimhbX4o/Jcl77qMWhRLxM3VxiI4KJ1CXQGQXrgPcCsr1FrsE1NDFNmwQ
uI3bSW60E9tiVXfGT4s+lu+F0ki2BMWhExfp8HZ7zFe2DAcLEl2amiCDm/er9B2iU6GeBXYZysVa
17JoRxQbrL2OQ33b1EWfI2XQKQzDGklv2N2mbzkJWfyQ/q22kihNehu0u1fQtazT8d2NUbaP3pu4
R4LlHsW5gx9PU20n8Oz3Wz0JN3kk7oXmoXR/G8Ze6xaCa/nK0YT0U6XxDjQdHzk7N2M5dFGh6gGQ
Hrq+4McJiaKstEJnxJN00rtDFui2jgZ5yQNeb+pdlsnakx/LwloMysbdJYHp+XclNwPFKsVVHGQS
5OcOTYbWKcF0oUgr/A9p57Ukt7F06ydCBLy5BdqON+RwyBsELbz3ePrzYRSx1Y3GaQT1x9ZWSBdi
dhWysrIyV67VC7emGKSqI0UIrjhoEPMOLJJCeQePgHoA3JZhsxI/L12aADqxcVAU4GHEgTrf81Jz
EVFMI5o+iN8g0Sn5dImPIg3TcWfI6N43uW2VWz9dMbzgV9hVeX+LBvSy8ymAsfBTV8hRiUAX0FEi
bZNVwsYzpO2KT01R8yxMsD7uBmh1yIVhAZj5lF71lpaUKa+JmI+V+7y/ny3zM620CD1DKDfqYFu4
N4q3b7M3tAx787UUHb/9nue36qQ+sO2bRwoJ13/WgkORl0/oPw4VA3yzXUfIr9ACZHbQgdsjGmVL
hK3rFi7qvRymMxPTTzg5TE1fgFFjrMPJf0JiRx+YpnB7M7x3P/qva8QxC4FJgwUH/2GWE5HNWSy2
xqIv4gxbJoLRA/I21WMtqwh8Moqw8opa8hven2BCpjcHLMnny/KYjvXQbeQK8/IDomwbL9KOZiau
bN9FUjhNzBGIrMk9uZNneUXsym0viGXoMNer3FGwGjd55+aOOLbiQQo8feVmXrQHNRMXGnO3F5d/
VI6tVOmIE1h+fCPXX71ARn19J6p/v33wF8NsyKASF8k8X4IsoJW9oGJdQ/HAjfWzdou9J5ifrnvf
0nJIZMhzmVdhbHT2lYiDo0/qHDpx+E3SfrXtTld+5f5KCrBsBbAcnJD61GU494UgECXGA+XQ8cRj
Pf4acT6vfwraX9cXs+ByUNeoE2MFb1ySmnMzYVyT3LpW4IRk0nsh0JKbpFCDwLbA7K2UWOSFePXB
6Uq2ztP94g4MobXLjCAKHdnvxDfU3a3WTv1Qeu4HJkbtASUX2RaBi/6o0g6wOlIen2NEH+8S1HaM
p7KP84TYzUt5D0OoiLSHWLm/KiTLP42+F/80jEo7IGWO2MzQmsZXNcyk73+/X7DjiKQq9GKYazjf
r6LhnupEN3DAw21cH8kpZmst19pcN7P09U/NzPLlVHYjGmqYQZQCye2DV4OpjSLEUt/+g6EJocx0
P/F6PhtqqYWcjyr5fpMYUC2nvap+kcyoeKFoo/wcdZ/E4LrFBY+DDpRaCvGHSfL5ewPgozSYecD8
vR4dBfRwVDR53TrYXzdzkUJPlTauHyI3yyPinX8opZRdEPx+DNa9RHgMNVVayTeD1aDMSoUvL+pN
0/z5LzZBt6JYwHN0fu/XbukOnoFNK4B0r8Vtj7n0XGY8GpOnaK3Ct3AxfXQ6FGC14HjntHpQ6ml6
pkSxo5j6rUiSmLTGRm/+BDU04cYaBHrps1FZITufqrF0sM73s3Bp6SMxFDveaN6IGrVfU9vK1UqI
WPB7SKckKjgUl3ldzcJRoyGkaglIe4qZvp+KCGGS2x2iqXbardwWC9uHv/PspXdDjJ07SEUfjoDS
hw61dbQrxVa4J4j86NOqRhtPBHoLF9ZKfWRhef8wZlPKp5L/kbCe5C2CawoFZVRkejrlLiw6JxEF
hDSSg9v97Zw0OcSZqVnaYo70RoqIwm+UveXQUKHMhB7Vu6+uRKoFvzizMztngSjWmpJiB5EjWnrV
1qiDQzOqfx81eKTwPwrazCjPcxYxEEu1RKGLnTM3jVQ+uAiVp0G5u36CVbx4llGrtGfBddLTm9jN
z71cacssDJtJtzX80uklD/zX6wYWtosOPkga+kfwn847ormbR76eNZGj+x0nNdllChhx96/r8dPL
h9hHGUShJTg/raJWmb6ge9Rb4uyOhhqciuJNk/6CoRRJybUu+nzXuD4o/NOWAjVA0W/+hKwKRfCk
qUJRpiajprIt+yvX7qIFFFOYmtN5ps7nThI3Y8DNr2MnhSDHUt1NUf5lOPhYw4mF6eieHE1g8maM
KjePpOy5dW/H7lUMb62oQj1yxQXmN9OHJbpMFN6nYYh5l7px2xKZNWAN4fhQ9AexOLj+NmUS0XT8
aHvd3T62/tShZ8bmtLRF6XplKmGsLDaJfN8N+wSwbLSVvIOuogTN0/QRPdLMPZjKWvH5o/56zfjs
znCFhEaiivHioXoWe1v4bDnDttv/iu+1zT2jQjQo91+kgw3Dhi1RCc8dkJmO6XTbxPbXfs786M23
YhYRoQjwAKDya8Tirhwc2Tp4axOXU+p/bcGzYJj7lutKIyaaeNP0CMjb2rgB0hFaO8F0qmzlYXXR
9vhnSQZjgyYaHeRv506LxHSkohnLpZzvqvpJHN8RCTerxwGp7vq3qRxj9VvOcCRFECcTv1faCjZw
6ViSw1EK5bVPUjdt+cmhcQvdCxuF9SZW5TCkYrfyShq3aIHxVSiVdZAPcwvimCOXoY8xcG+0gpJ7
MVBXKnOXKCSiFxgHsOaErwm2eb6IkmkVhFVFJBlRD9Vvk+FFsg5CdO/V2wydYiuCYMTRC/5aqbwv
BYITw/OzGRmtV7cw6DmMDViIzys/QvR2h89VfiPVm+uBYMn5T23NPCVERlyikBg7uZftEOHNR/lG
8IMVK2srmh+xAh3qIcSKryi2Pj7G6a0QsKk/xPoAs++KtbU1zU5bg+BJFYnTmhRHMb5V9Q28Rte3
bZ4kTgeMDjr9JYAqgAJmvoG8d1kWdYPUvKsWG70MfgewottIIQ5bv/eosunVGofI0iaSgjCXP3Xu
L2iEezQ3A6tqOVTRa12jSe0I4udMYkQctctP19e3sIU0ZBjnoDGjU3earU9tWikTdGzVltqjVKh/
ymt93MUG6N7rlqY/aRYaUVhSQSPwMAONP7PkiW6tdSahKkgDWwJ67WVPaoy+nwSaZQK6KjtTS70V
q9LCZp6anWs3oEdNxqIRP4LeOkxTcQylbbzgTRnQnBX0myr/VHr+betXG9IKx+Up6QxgF8IxtWvj
sxqiud1QYpR+Xt+Oj1bo5X7gVhBFk9DMa7elh/aXkeK8TM5DMNR40Y2vZaLMSFEQvsmQMXw1rdg6
BlCjHkKV0Z6yqTt04+SaunI9Qns0Rv6XtMzFp9RFaWIjdrUWM+4YNVQnu76+SXsFVF826MoGGdD8
V4NOZbeRhaT/Faeh+tt3y2BXqT347C7Q5R9GW2rIfA7R7eCZAFNIHcaXxiolnEKMvrpVERwR7K52
RcLY+h36U9Z9JLbZSrd16ZNBxwYFC8U8GCpml4rXiGqbIBrvGIMQ7AV9lLd6YR3zvCyPipIlm8Gk
DTtkavv3txntZIO6NUVRRlRmtZ3e9I1wHD2oKPNPbirYwWpGtHDczizMonAHqHMIE4bvhCK3A5Sy
mxt3DRuzELKof6IBMFEoAtefbV8yAJGwupBVSHdiv2nar62xU1AQ7t6uu/AFKo3giCXiIrczYLh5
7ahRQsMbXGTAGqf/CUZvk9jGLipsW34NjqOTP/fO6mSYehlGzmxOznOScZipXLc6qDun3yF+e9tt
zc24z+7ih+IIS+BOO65ljQtx68zgLG7FWl3qRotBce+9JJ+Du+jYb6mVv1zfzAWnPzXz0T48WZeW
B77elZhpd8auCe1qp7Gc9uv/zcrM/8LUHyTUqNi9nzQXnt07ZlyFjXK8bmVly+RZFmB6slvHHVbC
O3cPEeCXatNug52xUky56ALN/G9OXNZIKlzEPXbUZ2nXHhCL3xIX3lG1eL6+oMVj+6+jf7RQTz7O
yAgzNSsM6eJhdDdeeXTlz9dNXPQqWQwlPHLQCb4Eec3MzxqkwsV6YguV4q+5cEPs3WTtdtBfXGNn
WvtI/mOIu2xNcnFekPrHKsolxAuEvOY1RM1vXF2JY6hbrJYZ6xoJ8EPBJZCtoCb+P8tDeJwWP1Cd
+RCRFDdxBVwYdmy92WZKYbvml0x877LeNlxpa7YuJSqh2VddsvHG6MfK7i58QSaYJoQDjyWNytt5
2MhVRvPVTMMlGR3f5jsEPEC9O/mte/Bk29prjPDvpVfvy3W7C9t7ZnZ2EuKwllQ/x6xU3TBfLyi/
huw+dtfG9j4i7TyZoN8F/8e0OCCE58szRKOtC1+l8AwzIh1e32/vSQ+oMDVCdRDVxvRsPcr7H2aq
Ng9p3+WKLbZRjmBbVN10SH++xFFWeXaNYuDnEnTHUxELzY8cSt6V232pIkHzEVbN6clFZ2v2W4Mk
J/M1LMQjn5s3y062CpSKG/E43mS7jDnmT9Xh+kdYuDLODM4+gpZBvAM1JptTPaNhBfp8e93A0lc+
XdHsHVKrXm2ibctXVpjhtzMBLclAdMK/LbVyWBFpneii4UZWqFWdf2WhaIsmkMhPTL3YNk30kKKj
07TlyrN0Yb8Uiu9Qn00zJnynczPoktPiirrEacxuA3frpuyd6xu2lKIAOp2Kk+BqAZCfW+h8Se0m
9UVHHpxS2srptm1ku0pbu5TWeAUXPg7VVjr46N2BIr+ANYlqHrcusdsHIpB+K/vHOtuG0ZpXLy7p
xMy0qSdXBAMBRR8O5ELD3nr1Ylt2shfjNn50n0An/uFdgx6UvINJZFOshNaP63R2+Fkh5X4+GINo
c+S6qkQQTUesUHrVXtUbdStswx/q8w/tgTGx1omO6Ag3B/jDneCoOMMh3Hdrz6wFlzn7CbMjFmlW
IJvDtMnpV928R8PnusMsXR9nBmZHDPmsVgssDGg/GSmtXTuwW1vdBLSL/W3zQ19pQy09G8/szT6n
H8R+G/p4qH9s7iGtSzfu3bhXG3u8SW3pWdgPXxp0mN+UT/XXlaWu7eXscAhCrMSqzFLL9/CIzLK5
ab+AGs5saXIkp36Jdn8fIM8WOx2hE9/1h3ZsabMTV5DGEIWt168hwdfWNAspocisdzKtKZWjo96G
UF2urGH5mP97CKb8+mQNRe7HxTiwhiL1dpaSO1X/Ra/tWtpd/zyLdmAXZIyONpQ2hwxqrZT7bYKd
RHoetd72zO+18mCFa6NsCwkLctT/2pk5oE7nAUYiXoqe8DS091X3RWjWPG26aS8Cx4mNmadFuitX
fYuN0XsJXdBiyTZFatnrDvV4L5fPAUR+1vfhP1yXZ0ubuRuDdJYQmFOwUJE/qJwGjVqoSZW1T7W2
hXOn87OhthqW55qvWv5Yer2trMlXrNmYud2QjW4i19govZfRPGTIZKtrDLxLVX5w4LBmkC9N3NCz
79SYcgAUnA0rLI8d21jBAQaLEmI5Q/w8DGhuvZXxKwRwUCdAjhtDPbO57vWLTy2GRSj1T4ws0A6f
H6+sKpKqzXD7ptgpxnOb7FLJ2/WF4yaWLVqdLfZ3cbZy1pYLDCBtQCR/ABxmX7DWfL0cAhKrctNv
3GP+A9Yr6guWE9veIwQ09+JLLzB3sbLYaTHzcwG58v/Mzj5qKCghu2Dy3NsbvCv7nWfb5W3vNO/F
a3G79oxdiiin1mZZHSiYcSglgwplcshVhiUdswI2u72+qOk3X1nTHLdUWgncfJMVrXxPczA392ab
21FFnGTu+f26scWU5GRN8/kiSSj6sZCxBsXpnklfPln4aDyQAoV2wnSTLb971Iv8l1flpgRHt0Go
qA3Xkoa1Nc+ykqyHG43phtgZH78FdnQ/HirHf7W2v+Ujw952uc8Lu7m97Vfi6lJM4LQi2MZ0JBxG
M68dcynKTJFUMC43JayXEz+b8HJ9h5deUZPu3f+MzHy0GwFplQNrq3ftRjs0D9QUvyd33ca12313
aNYyvMUM7NTgzE2bEpmESsKgvJfinbvvP3nPGcQUzI3ZaBCuvBAW9xCtXYnUXZ1ac+fxpqO6axVT
vhekJM93dXjo1p45yyb+V+2dwzizrgy7oCekqUlog9nqI8+u2pV1LCQ+E5n4/8oeMxdso0iEEJ6y
Rxb0dmo+SGvZ/0L0oPxK7s/fecXOX9Ox0VY1yAXqKgThSPjT9y+Cf//XKJ+POtGJmdk6al+BacvC
jOLdeeFd6x80dyXaL27ViYnZFTPKgll4EVo2vUzPHHmK3Pt0/dAsfPGzvZp+wUmOKJReST2CRdB3
sTPrjw8Ro5Z/u25k6WRCZsELnTf6pJQz/YoTK2NlRkIuYyX0VPSaqQX4sZ0qdpo+UJrBXq9txmqb
Z5/75rO7BgqcjuEszp9Zn/zlxHokKG0oiDhc0oZ7SCtfmaa5HYzU9hR9W1bxZpqYT81qf33VU0y7
ZnYW84I49Hh9s+hReancu1i776WvSvlNWaMUv/yGFA4+ZkrRYmdkZRaGkqor9EpkrIJpXN+OmuIh
QeM0Fv0VONDlPk6ICiT7mLunaHCR59dNUaeDHjlJWtlqc5/3r10xOJ1yFOt9azxBvHJ9B5cWNkm6
028GuAUg8fzD9Xmix3nOZHgcO4L0OfJfhOrr/8nEHG+gNXpquRkmcq3Zl+q70ugIp2yuG1nIVgGI
TgKI6AAxXTAvKbsSDEY+GtjOKNnJHxMVxD+Wnd9Wil2XtvFNuNdf0f4+XLd6GTzOjc7cfhByg4ki
jBZGt9XDatOtRfKFnAYTaKPiEiiJUy4//0BFXXs+1OOY2Kaf0JN1kl24T4/WXXyEuyxz0oOSvhn7
3HnubOsu3Ft32vH6Ii9j/fkvmAXhRBX0VAz4BUYLVe9Rk7et0nJnvf21GdCJU4ERqr4pmJwvlOOF
KFYTsMDms2bdKv3OED8xhXfdyke18jxkAILEQxgJAakKDu7cjAgxR5HECRmpnbxEb1Jre9tQcijr
2MFNsHcZ31bg1bhvt94uebVWs8OFA3dmf3bginiUK4vehwPXw07axDv1q/Qw7GQ7/mze/zL233+t
LHi6wK4seN7ia8SxTEITg+43TbI70Yne2lvJtrbafdPvpD9I/tkrJi/DMg0PALMTleRU+5zdqaE4
CKXW4zHlRngNn4qH9jUEI36n55TPxr31TXKiTeE6irba0FxwVh6siHXQyp8qvbNrUBMGXYpcDy+K
3dgeC/clFpuHbhSqoyS6a8y2Sws9tTY7/5GhhaOgCBGQ4CKCHOZ7n8afZO+rOcqHof5zfVsXPGdS
s5iEziB/vdBYC8Pcd4uCD2llntOL3/uhsfX89bqRhYgGQSaRRhcZpdfmNfJe6uvMsEAe9QwbaAit
1sbzpLm24pVLZiDh4U41aC1cjORogZkghN7xxKbQD7YuN/8+lYfzja7fNMPOuMccJRBYgQBfK0CX
ESEt2XizkkkSfXN9t5Y+CXPDjDBNtkAznQcT1YgZXzZptAnmc1vt4majKSsmpngwO75MyTIBqEy0
xhcN2sG3EqloAQgb7i4a332EdcPgmNOmlXYMptNcWJOS/mdA9cIm6jATpRWrmvf1fDiVLN9jHELJ
zWq0RdUdnMQV3adeMfBzw6eSxmbmqgNxebOxOriuCskEu0LpSyhsdl6AWrUTqPgHY9Udu05Q3yAn
5zUSiJCjh7kSjZtWIaESE732900XMyjbklzdVWXX3NFuLB8KafCa29wI1Cd91Ll5xmHcyfXg3+py
In6Th8y87QOzOjYcxMCRpITcTB1VCdAknYmSkXFL/5OIWb8bVXP4EQiDBkOMm7z6IPi+5JHZ3KpW
1O80bDznpqff5mkqQ8XWW+2NGuv6e1v4xV6OBl+y+6arh43kCelDFpjtZhTjaeCrFJlrleOw2sme
lB0bHX+zy85Inrq0rMdb0KWd+2QJovIY9pbZOh08obXdp352hPV0eMub0oe4ubU8O5NqGbnmSN/7
gTKCYDSznOmGZgg7e5R94TGWU/E9KkaIbuoqADdmaAXzN0K4MfKhK29aNa2Y9E789DbNo+yGz6h4
MJBFw2+5kDNY/Loo+RQ0Mgzt0DOKu7Sqgj9VXcQyWgZlShHIMJgSaCBkf5fVrv6ajV478XWb4Q/J
K5Vt6TUqgl9prNypfkVVvdZdYeX+uCygUIKGIIZAPpHfzKFEAbmqLxQZb/5kdNSeso1Q78dQ3Ad1
jtgLus/CWp3hYhwdNzc1sgIwicihIDFxfpLbpCh8b0JcCq8UqNK798wxRju5Vz998h7a28DRX7WH
aFtsmqfkh781ScOgKVRWVr4UFifhOLjyJra+eclVcz1DRXeJgxftdE+xm341/1i4IM1TE7MrS+nc
PjNrTFgIoqATfj84P6gjG7b8ZKUb5bk4BnelbR3XkEZrS5uld/CmGVndYddjwl+IB7tLV/LUNQuz
zK4eJIYjPyIl56sKHnr5+Xq0X3hjm6QU5BUMLYIjmINlat4fGdOh5I6ZLHwzWsP4mvoeRcTCTOn6
WGMV7xIX6WRbTfR2tGvfDeRNHcnJr9JTQvwXanTobNti5ZJYWvrpdTpLuGLP7Ttvmnjoms8CKa3u
rzTnl7zm1MD0A07e92ZZR5lcAKMtOvktktN9AfJeG/KbVP4Plk6v1Nlrw0pSIkoIDLPqv0Wavgmb
fFOmUM4pa0Iua5f3bNPErMnyTuDyroaDVN5UPLXXMNUL+SEiZCr5KChu5hVm+UHQDnJLNJsw1eku
0dCW2OuvPjQ+qivtrzvnmqnZvvWZmESDQO3bzYND5x3TGFgi4ubive+vvHrXTM02rpcMD6l2GhVZ
725qPdgM6ibO3lSx2KTCGsnu0mXAvBrqfoi5ITk9M1Z4WdtUCLc5HYrlFbohvqOoB4QFba0/duGa
Uyw5+qm5maNXUqQOqYC5IaHb324G8Y+LnGb8dv1rLXT6oScFwMoALYUXxjLPD1RraRCE5iDgm22z
RXnr9Tc95J9cOSW9psBW9uKhu7UO+XtnbdawpUuOT5JP2RaKtEtAj970jRZr2PaRFADbbYITkcZs
e32JK1bm784h9UQ9GLhRUb+yTf9JV1/0ZnfdxtLXOlnJvDiSjOVYRAMr0XJN33dKVNIglO5HuEto
K7vh6//N3OyMBYNaxFWMOUX5GRs/UzLk3O1tP/xy3c5HsXaegJ+ua+b0YZGYkjC9woLv1ieRWqM9
3lE04/K8M7Y0tFrbfDB3wY8VsxPS/MIsaQdpEOgoba7rXhJCShelUKflBk00x9JeGvlVGijjBhsY
AephHdmwdL4ngOSk7sEo/Fwu1/Ilv/MylT3N0hxqEOU2a5rXpstRMigfWprMgrWCmlqKXxBpQdhB
7IVLYXb2yITRBepkcj2YmLaC8qRFjWubQSoe4ZN/R/57rZc+PwtMRZ/Nl09+fHJ9BqoQwvQyPajQ
nojLXIntnNfMptSHcqURME8F/jHFIDvJLG5+kTy3PE5UCVNaIRzNwXgEem1f95M1E7PVDJrfermL
iTLvrZfRK0MI8Dzv5bqV+dmeL2T2lfyBrtNoYcXsBNjH70cVrs0XhYfldTtzb/jHDpUVXIHEe17a
70oDBvch56wV6mvbGnZruQdeW9tiiO4VgeLudXtzh5/Zm8s0DKbik6/xurHyCsbc0s+crPUM25OL
r65r7rzA2/tZtPsPVtEtnygSoeCZsyMhI6dVXlBQDsniGxhM8/i3jHJzrj4ligTkcsXcBXLjY5Un
9mb3KMT7RiVQrXK8VuaRPNhChfiZKjre8NppjwmjNNqwtcKVS+diqnJudzqJJydNlXJPFH3sSu64
V/ydWjwPyqdO3desdsj2WTU4Y5DumuqorxFjLXrSyZpn54KHcNJ4CbaBtOA5ugY8BRhV7N1LGg94
LVlJlRejyom92QlRewuKimxaq3znSQnzov5O79ZejIvn8MTK5M8nOzrmodeUk+cMlrXttfpbVzU2
HhvSZVwbrbykbp0CJVyA4nT9wIUwW1Jco0JfqVx0tQac2W9KOy+4aCdWusD9BICvsdXhLi3JkMSj
qO398Lur607rvbdrktkLrkQVGYp1GNan6az5a080syaMXaZzu9JSXtJREieeT+0WtaLSyS2uyCZj
wi9yZVojaQIgtHFBZzZht62UwPwvH9tEzxM6P7oW89JAK0u1AbCEwmxQ/U7M4Aa+CM+OTW+lA7n4
uU/szJxYQVYXUkS+gCAjhDDKjlDLcJV8C/4TOScngac0/Tqdcddzx/IKOEnyniTHFAbLVjKrsBMr
W4m2S2cEkhUoHMh3tQt6SRD6PVVBXsYNkC3Ty++02L1ravPtenhd2jXIdyjdTVwUaIGcr8XIW8GH
dxpvCPX0ky4O8REKhObOJ+F505Loy3VzF7CYKcxRp2J8dmJzuPBNv2WeoQyoRMTUz9v6CGFX1n7V
ef0NN40Q24VxH3ebag0sMS9Gf5j9KAtLU491jtHPulRvG4+iOt5wZ9a5ugcvKtpiplVPZn3jxwhX
ZrRbs+8r670MrQxGShTFQLVMjIqzuFAgfFYzkqrZXmVBnjjWxp3g9+9CpcjbCE5IO2nML0LYjl/q
jpJpHQ6qU0XBi6co3zrJe1PMMnoQ9GHcR60I1tSD8fL6T7xMivh9U5bH1Dbjj3MWuFgQK4FuBJBp
wNn5ly59v/7nX6YN53/+LAynSeWrCRMMFIn3kfBmyJ/6+DlO9pq5yVHPvG7s8tScG5s1KdUwVcec
roftxhuRclaseDuaFCvYg6UIK4Fo5lGPQjnP4NlXlau6pYMDqyFiS7ZqvGnRN0X5LKQ9Usx3kfy5
6G6rdie69zLCmNdXeIEXQLFnYiMEbUkfayLuOz+xqdFmcaHUmi1LX6VoM3ULi3ZrqH8MzYHavaw6
R9O6rdV9diNge9b9KgPyx+z56XPrn5/AKDZz/tDAzl1G0DPd7Fuc2hjyrZRvIrewi+CmVrc+4ri5
8NhARtKGHGPd6QvJSbNdL29HniwgldQnGbS5fyjIwFEvg9nFqUMgIp9S6ljlRhF9R6QxWWj+rjNV
h4FZOwtf1fIwMAjfm6WdVt/V1NtEwn2df0vU31X5apmPqrUPB2ZO4WiHCi9OXhvjJk3XuGgW0sNp
9/9d+sybg8BwxxSheFo00Qb1J7uHLMgbUHN97JuNQs1vCF+0Zq0puHCIzszOPnrY98w5dJhth13T
QTPMPr6CpsLZvDvI4FYeSpfh8myVyvTePk2dui4yKw9zGU/oGsi0GN9EfW/XDD0iRqMPv0RzDUa8
cHRPlzgnig5yBpWFtNUoj+nws4w0T9DsHVcbJjK//dJ5P5CgvCnAbJyvzR0GV48a7AxjD3lAYpfu
axr/trQbqXk2DMGOrM0YbfLhS1dGG13aycovplDtTtNtOelsAYrWXLnv+n0lRraArO71A/5x5V77
gbMXiJt4qpZJbL7msflI8oz4vJpgjjNvQKL+Ox4k4Ozy1vCexuBblt9G9FJrMd2kPWwMAUMp1nOj
oJRUPJrMNJXGg1zpazfb4vc6yTJnMbA1WnEYKvbRG+WNYDhW9DnwjwWSAjDnh5a3UY0XE7JgHzRz
8aXJ6Qn9UjNzZbfWfsXsPMqF2xuRy6+g32+r7q+ikuy0SdaC7mWaxIHQJ7U0QMqUxeeLFa0xT6Ve
s+PiOZF3PswKamz7ARP81qax3o3sq8iG8zLm/9+1PtuK1teuhOn804p3TJYuvOPkl8wWnEFhqCgV
v6SiTxMWhwbyjTQqkJy8sVyS3nIjKVMO/ChWL/RJvfGhHz6rAlPY4aGBKjcMB1tubhAXdypzm2iQ
LQUKgk/UzeJ3Qw94a+b76795Iembdk+lA6UD/7hQYhKiuDOsbtCQH3l35T3dJ0Hx7bJS9z0M1247
OjXM1+hBSX+r1PpxU024ckAhMGPMbyrPbPWsDUaNKY+OUQ+UsTeJ0P5Sa6DS1xe57CH/Wpp9F890
XVUpsQQ3LQ8D4OX+rqbSrzf6SnBeszS7C+SEj+ZGWPIUceNyVY4phJnxk7pWpL7gI5vt3vwaUNPC
NAafsAOOb2OqtPL5x/gmb8ZNEjw3QriViU2e5IzCgyTuZeXGCwAmkIa8xda7kr8Z5si/fOsGeE9S
u2weUwucb7HN5DdSzcFa63MuRoOpgmiCgteBFJ/HdkbzXTht+cG64D70fr0xSuPZm8Y46l7ZRTIM
buJIJcfYJJb1LXJ/lqWAiowb7Eer3UApsBKdlj3/5AfN4sboq0WP2Itmp7AEZUPuSCLigNZd5ctQ
WOVUdG4r8amrddsINtcdcmEvKBMDYpuqABLTvOd7kciJ0AUJgSKtfepVwr3bxts6ztdYJaZW4Cwg
YceAnHYSq7gQ4wGQghKVQQTuNSF0BA9ITTj4kJsMNeoubiXs+G/dvesCXURbJbVp90Fj3JprSvSL
C56o+anBEKbnCDq3UCorDYkyqJodY6PbBWO6zeo1uvalBBz+oX/tzBKIWHGH0E+wE5bV996DEtCS
3pRa38g9vGSZ9up63dEUoztLbJ1E9Z/1TnoMVHWntdHa3O3i5p/8llmu0ERWrIkaH7mZih3avi2P
on6fjYZteY9K59AZuTG0uyZZOWnTn3vx0eVpFwiusNbP/DqGlFMKJrtReKNLnmPVK92ApZOjaScW
ZvFUatUhEFN2ObEePONLrxyr5BB1X5T+Oclu0FlQ5bsuWzkzS+n9mdXZoYFF2vNVk3Vpxmdp/OIK
7j4Wb4T0qQz+xDV83zsRyY3/cFARTkfrUoaXcF6b0GperfrASlWdc+Gqh4TuZpZaK4/WacMuPtmJ
mdmGlmLpD8ZkZprhybs93JluulX6l0zR4elfqSpcQE64O6As/3dVs50ky5ZrIeeWirInKdkJ4T3y
RoH3O/YtKg3bJOVmdLL0l6QCe+9WMo7FUPA/44wTnce+OExiqY4Ju0rlbztLfGyV7L6NzZVTsGZm
Op2nz6Q4osYVs8Zce6nqx1B/H92VZtLiQTtZyfSaOTGRBaIvNj1fLRoFW+wKp10bjVtbxCycRVkt
avBwE0J8f6/0PC5778bKqu11L58iwtz96FiiCoFE5qSac74Qr+hhNxX5JBVgvABaEde8l4oaCY5b
QV9TbPjI62bWyAEmTmyKJKj6TYs+2TZPNXOtCvkyhXTTDn80Xz6k9aHIekcPmV6zHsWxQfyYnMSI
bcHYi0a1N/tXqzk02i9LfRCVXxki68pGBV1Wp5sqyzZqdysY3029dKJ6TWp9Kdyd/eBZ5pKFdD7z
yZXCSK4e5XCgApLVPxUrb6B5hWwG8ZfgzfPC9NYfxoAOsPho+k28klsuHVtiEHnDpAgFz97sMxlN
JrmqD4C6ZsJm65tWsZGVUryT3Aw0peZZdpx2naNa4asfM3ymdyPaboEmc9UjuSAZawdgKSQjhwhC
DR0goIUfO3fyKcFT9qVRK5o9xl+tWLS19N2LYtsoPuvmsejhUTVeBVX4e3c9+x6zfaDExvs243v4
BSUQWa9FHltNe4wSmsaQn+e2VzM2c/2MTDHxmtfOQrSXyGYAoxB33rhNKaF1KWPrQbpFycBpQtUW
lc8mo2nXjS673jR+N1XzJlar87OiZr2S6j0nU+tKu7oJY5Mgg/bIxnyIjcd0KP+oevJSgmNeMTzF
rovl/mt4zh/otUyTsMvTo/pT032V5D+eJW5y81NWHusQVbXxOTdui6a3mzUi3nk0Aj8Erg0JDzBu
CCvM9XoLT0n91C8jh5Kh6h+80uT2fR6jfWatfNML//3HFLzN06wa0PTZ9oZxoultgin3mZluaatB
MnNT/z/Svqy5bV3p9hexivPwykmSJdmW5+SFZTsJSXCeh1//LTj37FAQS6jkZmfn7FOuSrOBRjfQ
w1pOLHvKD95hYX05I+vrWxZnRZbKoMoJZPUS3mu36DzoedhubED6EgFuShmMvrTfl1GnHnU5lQJw
NbXlUbMKdCs9XDcL9nnLCGARSNO8RXY5yhLkkZ7zwdejfRFsdGV7XcrqSoE1jY4rUoo9JkAY4Naq
mg4wz4oBeB9fwHQAGTgXuzVNwKkBfA7KAYGX2PnBKsrZRJMtPHmERrIs9BN9stPCk/66d4Au2VIQ
3bPFtosCqdWspYKatjwkmZUg9S3NoBZomns8gQOn7juQXOj691GUGlBGa36qxwrANzDYcH1h104W
OKzo8UK4R3fK+bekrTIXs4xEk5H4ojw6UvQQivsWddlR4lSW10xxKYr6l4XaeSlX6LyEqCDFuIZy
GiJe2n1dgo55elqFRX/ZuQSK9GeA9gLG3mzK4lbpORfIVQsBAdP//n7G4Vs54FzrEX9/lf9A/d0N
c+RwLcNTYl52/atrcelsv2wEbzWF0mEDLJYxRhgiGJ5qiEJKzI00bTvGgq+FIGVNB7+dDbfv0Eof
gswvKQ6tMN1O5rCbm86ph94mCmUlFu14sLaddNsF1mnIOWtBHce1D2SMuO2LDvyg+MBOeDX1+0i/
QWcCeoyq9qYqt0r3l+0C7HowDiBrI82KYjBXJEmDpvsWE2nAuC+Acc+bKlxzNfSV/L+VZ6524PrQ
MDYAxUjtRspzK9yKonf90K3aKTIegJUHJTKaEs/tdBByDcU6AB0T+RAlEtB1eK1zFw0uv9frjwjG
VCe9UEeZYL06J6kcIPgAF9EPPQOTJfpdtxPc/Ff81D2avAwHTzUm3vSzEQkl3SdU/+Lb9h5o4mC5
sX+IB1QdXMkpHV6X8aoH+7OY7Nh3nKcWsuyQmAKUMG2eGjBrpW9pcxCy3r2+byvd1PDcC1mMtwyG
oE3AJwtZu/mg7BW3cqxbyym9eNd8ip+ybRymrVba5sPM6SXlrKvFOM/A0uuhotjYUVxuCxIfdDX9
hxi7VI5xOWhxmEYCfG3H0rtNoQx3uZbbqZFyjJ+3X1TTRRio+qRWpQBrOKFTBmlmA7iIVeKq/eNA
/jbHyJwClv4N3Jzy1OtYNblVXb14zvTE1k3Ouq10UZ9bBeMxSDOojQgCUUw8Wwf1NLqWH+xQcvzW
7gM/vekfJptnDuve97/jzSahAlGKDavBXqFMJNYJijPHaThWOrFr3c2ljaX4101/XSBSM7gYISnA
uiyp0+NRSzGyN78Nt5WTHJL7+UZx4tfrYi5aNb52DO0rQCkHFdLFfFyJl/SgqpBjxIc4uwnGu9Qk
6J141YH6I/ox+jckTK1hJM7kjWSsOn4Q15hoxgN9DXvHzMc5ISWB6Ki5yTu0NWAoPyIbjoKr5r+Q
whhLT4xEi6iUBgMZ8yPeyX58U77mpRfqTr2fdtUjeQanifog7a6L5ulHv2xx8DCzOSF1g8NgmRti
bGoMKsvtv7iphXZM2KlyFO9mDTLGLHRyQJegy+K6FquOcCGBCTDhUJaxIEACttEOhMLpNc474KKi
/9sGARIB+lA8N7/O+2KhMFknzzmlDBedYRM/pK7mV8681V98FAyc/qi/xX6EoGb6zeF5spst5wPW
gzd6p//3AYyNjBhbL/QQHzC6x8C1PuN9vfuZHPQduVUAsarn9g1vimb1fC9EMsZRoElWLzKwcecm
eSK4A9lZBsb0OSp0x1AmUFan00MaNu/AVebYJVddxmgUOR5bvYJs/Rj1thG61h3x9U18yl+1oxE5
wobS7FKIdY4trXobFNswgi4jna+x/CBVMjTEpDsda+EpMxVAED4NTeXFpDz0jeHko3iqx4+5Bccc
8VQ0PF43ZrqR7CUagNZ400oqUjksSd8gZINcS9A8I1JCfNGYxK3aC8hpgqzrYJqF9Hxd4JoPgF2B
nY8SooCp7dwHgG9daqMeCluRLSWlred3M9qhrgtZc3FLIYz5QvYYlyqERMpnjOauYpviTtTVT033
cl3S6vot1GGsdhyrKew7vKTLsXW6IYe/njHN3TgKD7eWt3CMjeI6pKd1Bkmt9R6GWyN5NAzvujIX
mT3qdwBxjJqsiEklIEefb46qY3ZCoMe+Mtz5oHq6CxaSn9rN8NTto811YWvn3QALM6hD0VZ1wUcv
y1XVxMOM8x68G7GfGJh6LEu7Eu3BelcEvwo/rgtcX8D/BKpMjcdMu5LMDQTKheIhf2mPeutnwA+7
Lmb9SP9RjOUMS8ZYliaAwzvyTd07Tw1x5R81UqSbASlgWyIuj1Nx3Qb/KCaf71pZaFIt59QGMUuf
e6rq5umjwoMoXQt7i/1Smcu5lgNVocOkECa73jL0X5achxvv76c/X8Q8I9ZnFBpFJGdGh7ShzZ94
XbU4eq376jpAD8K5hJ40KS0B4eJjPNbt5JDxpUbnr6XaobCLp1ex57VFrvohireApB64rdjcVgiE
mUAtINGSDnHQOznx83Cwh05CBsG/bner67eQxViBbKaCptVYPwqcIuinTOG4uos+hi/vsJDAWEBu
Trlaj5BQ6WhavSnrxyJ8qFUnrzYdOWTIIpAbgNYOgmRLupNzG5mpBhexChUminsmo+bEhA5QuOpS
F8ACMYGA4Z/M6NGoFgu1ZdfELNCNE+ROr4zVQ2ro2R3IOZPCQYY9wlDSrNaYyQp5J2/VpQCCFIUQ
VOMvoAgNORyqJlDwRcB9kr1muGktjk/miaCHf3EslMyaqjhVcRUkxm3SAYI4J7c5ZqevW8/q2Vho
wsQxBJfejGeIAS9au9cMNL8FgnRDxhjTuBq5AfsCsB5IuFergpfvWr1+gTfkv2VkQttQl9IkG1jG
hxTk0XeyF3xr7DbfinvllLm1Jz9QyFXeC3b1cC6kMsFuaLtY60uqMnA6RNmvk8ci2hSRM1ec6/Tq
0fwjiR0QJ6TpzbCGpAhd+LUq2q3MOfwcK2EdjaEUhlEXkJCqeFOVvjzWtppxMqA8NRgPY41SqUcW
tqmX0KgHGY/XbXB1Q4DDhMshOGQAInFu6jkh+ahVqOPFSM+LmpONLkmPQnBPxu11SRdVa+rK8DzD
Oxv+DFwpjCpJKpFU0QuETHOyA2Xf979SOjZwK9Ro/Su8Qdka2bcpOJbaPUCWONLXFEWhQwQfJhIo
oKFnFFWTaI4L1CGGk+Wrm+Jh3hYAVdu13mFyDXSH2Ifa6RpH4LTerctVQUYI1B1cvunPF74kQLs8
EUCQDCjo5r2OBF8fv0eldTdqT0rC699Y8yiY9DBxjQTjEnLZ58KKAvkNc0ZOSsYs7DjvM/IxKqat
ga8q3/eJ27Q/ry/rqkAAmYMBCcCl4Ok4FyiUuKKUSI86iVnsp+ZbYyINOt5G5uDMQfg0ZwCYSghn
L+lfysYkXBrozBY4dYBoei7UQL7GyKUeQlXTFpOd3O+n/l/yQoh3qAngvaQDyeJciGWOHYpKyLXV
auM3wYymeXHThDzegNXrP2ZSLaiD/k9AyZ3LqQc50RODPgbj9DjVd/OExH3d3GLS2sta1Y+q6B5I
kw8TaRwrfb++fWveBfOEGI+ywKqHcuC5cN2ac7AQ0rcHumyE8dAXP64LWN0qjB+hDA1iCVTQzgWg
mbcaRQXXB0zkgI8KZ19Au3tociyCBuQLi1iIYQK2qKRmYdB7GOik7E6W7S4D39yjGrnX1eHJYQ6z
VEhD35l4ZgS4w8YAHU6y90pqHY2HS7N6rhYKMdE5NgO9K2esWyGjp8V6V0tbTR9b9a4z3LyIt43J
aTxc3SiwI+lwHkBMZHEKyqGzxLqCewRl5zS/iTpAizjdomsiLExXgnMOM6UyGy9BQIBMtYAcqEWI
Y4xeDiKallcCW7PopRAmyIB3gKhRDiGZbt6Leney8ofrNsCTwDgGRcmzYsrgfSqtt6XxTks5W7H6
mEXXBrhCVaQh0fnCHBpxisOhxqlszFexuLW6/SQ/Ct0ziU5S7kRH4Ygs+Mx7Q6/Z9kIq+1KLcNdO
NZq/GZIZ7CIvLWY9ShOYS5vr60dNlz2rSzmMwwtrcRhzEXKkSs83sTyd+vG1ni2gMH5mGNi0jeTj
usRVw/uznhprE3miFEmBw5RooqM3wHvvHpLKuy6Et3yMWWRyI4d1ALV6awMOW3vWMSZtKxHnxc4T
Q61zcZ0ojGZQRgNiSrw403GyM/2jHbalyGsNpg/za9tEF3UhSJ2k1JDRjuBoyOmH0/scYMOOQflQ
j50dJqUjazJucv/QzIFyE8aPUA1CHyGb8bBISBqZhsO0F2/a3Ljtu6frG7V2vGhFy0K3IlB6gON6
rlmggUfYCqgIo7qtaFoAc4xx1NkZUexpwJSseGMouTtob2P4Jpch5yK8soXoJUHrJrC5VMw1MyuL
GXcpi2UEERHV8qHYEPUtEr9rMeecrVj9mRj6GYsNRIUjVBMDYtq22wYtKOLU6lebi+715Vw5zmdi
mNVsu7nq4xZi0oYcVZC8GmAlOY2GdayLwLaQHrgubyUyGnj3o38CUFKXXRREArE9wVCnQ/TqRZUL
L+p+RUG4EYZHOh8/Fh9WzOtUX9VxIZP+fLGUaFwdtKqVqcty6/mxTk62rZSxTVpOs9TqnuGdgHst
iBYuWArLps7CmAoCV8imMyO/n7Obag45bxKeGEYfZaxDYxAhZmw3lX4PdNn071H8cNXCcAEFgcNh
ZjuZ2qAq88QE1UA/WHYee1aNrJXd48qEOfLrFrGqDeb4MbWI8SaUOM53B/gcOFJU1BgNbqdvlbFz
Ul6+ZF0IoE1xf4FmLH58kymY6ddMZJ2G3Enl5wkEn1rIifxrdiaJQMPBVRzLxk49h+EoC2GHYUGV
SJsgQmWDqIAyVyfX6i2nTUckTmMey8CaZhRz1KTDYRjApD9fGDcZdDyMyxB4fa0pOladVa5h9RjM
UmaOemuObymJ8UjzbABoOYF6kaU6Zace8t7ahXnkItLs/t4mAObxBWGiANCDUapPhSC1EiSBy1H3
BpFsaqJ7U21xojF1bkyQBLgM3qGwdYosxAR9gNlYaQFiWcxV53Y8bQA0F5l73bAn4l9XaG3tlpKY
uB8J2RxMIxTKBX8eZVs3PnrL63nQCfSvuaYQs26SIIsh1IUYbb4zBmtTFCXHga9rQvnacZQ0YJee
2xvIEQyURJHRyvJf04jk7avReQOPVmLNqlFX+08K4+LiBJTgEc0Sd+V90e2myBtHjt+R1zTB+AUy
OwbQRQD/c65JOfZZIhINmtjwOD/KQ/ww3TwJTroft5pf7+OdcYN67p1s57foXt6fRBf3tdfrhrGm
6PIj6Ecujm+cZVY30I9op9tRexG62BF5IHY8GcyW1eNQI+JChqn6avg2AOwMgw/X9VjzfSjIW4YM
oGxVZU/smMrJiE5lJCLJ/FFm0aFXsn2iED8FJ4FWmbYpRQ1H5tpdQgE6DM3OgfqSvYlpBdiy2hB6
xX3pSuItQdiosgLTT6Gjl14noyDGsX66VOwBW4pktqsHmHtYivAYVWbcoiPOkYfssy8lL7NMvzey
7fVV5WnI7JwKBAEl0LGqAAwonFYd34MSZBVp37wVvfhNtMLCC2LrNkM/Mmdx10pXGEHAkJKIyhGg
D5nSH+kjUpUTVhctZL4SxztJlx2pBy+y0W4RbJCNJC7l0Oh7xUf/qGeG76IQ3qcRJxhcnlNFU0Hy
qImYNgd2JV2kxREZ0igr4xFJ5rSz7F7dxeV3Yr7phn99rdct+I81MS5HELtkTEvoOxvSuBFL5As1
U+zdzBDexyL4JhbSMdJ4FZVL5VClAdE9bV3DICNLEhHOmTyVAg1Bwx6vNWVMbEye1cGv68qt5Skh
RzcAEaHIyEwwzk4dMeKlF9Auk/WjmOjOlOoucFA3lUD2WfKtNbOdNoaYnJm2odZ9Xhe/emxo/hCJ
ax35KSbQ6n3f18ASwJup+GyTDCclBkJ+j5vEeyb8LSYhrqxoyPgjjIm1+FEcNI2BXJgcPJT6SzIn
O6sB4LXwL4+ZpSRmUbWiaoleQ60JtLG4Z+yN3MB13Nh2Y3FHWtGto9Y2Z+4syqrRLDSkP1+ciBw/
Ms0BciNSbuW0dgjA+rUK0ydWehynyUF/+n3Y545MxG3QtY9Zqd8Z8YBJ0DbdVElnSz2P5G11i/+4
C7bSTIGWa4An4figYJBGPsBpdNUNUL2bPq4b0+pBXUhitB+M2iqkCNqr43dVAaTKNkXxC00iAYAP
9J5juqvBcyGNccHFJKoSsOUQZBQMB07AVpFtCfiW13XiSWGcTzQkGsDmqSUBWmHwVK0GrDiPOmM1
mixUYRwp8My6SKIefe7aN/CMHCKQrfXBS1BHnqrHXhy95xiO+f/SjKVdbStBD8YMQgNRdlVAcphN
vCmFlhOY126+4ArCK0gBVgLQjc+PhJE2pWYleOCFhuYPRN+SOd38iyZ/RMjnIjDYA2pOAX6l6cMb
YkTo5o9egnnmiFk93AtNGF9ZKC0oOCZook7hrm7Ko9Q/SLmJHh8eyM1aSRfdsiq4zjBpiKYyZtFU
q20AEmTh8hl2NqDHZu0hbWxNeTFUsKj6XXAHaNpc7e2u8wAfe305udKZ9YxwLW/UGorKSKQV6kmP
biITSP57ufbS7kPHlwDhFXjjMloEB++69FUnslCdWeXGGKqupgmBIq7xunRmfRPGnRtmz7llqwLH
OtcGVM9WmolJYRiVUYYnrRPNt1rvlej51/rNHNe4vgG2+iGV3ZFweg9WDYn2QtMDoYAV7NxewVMw
gJIEMssg2uU1iD9QsM5NYdNBxeuruer8MfEG/nlQ5GCC/FxUP2kZsCiQGgD6N1oSJU/oVIB6NM6s
vuFu+dcXQoptQA0WkFPg/WakTQXA2wQVINl4ioBOKUl/tJUF1LwQyFqAT3q+rttqwhnXT0wQgvFM
FtlcWFhYJuCOIA6Nj+qmScpD21SFq7XhuOvJpG86Xfls46oBcmJXuMpohnYZzI+ZXmoc33C5zrgK
66AjwiUKtWbWmQ5FrXToKEwd1Rw8eUx3ugWExEYFBue3cFQ5VnsZlM6lMQd07oEyR2pIa2fJrWTZ
S437avzrZCYVYiloPqD5YLaDRY6SMTSsGKOr2fA5jPp4bxr9c0HagpPsWdEGxoJKPSDSANjM1i81
FZiwuAYDWl343oBPq4s9LibGZYQFFQnu8bT8YWBEkO7f4mImdeMA2B56zPWPNNjNqQuyFcBfuGOy
L4rX8eW6aa6phL4fELMi44KMIxPQxVZEGi4E0G8yeYK51czH+e+7pBTaWvQ/EWwfVikPwKUqIaKu
jmn4rdI9IecEAlYL5EvP4DDYu4/cNQA6BUSBrlGK4G+0wbnnlX2/tnf5cmelMGul6nrVBxOkEEDx
9EmziaeXYpqByuMq5juwCSQMkANLFURUwJ7ALTZy55wAnPOxJK2bxH7RvskWEFVBHDm/Xd/Hi9fZ
748DNDBwxJDzYj1ak+dlVk4SsEC753Hap8pOSf1eqd1x3obTjybYZ6qT8DixLuhjWbHMAU/mWRGs
HIBzA3WfiZcAfyROY68VBAynuaZkOkXwDtJmKartIgVqtOEIVW5P4SYVHjIZ1ImYC3cI4Epbc9/w
vo+N0V+fh0ZgQDbBz2OE+/w0FQSEgpGAVdHVwSUTClNtb1vdfWDsmuTbND9wdoEnjzFEoQiRDW6w
HCQet8B6lOLBjiS/LHepcBOXz735qGlHlGsj1FAF9TgZADQIf5LRjaWTXlacoHoReFj9GZNFtj2T
ekK3R3vLu3lXpyCFBTRKFz/LgpN0L5OKVpn0qZrwRR5nMdgCMiOcZaLAjVEbwTisAX21BfbSIQ1K
Xw+OAQCyM8CslT+s6JP8dQ5GArueTGtB6DdCxwJzK+vFwRwqwQTfhbjTCKitwV2gHRTppe4fioJT
z7jMcKG9/KuSjCsSehvZ0gmdmexnAd2rb/6Hv/t5/+ndPoYuDy77cv4YYlCaAQA8+qiAm8dcV0Kh
VDrQesXOi2Yffd+2D/ZmYzvellPzty4ufBAEWhdAASK6GUDDOD8vciCnhRyWseMe3aP/dvz9y/eP
/tGGWPzGL+///Yv/2Ng7G7/9r39//9Czvdw+HBx3ezptf5227v70cnr58bLlWNdFoASeHYroSDDi
N+hRGdPOqlZTgwLJ7sFpHN/3Y+fr15bHrXMJyUAFIWMrgdkEZJFsM444FFmSTVh8d++6vutDac/m
3JPWdlhB3Q+dsQpaEkCgcr7wtWJlWRVXMcbk9/uXvXv87m9eP1X71eNs8UWgQIw/k8S4KDEPpcCK
IGl/PGLbHI+nytrGYJQJvLhgwkZanVElLqyCNDFSkPuj674d/Z/2BubgbDlZga984zIcU0WWchhF
pD4roqSAnOP37x9P4NG0Z/tptB9msJbP+G/8P4j2Dp6zffxVOo+/HjEDgn9+TTaAwOn/nK6b5Bem
++UX0SZqFIQwWkivKYu7Ww0knjxqJFgKPS67ux2W13Zc6L51HI76X3/ZNWH0KC+EDQZaqLSKCnNh
/bb/sMHJhCR363JEfb0JLkShoRjjg/BxIKg8FyWOTTi1VkNFHekJ8Hf02FNHAPWgn0t//8taLmQy
F4sQvLldU7WQCUwTG38kNsBK7Rdoi0Sa83Pzurk/3B8OHmcTL6f6qVktBDMBpKt6ORITCIYHLGzf
f9p8c255TmX1vC+lqOdLaoSSDIINqp57BAooPOj9Bpb6zDOTixvA1ylZqMPYpB6ntSR+CXpz/d3G
vuVJ+Mq8X1gHgLNw7wRbiMaCbiukyIUE9Bl0p/aG/db7nef6m/vP0vv8cpXOlp4BTuhdP/4Lsczx
T5Qgy2YJYql9JPZb57y9NN6AcDA5rdt4vesaOBU2IqVqt/gnxX++ggnAaT0gytu6neMfrD8nMFns
tedrxRcfxgQmM49Aa6P+3loaRt3j1x84OPTw0IiKMEoPK/0Df+LXAf/7dZhwnPDLpcf4+nnS6Xm5
sktsc6dQBVUnnn3V17f57u/oTb+Cfgt+IyLQX7wvUKhJs18go7MJKR7MXqO36dzkiwIguGoN5gkq
GDeKr19wkQ/2K7S/dW6om3RPPu9Sc3GnQd+WZqFihewAGgvZIj1a+COlNyG376ba7oDuJVudbSWa
p6Q8Urkv6vIzJRlhjFduSS6QyFQQ/Ar7LrRDG+9Rp7d/4r9me8SfIb25edDXhtqbw73zsHvY7DwP
6v/6dfqBZdn59CC9nPbbk3t6edmftp39K3QH+wev4k4jMfOxtD9LxIUAdciLRgwtGbIcIwk0fSoG
tYMG2aLyQG4Jku9qDDpjMxtzvAvrPOU42ZUtQXebJuO5CowrlNrOTcEMhGqaVTRgjpKp2ni+dS64
rt60CTNvSV7zJjlWxekYcEBiBdNHbN6m7jAa0M8jcgLCd7WKbMHyZCuwJR7LweVIHdAEYNoioMLR
uw0k+3O9wiEWlYAKkmqw0elOB2S1OEcrMNg/aIX7LQyem9wf81fZ2IA/A13dqeCZ+ub6Yb98ljDf
wVphMlpiR1uRdQLiSRloNJYPxni8gdXyiE6KID8YcJySVwGEx4wPlsDJlFHny1jW2UIwd8BmFsp0
kvEBqhSFzoB0JgqOdq7FBTIjiZeFgVfLmndd7RVzPhPKRIRAKTuN0Ibldow8Ut7U6DVEGVHot8L4
7R9EoeELxEEaelbYxHgTWJ1cWTg5FpBIhHBTIrNZx67cu0HACXTUZi6W0sLrEiUW1N5Z4zWTwsAI
LW3VtO7mdpf1rzMPxXtdBEY+aKJfFNkiDhHVPq9oP3KE0aNpdCfpVxq+XV+xy4sItUnrjxDmQhfV
UTCDjxQF/MYQG5CAiA24UcPuLUPJ2dNNom7DZBYf8zFFy09ZDoe2BLqrN3ZCvEvSWOM9hC7iEfNB
zEWviuS5jFX0EUeya4hOHQFXxnS1YG/0j0F0suJdZflxZ7m6cYw1p5Z4H0AFXO6sgRQIKmiAYmCu
1UD1UmeDzt4bmOxqJScTPEXd6eJRa5xCQ0FLcK3aMQD1XH2qvPa4y3rSl/p/pDP7IUzqpE0VTLgQ
N1F7OxuBLccf5uQOw6to+mntNzVH43U7+yOSWXFrSKo+p0NaSvA9TR6m8pipv66b2aoPsP6IYO7V
RSXOUklFgHFHrD/BY5iZd/0M4ipetwJPGfrzxftLzQrRTCnKgEKm26L7LliiL0e82veqI13ow3hy
K0GfZN1TKS2wW0o0cG0G0zGQ5jZqz+B1s1483RmbYNx2YeXJbzSDcb4Hcbdq3er6YcSMDsjD2hsw
iFzfLIm3W4zHRmFfI52A3UI5cX4LfjW2sp0/0o9wV+zIQ2nXm+QJBvmhcW7Da3sHVGH0paPSYqHd
/nzvdKVK6+Crrlme4uE9JGDe4GGFc2SwIL+dnEjZ0KOQUyUBaI8SW+62A6guri/h2tVmoclXtmdh
hTK4awYMcKIpK1WewDvtda0r9kNiSwrn8K5ZIhDuMVyM9i/QyjOHFyxbam1FKNCCyAqQDhnIMqa3
Lu7sTtsPwea6WquLtxDGHGMp1fSxlyBsCAZPD08EHfB1/3FdyOraLYTQj1isXQAPiFshhBgIe3J/
zHQ/BVGgGOyuy7lMKeBYKZhoQsFVQ2Mr+/Ix2zycpwYhHCzydvE59oONcrerSV5dyZ4ZPaagCJIK
PBFyp6vdSbmLxve643zGqrp/vuIrz7lQF0x9fSyU+IocsCHD+6jdKOljIHCO1poUJGTxnkDztQwO
vvNFtSzEcD1BqbudbzG6YJm3wuhirOD6kq7ZB67XtKQDrqoLAC+97KNmyIBW3IQjWta+NYDoGghn
FucyxYZ9A1Ar6rB0Fufi5TgNEmjVqRQJ2M1Ol1apCganwtwmcgWoDvj/BBQgc1oDjdfsjqY5l55I
MLlzHHWjqR3FTM3q5yAgVwqexSK0ZGcmUeeaYSr/FJtUA2xjgJEPr9BysfKbCT26nmpmbXtAR+wo
bgBKPuJmUqul6qpKHvJGt9Y2ywRmMl7FSO2h7ny+WWkuS2gXB+lvJcluHniZBIox0+4mToWeHlf2
poMqHO44gLnCTZ+JK2WJXnzBwEJWddj5GN7/hTZZ1b5uE6tCAAmAoUEKZ8ry/QadGgkgz8Wjp2j2
MVhFMVjC8YGr62WBPYxSxFKOtPP10vuoq+YZnQZ0RMsdx++1VNv6qE0uEMk4B2lNHWCzgCTLop3L
CrNmAeoO1TTBOyVTZpvFqU/v/369sFZonqHAPhetW6bVA/A4hTIaZSntdqT9/BcBYAcSaesLHi/n
q2WFZAwtNQIn/GAA2U50THDbcDb9K8CxpoU5QAxTAj9BAwXzuZCilrOqJgTNH02wkTBmJuNFm7mC
7iraS0gGtxIOuSnaFq8VcnV/FoLpzxfutC/DfqrTJHWMKn/ve8NRQ5lzbNbMbakbczwlIGeBXBq6
hfI3TVbQF4QeDc2feD1Ba9c+0OOChgXd3XhoMhsFJhHDJDOIv2oD8whR9YnxQAfPgLon99YIfFI1
Tw8Y/+BY+Kp6IIDDwBs4FzARfr6CGcqPbdBDLLB6I0xWKm5CjI+0UF5y4cd1U1w3E8QJJKiBwY82
rHNZIpLFuU657PtScfTgYBR3k34bxTtZ+VlUW007CfKT0W+vi6V/64VxIvQjRKGyh/f7uVQ1LiZc
CqChXkf3MlBE8x8VCEnNZKMO/nVRqxHxi+8Bgxoq5tHORVURJmGnBq5cqKzbIcacxaAc2jDxrotZ
2zMk+tHs+VsMc2NPG7UrWh2efAqU3laG0cmMwo5BY0Y6HjA1TxZzS1cTMAYJPWT1+Tcz3efJMS1v
Ox7x9epDGJEJMKBongH2KiMmzOKpURCNHTxGfnYNcSqxsw0Ab3W6amdRfZ/kqVtUH3HNa/5fdSE6
+HIAYqZifoM5AIXaR0YlwzyqFs+7Rqq3QUh4WKM8Icw7n4gGMAQnCImH5GUIxCcj44lYNXPEKmDk
0PslO4EiTIY1zgIiySR0P6sw3pXD5ICAd2sO36u651j62kMEo/v/SWMUUkQ88ocCXrGTZlykxc5D
ytUOh3czEl6D3rqVtNfrRr+aT7UsAJjiCAMnWmQOFzpJhSwWILKIytMwZ45Uxs+GWbzk4mQPIDHX
csltcwBpBsqbYk2u3KluZ5Ye4ME4AW99rf98CnMAA7SLpmmFsGNpg1MJOHq3beV1WuulI0fUykJj
sF9C0hyRAS9lxjybWp6r7IsPcgQJfAPwaDBSbHUjc0Pzu8CjYeFJY7Y17swWs+45jiHey/r8XIUA
X5BRp8GTybrR8+31PV1xLhjiRqsFWkjQlsvC3TRlrc3y0CF8a8YGeb9O+KG1D+ZccYLcSmzFaDBK
o3CaaApgoX7VsRbiOuvRYIkOrPoJcOaacJOrWwlt8rWM13PJyRevraNE2/Ep4T1YRBh3ZmYdWJAD
RLp0vh+BJJWPe9nbdcTr24bTHr5iixi2RwYcY9aWDBXPY44o6HUolog5TWfuR9wrAPuNZmLghdhB
Ytzr6t9yMKKhCwINdEFhUANUY4xuc1iMQSLAVZNB3nSCabcoaQw4Z39vGwsxXxXexdWubuRSa6mY
AM8i0hzLxglK2R9ljidbu5UA8QstZGByA+TD188XgipL69pyHnBDLmswzYZCmgCBUa72U6qehLGJ
T2Y8KZ9BBczcKS8SPyJ6B0TISM+58HgXZWu6tihaISECyFQ0VZ1vphCZctaaEr6FHEoTkxNDCwQ3
ene3FcUXRDg01FOs6v36Wq+a60IsDV+LJQA3Xjb2kYz7+yicqgIHMdJfisjcCNZ8XxkE7Gpc+lCq
CnMtO1OVuVdrwRgoTa6kTin/HEtv7Deyugutg2HtDPXOap8BHlZpqa2R3RBwnpBr/mC5zIxTFYVM
MqYB+sbj91j8Psh+OlPO5RsgE4VWY8e8JCtvgRm/OjdBFRdgA0N5V0Cr52s1P2dBaMsFcYbsu/TX
sB/UjDBcgIZFzFUD6ut8P7uhnYuwgBm1YmgLzbY1FL83HREE90PDqTJezv9QYcgpgB4O2AuAJTgX
loRj0AsxdFP0UkRuPEYDyDCh+zhTMZEvBZ9qSEoviQb5RhalRyGQFHcwWt1BAthCEI+y3XVrXvOI
aDIADgkF9DbZTJ81lBXRcoBAlIHpGVq5V8kG4CqmkGyqjDfmddF8Td3hQhqb0UN3c9iWsYb8VH7X
ScDvq+oKFMMnOC8nKlR3yIib1/KxivxScmXH2OnxU0kOcNJC9iAaNrkfKTsPD49l5cqJ76J1cKTP
KL/s+bYISiMgpYZVGFEXTaryDqGBs9Br4Rv8pBT0RdZMQ2eOsJUEUS201FslsZG4U5+gv3wyhp1c
z1Xsx6PVPl7f2jWJaL5FUyNQ+ZCSYWytr1AxM3P0qmPkitx1YYM8mTgnx6qXYsyNtjxoAqoB66Tw
GqHjJmgjxoD3+SLi8aEJ6GTGo7wR3KDDJAgY239e12k1AC2FMN5XHedGHCII6QXLsseSOJhP9FJN
cVsy2EU/bmZkUnJinYDnhNGo+Mf1D/gy0TMtMfqKKwR6tQGziYZjZh9FPP2JMCNHRA6KS3aZN/wf
Z9+13LjOdPtErGIA0y0YFCzbcg43LE8wCOacnv5fnDrfHgniEWvv23GNmgAa3UBj9Vqe7ZGRSgDK
aJvomz2btwgfIzXd4WfrtM3KGfcSsyl8wLzsJ/mH20aqBSY+ADAyX9pOnCoH67s5vP+y/HE/uOxm
uCHfqkdoC+zCTfwMwHzkyPu7ZnLKgEJ+YOWLLvxM+CAhgJoqFsWOcJkqR8+oc7zz+RzdP2ytofAi
VMGOBu4a6ImCNv9C2adOpjZo2wBgyuEexBpOXfp9cWzV2i/6lRx/kfNmU2jON2a5QcBIBVeOSx2U
jASmrLy1H2IAVx/6pL4Bu2W1zTvgStWx/6HV43AT8+HndQ+7iEWwDcYAe269Q1+MGCh6pg1SZc1V
Tnh5YGZerayM7iLBzhZw4oaQCBqZLpgJGEgtk8yYL4d665mSTm2zuYkL/taYo9NNjWOiOfU/DAoX
bQKKPQCoZGHXRFrLQ5y7cYgojxEIdxtzc93ARfDBmHS0G6AJ4A8eXQx2aVTZVonO2SA7TpMblw/t
2vv5n1wobn1ou+IBB52IeIsVBmGir7vo/tRdPof7CMrJm873QUCwZRvTdmp38rwedDmRk7pre2zZ
tgFtGyydCeLi2WNPdr1lVIPCLdxc4m2EvuWnzEdwdXqvBgeWIzmla/+eDGe6Zf4w0fpmtaFjcX7/
2hdbY+SIFxoZYL+F3izSMnjDHcudnHzTe7vJ6UNXcVby1+Vj+7ymJzaFNeVDF7Uhwa0mzGm0QyvU
3nyXcvoDL9Q/BwzeBUOSF7wVt2uMN5fQH/gprmugM7NB63PRhVWoeQvGbzZ3Sr9B5VQGsqbbDgzk
KAwgl2OH80iJljlDpmiqu+7Il9H03PS8eU8WumgGQIQ1mFbNYTcoXq8YOO8/To173c7lUVQYo+BR
DVeVIJtgqDhovyp/ek/3BGJwVeToHvF5RtvtdYsLqfNsaKIPRU1NokSGRXl0yGe+BW/7/XjLHrtt
QtNbSLo6upM9QDvtRUH63BcrM7vgT+f2BX/KIiWQOfQenHAn3dtP7DXZla+RC76r55F5E7RyaOaU
z+rdtPb0crl7zi0LVxolafqhUUKAfCzguOO3MCv8Zo2l9jJpnRsRklYV8D6qewxvUkDf1UJ9VC0e
a3ugeSO/MqWhadXTured68t6iSE9dyRTOJINGFcczB4rb7qDHG1tWjr892jTtqfqfe8Oe/XG8m1X
e75ueHFSFRtHMaggA+YhjLfo61ieCCZ1lulVwZeXvwZrD02LuxEMX6ilouZti2FXLVkndbON0ja6
ba/bv+NJuYeMbbHFRc//DwP6a0zcHx00E1D3g7FQ+63L3oQszMjaJriomsyrdWJE2AQmJHrRaA8j
RDoExO2MQwTMYpZqfqXua8Wbip+q9H59YCuzaAruD60re1QC2LS5mrlVEt3q3UhobOeSl2vAoF43
t+gYJ0MUHCOVg2ww8wgOqT2EwbHsnHatj3LNhODzoR2Fk8k4lsr6AUC4hoqIuUa6u7yxZoAriueQ
gRDBDlCj0UmvYxy6fSspzlTe5mgMQfbXtkGy0/mzKYHnWKYaQ/HnniRuZEAoca1kMTvE+akHDnPy
FfPiniQkO9MKXFPxFUO1kzWqhgMFWYkZf4XDfdqiUTdwjdCzV8mVFp3mxK55bjes0F5a1LA7Rk+q
gVbtLdCvLuoB153l8jUNGwJmbNAjoJ55IRdUTy0KIAHsSKTllGAcioF3rSB3VdBX0nBM8b6muFKt
7fG0dt347Cbi3KJ/ci56A5WNt4vzMZZaxFE2hr5IyMY7TSq9OFljp56n6cIEhIeAZrDQCnehHMgD
fVRUDC8urT0xJTeRG6cftE8jN3dsLcdf3s//zOb/zBF5Dj8n3gI+xDIf1Rjcyrihmb+LQXFZQEn9
CF1CWmVQqs79NOt3ODBen8oldyH/jBMLem7Y4HI9qtByAlisdkvN2DFe+SbY0DoAa66bWjweEjRr
G6AjmRk7BddMQN7QZhy2rBovB502Uaud0CyQuKPRUb0YvPnfq1q7i5Vki291J2vlJWN5ok++QTgn
lqhbZkmPb5DMKHiuTKm/SY1McqMph4CYjPJZL7FpwwZr3Bdcre7Todo0oFBbgXz8fyYD71F/2rAh
mXE+8UqYpNAIwYfIRuQEjdu128j8KTV+rPuM0NwYQAhCO2j/DmsRcnHNIeQCYRXg0YGmOTetjrad
AkyKOeCfgCjE2i97rgWtHHCWYj0KWug5ArROB4jq3EokDZqUF9V8ztD3rZFvQ1CG9+OPFadaigUo
KyIIgXsEbO+CA5tJwRUrwjFK7RBiB8gZZKaUUr1BoThowd8c4FUjatIASgf9j6HI30H491CSAHXh
VHsJGqKtRKfF0AhMCyTmgYBTbRHRBTY2JKYqReyoUy/QgkduTtsGuldSD3qQgD+QNvX0IfVYsnJi
WDyrowaCJk34FeyLSxsDiqzhdcmJi2NlDBtekR/JGNO0eUQPpauw8DcaTaAz8tL1Le2KD7AShl5f
qbtaj3FQA92w/XF9heYdJUZSrAuUilAKxlFQWKDRrMuyGRGs+YCmrw7KeeMGhUcaBMNdnnV+AP36
6xaX/PvUonBuKtBnMo4TLEKRsqQajmu1nHxwHeot0tob05KXn9oSvFyRmmlQe9iKcZq2e07N4rXo
t9cHtJSMTo3Me+AkO1S6hG5zG0ZGxMcoKikHC769D3CR77zrppZuQ6emBAfKk6YNAX4Ac12jOnXm
gcPG5J9BzFwV97wR5G9FuxKTl00CbI7+REQjUa8r6gsed7NamByUsBQ5VazuRhvyPoZ9F8zcbul9
LE0roF9t6UQPsUOURiFSA7pYYaRJ0BoSCDFxot/wN4LKM66xh/xWo4lzI3mjE+zsw+AS9Bint4U7
0eD5vXTIbtjz5+C9/EVW1ngpjpkgm9LVmbQLb+3nayyllT6GCoIy6kVUNq07zlbPbIvOigqpDViX
ivOTkIDzLJ10PYHSVfAA+XE/3zOvs93BUX19w/zYLXrqJCubccl350WFCsVc+RexA3mB2kFeQzcs
M8yxOKZj16dujKipuzwpeidijf5Y1+jcXDluLA0WfXsAqIP3DUUpYbBVkSLXQ83aScf7WPMbtGf2
a6fEpUiDt0/kUQh8gDJsdu2TjSk3Q59xvQf3ePslTXcsfOH2i2H51/fk4kgg84YlQ5vsRf/YZA5j
gnSKDWLxp7btXqMqpFY/edfNLB5J0Dc7S5TBQ3B7Oh9NYwcBkwd07iX2rR56RnzTZ/4IzsP2KOte
rnigw1KNg9I9Xze8OL4Tu0K8DgelDftwmmMo6rNxtNPKxzyVVmZxKQ+djk7YYBHjE0vnrtHQJIVT
aebv2ejW5gTkt0Vm+rxowV2XZZ/XR7dsF/q0Ol7LkZMFH9H7rNTqWTZl4qnDU+umMyHwOkn3gQRi
AgUygcb3dYtLoWRmWPx/FolwmQialHca2m8dLWeOFUFWak17a/GIc2pCcBXc8EhpMJiwoAtUtNhZ
XsiOrH8rIE2rblV0lgdrT3hLecLGAQ/oPFSXL/JEoBd6Pc3893GXe5b+AcCIM8S9q3XNHa+gL0DS
g9yPu+uTuWJVnEyC/B53Haxaw/1UAP16VMPXSjrWZFuVTklWvGVpL5wMUqRgsTW7jSUN5vroKU9u
Qg3vkWt0qkseeWpD2G/5UOUGU2GDxDXIyahOQqrOD9CjOzbgBVjZeGtDEjbemFrxWMowZ4ZfCXjy
ssFb7XlaKsuj6xh5HG4PeLv49KjFrClrHCScFrBJ7itqxz5A4WD85FNs+2CBzp6G3IrvzKGpJmes
mHSfZjLg6H3M+kNYJslNo1uAs173noWxz3BA0ObimgWqbWHsVmbzosH9GlWoXcD2tTlQqwtWMt3S
boS4FJlhjjg+gFLyPHCD7K3KtQ6Fwr4v9YNkleqRpfpNMvS4VFb2ZuzU3sUZ7hZPQ6BEivLpPwwT
sBwN5zewZ0EjRfgA06yLNMFlNrCeLHJE55SyBhu9ZNIheFU+sSGEHK0rpsxGzdxpeOTE8eSRJqf9
JLtmUHkNlw5qY9KwM4CsKp1Ys5047aicKTSGwO0IaPegqbSRP03UBK8vsoHRCTecsy8T9pNlxmVQ
z4XTinm29tq32EN7tvbCtRDV4dyWAbQnkNcXVARGl9RgXMGtUq2+4+o5rF6uj2Lp97UZpAiEOs4A
YuQB4z/IV038/oR5GqF9hIR/3cKin4IPBlIR+Hwga4QjGYMERKMzXC5y48ZutkPtWTm02T5ICLU+
fTP0KLmswPAuId1wm1ObczA8OaJV4Uzdh35nR3uyFTpuwNdByUe+se8mvDm/1gfbJSu136VND1Yw
QJ9mcO6FzlJiaJBzzefrmnRIjI2ES1u29g65kJaMUxuzT54OS5EDuWnmYZXQM0GNyJ3S24C/AOwV
g+lx7Qi6uPvmdmDoOuNgiNLGub0oCE2lHnA9aZ3OlV8GTjuKZxAHsrw+h/LNLHgj3TR+svkPelyz
DAQK+egoxA1RcJq6HpnRarincWVPwn0xfFp85S64mD1ObQhOkmcxaTOGi5G8MSnfMk/9CA6tb29C
ajwyV1mpEC06CHpnUSJCcgAL4PlkpiXhYTiLN1sKssLPPr0dmxUTAHfhR8SoNN+nZxQ1rnsiZrKJ
hmqM0czgJBIvX2Yqmx+6HHev6Dsttm0RqJ9Jndm7gEfSnZlFzT5KldSL0OO0DXI53LGoaj7IEMhf
ZZQHW1lhkx9JOkP1wci1Td6xwAdwv93LxtQROpnZ9AF6MKhbsCGBewxELoBUtCo3HaP2tuEJfKQ2
CofXrXpbj6Z0X5XB0KC9dpw2pVKyLzVSklsjbYuHoKiHA4l4c0ykqkVVCkLaQDKk9gCmjpq5TFZ/
QJ0XaPeM1IEKRouieW5bzpEVOn6nm5Veu1yHwpBTAKhU0Sw0AeSb0Dr12hgx2WDi+kekFLZTQK7n
QSUynMBdb5FtWAx5gaepsjpwTZu/LIh2HZo3XbVsMzDakhBoSzvv/dLQK1/OejvdtKxst3gq6HdG
kHLmyFOovbBksva9UUMtXh4yjXsBSUbI+6YyOaiFHGxZbw8RLWq5rmmLSfR7dPe7ejVJH4NipNK2
axPutKbe2X5kdHyTTrbxnjYhMAeyLD1HSHGfU2AF93XRE09SQq11OFCrCeUAJREXxFek80Y5Vt60
ScVVnw3GTZK2ylebVOpvknP52JtJ5OWVwnGnDNCk5EpZnrylsdGXACrnya8s0Id9hM6Y10jpul2e
KZNT9WN6i//e3oaWlUGwztRuA2lU8ACrhTtrUKNblevQUARvY0FLPAu92aVqPPQZsyMQ81ZaQQti
Jb0fpIwlm7YI1V2u1s1DHGmlD8Cp3TiRpo17qPD1n2YXyoBcVXhUssC9u+lBsAkoDSCxRyth9V0S
lFGB9pH5mINGxicWp9ljnk1G7kZFWOzavCw/GDFCPLIrVf9FukiqaKKMk75Xw6R5j2JT8qEDUeyD
Vtaes7bQgh2Iq/i2jdXpAT12mZ/Go+5IgWQ+6GYZ7Bql1vF0T/CG75VtGSjUyPB4AkU/CJxskroe
HpKiGzs6JHZw6HUp3RqBBIFOXkgKNaGy8yMDUOdZw7yEtATM9Ykpep25kB9MnvOIDE8qa5RPu7Aj
hyW23FDIoWfPmdaVX3qCyiNVM6OxINAVlm95n9gPgc1q0N0VmoamCZLeWD1keqa2G/wkr/tntRzV
ijKpyr9BTTB4ChAPz6rB09pJLDwq01TNAZNPuR0+aXEA9gCuhz1luL8+q6Mq+XnQaiGVczmBzEIw
9K9axfpdkKQVlB97w7jpCzW4Y1qDDZzL+oBdNJIdNJm6m76P5Y8x1xSqxiXBp+tWkALOm5t3aYXC
F1XgZbsy4BJCh1HFI7hIpmpPKik+jtEETCY6jMtdCfVHP9Mb1NX1KaxQpdSHg4Sz1y/IDfQvhWm3
u9RKbADa8Fhwn6GMkbGxDN2iyqsvZgXhHaJh60pVOv4wU7X0J6JJuEJmQ0hrswA8bRpHdsM7jtud
PRrBpiRR+jQgXPtyVKsdhSHQlthF6QNvGd+SIo8epWAMt0ao6dgOcYGNZISNxzS05CTj1Pk5xBA/
UruWKBnD1kvH2Nz2stkN1GB651bVaOJxQFEBzTRbPEuT0QSZDSl7j0cZ8fIu1vtNYRiV7Vgp0ScK
ZsvahqIsLxtXDeskRN2iAnxFL0wTFASgEPBakzeaYzIz9gwlTp4tkJnXNKsHCUTmEI0ZnakmU+HY
ch1/o8/EZlBULZvXMrcDb9Sq4sMkQbPtwiT2R5LUHxqTmm0JljenktrGq8yqcEGw2b+EmTS9EaWV
v3sSW9Q04/wBMDHzwMAleoM+u2mnwBHRbCEBkXb9SLl49J4LYzPxBu5Z4uFAl+tgrJFJU9uDqFFT
JXQsXStbA9EuZWxdQ+8T/BJkMmJ3V69GuFvGOLlqwV6VfpfdxkpWyuBrJubz+cmJTgZJE0jNYKK1
nuyOUxCEyGv8DGs25r+f2MjjqkNPMU6mVv5dziTu90Px+F9W5O9MXRxMrRbJCMMoECpK/c3KP4PU
6au18u7SdeV0RYSV54oaMkOHnQwtNdpL1P37QgxIBv6OQzgSSiWSc0AwVWXqlYCN1/qrYr1en6u1
5RDOgVGsah0Y0HClrfdR+1bZT3HwcN3EyjT9uZKdrDhUmaE/XMGECu3pBF0j1Uob4uIYiD2Dk1FO
wfY/dym05cajnOJikCp7Dt6ClINYZ+0SN98uxLMsCLn/MSIsRqdBTkBuYMR4SL/KO3Y3bSXHcFu/
h+CQU3zJ2+uztnhrPDUorEycALIKwglUVBwFue04bY/dDaBXR23zYrvyYe2Ss3RYB2ReBkMCVHhs
8bFctiTQDDaIY2MKvEd/tKSHVr9l1j3QydeHpi6FzNN7gVCt0EgyVH2Me4FOAWH1q/dmd997zHKM
TXQ0XNMJQbHz3uwNam+K78xBinghCt32KKx4179lCY0B+aq/dxThVhlyaUTzfxA5nfY4cV8GHEQx
P1T7TQZqEEOXChqPPlnrLF/aFIAog4nCwOvQxWW2arMwV2bEoFRvypk8sqpWZnnxen5iQQjmrC1U
Zs9wQbsdPwvl19z7Z8vod9bw4sV/2klyJM1aH/difYXIaJSygYjQ0dl6vhfrqNZqJfqztKqTAFKD
wsPWatG8wu75j5W1m2t64p48NSbsybI2o3aQYCy2UFvjOx180Nj84C3h4XbgbwH5FZXfK0Zn57xm
VNiXkHFF8R86kE7IQSFX/Ur3KCs75KfsRt6wyV5WzM1juDSHywZoXoHmE2sPRC5LFkgzuOShQt9S
svvBHXbbUDOlaGY5Bn69wyOEdcfu116rlhwIuKx/LAuza1dTyILZRavEh6jINzvIP6vXaGOu4JAu
xG5Q7gMb6F9Dwoxmdswh6gdDBA0tT/mrP204TdGVRajxK73VH8MfuO7dzXqJd9WLtbJPFqsUwL6h
qxPSvADzCVXdGpc6lRRY0Nv8sbm3jqSg1qbEMcuxHeZEn/lxvMGl2nbX1JQXK1qnloU4qNthboez
KzXvlk7vcSxWNiATMkHcZoV09CvKXfBL/Yg2UMdca2tcemuF8PvfcQuRj0ualOHgDBKS1x53su29
YtLktXeLvbTh/lofylJ6mcVcQUyAl11U0c4DA6/DRDVmJHEe3HFOe8Nvik1f3wZrT0tLp4FTQ0Lc
A1PSaHczwFeqntvqXWO7do0Sbil4n5qYP+HkRBOVcFc+h9bJ3EEtcsMU7T8caWZ5DlSq0dp8oSKc
o4mRqDNOEUK7/YgmJc/WV0rES0n45DFDBMgrdVrLEOzBPE3WobeSfcNjMANykIyq7vUgdrn2BDl2
5iOEHBxuLkJSSBLJ0toELUhkBB2+5oFThAaA9UjJq/qvyTaAgkA+n7UjQNyA7HC+NnKqtZ1tg2yD
gyR5ijIPd8aSwvlogQhLrw/s0tfOjc1zfOIIU54lwVCCcUMujqh1Nf1LvFb2Xpw7G2RBNhr/lAtP
kFhoJoCLovG6zCCGK1HT+iIQ2NSNnMahvjKgy5iPAf21JtJRlEbZ4IaLAY2cPIXWx1S9M3t6wDvl
jZxZXlIAoYST2PVZXGgvOrcqROAqs0qS/OGmuJdDhz1mnVMmNL6zvemOO6CFf7Y3ECwH/wYax4K7
fLfWpHe5oc8/QAjECSsllSmY5BQQHRW11y5a2QILbYDnJoT4Z0pyKg0RZnbwFV9/Cp/D0O1csi83
xU0Z0Sl0zL3DPuT3itpu5V+f4WUnwgECLbGo+IsPa2laoPQSwjiJvjX0SIHMSEOuzV70YmUt1ywJ
M4kKzRDW845o5T0iDLCcjsYfuo47zcd/GRNemtFqaFoX5DNNqKPKZwxgJ4plajZ3KJZ11rNcbbtg
7aK/tM1n0S0odQM3joPC+TY3YmvkWjpzp0ANNS56FFvRt6S+Xh/QQkImf7S9/mdGiCY8lKJcrWBG
2ga3+ZcEic5HUnnxoXf1ozXQdK1bcv7B87PlbBBSUxpgumD1E+Iy6qMZMHMjGpbNr0j7HsYcfeb3
tbGSzJZ8AqB74OnQjwKlNmF7t3XbsyrESjHp0LKdrN4l/Y2aP7TGSsFk4TKHAZ1YErxPTvW8DZvZ
J5RiM1X2TdTYDdUyDeLxResqeCRK8nKjQod0qOtfhf5+fQkXJxQj/MOVYV3UAtvKmqbGnicUDXu2
RFxWeg1iNfu+bmfRIU/sCEdzS5ISjUQyZtS6iXQwf/hSvRawllft71iEU3mKl4m+VibktgfjQdmF
KDs/1L9TVDi3xlNjutILqF0mh4PVY03cYikLkb/D+4ObPUmr8WCgcscxjUP3NtoVLYdtNIyUad9j
wH11vJO17fUJXVw4kCfqiownc7CpnO9w0xrVHj2mSAD5L0JGx1C+w9FlUHK5bmdxUiFMABE5QJxh
7txOOvJWjXQ4aDxtq+ir4M8SOsGLe30N8bQ4oJkjAOPBI68Y8ROQhuQsAl2NnUjo+f4GBSuu/NyR
q3Jld69ZEvZclQR8DCpY6tUH2/JJ+qbVppOt0kEuZlCQd/4zJCGDymUCUoQAPCx2ad1OXU41owJf
Y/RS1OSxitsDlwtnCJ/V4jXj4RHwEirxyeutD5LkdCwqbzK4Y5bRDmSIu+vrujYJ8wHjxGPbRC8N
UuLblNKtba8gt3LoVtLjdSvztr6I12DRmM+3wFiJN1VW2r2qdCDhsYbPpP3uOhBo7eRyPxZO/+u6
qT/Y82u2hGUNU+RBg8AWVLjf1U12H3Z+DeIA1rg4jrkyOoYiJ/+xdk2cJ+rSrGnPVCEATovUYGSM
lN6K5w0y3OfKPR7X6PWBLa4UeDD/Z0BYqViTijEuYQBUGm6kHcbGTUrwRq2hYxZD9Ikd4cxgqnmX
Gi3s6PyTpxPVlQcl/nF9LIvR5MTGPNYTr5OIBDnl2cbYpjSK34eCObESOlH7aK0JaizOG7DzBPVK
kIGIZFs968rUHGGrKvDc+z7UVJadQV4psy96+IkVIbGFVd3LmozIH2LLGpHXBNTMvVY+WoFPrOfr
07eYZk6MCRlOZkmvKQBrAq9wO3No1V7V+7byDBmhutqW/OO6uZUZFGXR0BMGTNr453Dw3uabodiE
2vMqz/pCOQtnIByLZwYcwJTFez0pRg3Ijzlvpzem373LHqOQwc0jOh4zWh/1jfHUul8jXSukLXr8
X8MiAlMp8rjNQFHv1JK1mRQQbRjNbdCYK6F2MUKcmBFSqM6HpAiAk3BAkE45ZLDVt+vrtFDDPptB
sem91LQUYCxYmNRvAjKastr29ishj2r5FqrIKsreyr0Vo4t7+WRYQnYbwg4PMzGM6gWyWVZSnMYh
5B1SXH5QEvzVct0Ps8fWwA3E/hh46EjtWy5nz90AdAtAAxHewa9/06LDnnySECqlVmZ6wfBJHQi6
TOupKPwqeazW2C+WFlTXgJeWQc+lqRdQtKJJOxA9g8ZPdfnYOem0hg1evFmdmLjYejpnVo5CisPu
Yg+YEJCGgqtk2rR+/AulVTR8XZ+5VYOCkxo5k5mcwSAY8L6zXbDvbhqgGyo6fctUBVuhf93g0lKd
DlDI1jaLjSrlFuawextkdzAfFPNdX3siXLMi+GgQwR20EqMak9+DhXGAQnT4bOzv64NZCiRo1sVj
LqrT9gV1h9HndTSUGExaOiYuHDrxp2itf2Qp+J8YEaOVBfRbqFYwUuLFKGVPNoiYogeronV0AyS1
W3T1ilMs5bZTi4JPyHiO6xMVFo3SJwyCfdjjgDlnh/5XvMqxujKHYgyz7LYD0xmMSflz3LpD96Kt
pLMFkgsCInMFDPfo1QJXruANTSORamxR1dWr+tk0yno7jKpvltM7eh1iGkMdfTPU6OjgrFP3lpG8
Q2YC/SpQQOI/wZB+0NPe14apWTlDLEVSA6hnKHbPVLdiD5kNQuxQzlGCsjoJ1Uo8lxkBSs1f4Nho
zJWwvTTNp7aEfVexHCyrNWwVZY93Y4iuVD/JWqP+0rY7NSJMNI5EzBpbGMlGNBAyxc2T7i6VYgqY
vH996y3FYgP00aAUnd9wxeo5jn1WCJ0bpD7F1YeYhtnXdQOLi3NiYB7ryZFVjixmmykMMAWtE6rm
gF+OBt1rTjwlS1fO+kujMf/wqJtAbqOz4NwYoLSjzAcCurzhs+h/lv9aCAHHq9PfFwZThi0xWQBy
XxvlW6bVbmg+N0O6EjeWpuzUyvz3kynLgBoP0mgeBUDA+iaQPaJ0gEvihvt0fXGWvBmPzCgZzNn4
Qqss6dPcsnJk4pHgVbD2tTbwVXMlbiwuyl8jIhwo04NOrWUYCcqMWuYm7Nay79J+MWd9FrRd4JZq
zqH/dMIqcPYPEdKUVm6nGkoY6Pd6jP7LVjmxYgkNR5mp48VAxThUBoWy7yFYJStZnikkQPDloG1Z
F8bRtjriywgLEMFAINuhtmC093zYxLJrBbuiesMOjZtNwfCeiv2KW+Z1f1ieyH8+wBCGGAFaUaEF
cy6nhk4FLVfjJa/fh2533cyy2/01IyRGJnMlV2qMU1GAW0VuSJ7staPL4iYCqAnd9gSUY6KKajBq
AM4C24/W0Fe9etL5Ts52ee1Fa7XLpSyPVux/DIkxAQIYLJpJxlFFVPvbvn8ZpS1p3qt0S9beOi9Z
mecAdGJMCA0kB4wdoHYc+1o6+eaTTTkdI7Qq0OOBvr1NDvUOnmfQLbDu19ds0TdPLAsXdYhiZMlo
wnKEd9wpzZ3Vtil1zYTg/lHaRzYUy7CN79vUrR8lR7oDX+aG3Zpe6Za7wvHo4LGn3s1eyIG5a/fZ
xZv0yeyK7p9ZlRFOEnzG+lSe2F3+qrgFEPBPv6XP+qg87Fu3otWt4V2f2RUHMoTdkKsDqceZHF9N
gQcHmTdYDtsDUNYk/kyMlR6dJWPgzZ4FrUDEcwEqnphNknYOxkOc+1xV506PXTtV21qx0e00AM5c
rHU6La0rmASAYIBKr4qH+vPwrDUB50GCoymwBoEmU7wpaxqnDdrRy51uUR78xlmZRuVdrB5AuN0M
m+szvHjBP/2C+QtPEoRkQeaUd/gClt+pgzsxV+/9IrkN2W0F/4oeA1x4/4tN1M3mBzD05YmFTWB9
mgYKv7jUQI+6J3hpPvLiKFU3oYFGdSOlZR5TaGGtmJ0nU6yn2jMNnU4gR2VfEF6hNQZqVDALNjjp
VxFPNZ5SACoBbi7dZXVUOpY5JZvSLAZoA0dz36Xa45JqTTK+rLE2XdvHKwf0pXg/PwbKgAMBbSA+
grQguoorlaVOUD3W2ltSaVjzfw/LR+nrxIh6vsZqNo1gXApTsCVC9nJvWPc4LkVrLcFLvnxqRfBl
tFaYnSRjKLhnULPUqBlsr6/gUg4+tSD4aiArKTqIYUGPH/oUVUPYIDY6qN3rdpYSJDpFZbRvzxtT
PGzEFrSOiipKITEOkJ9pHytFutOM4cYy2k2tNivDWvSBWe8HEq8zf54Q3EuUXTN7Qse/IYPrvHkv
rW/oGaxsusXV+WtEPGoOeEIkgNAjgNetUxEZ8Ie1/bUUQEGJAn4X9L5j9sRozfqAZQHGATRomdL0
W7rnoHEv/OwGlxt+ML0eqWLyIAC3X9XVnn/8YnODqgcUhNjeFxIQCgolVlnDN/LQ6WyKBHWASED/
FO9iN0JD4Mp0LrrI3y0lFur0GNzkrAGFyAjFspz9bKUSTKC/suJYrr02LLrHX1NiwU4ho9VzjpEN
LHHRQnngQ+iq6M6+7vSLDvLX6cUMH6c80qcAI+r0djMow8OE9HfdxOJIQKqkKGCFsME9fh6HDDSV
ddB9S526+KmB6SIG1xn7uG5jCUBlWigRgNRQQaOt2AGRGknVASiMJhdn8u0Dcdie/a624Rt7KH6g
8Kg9grld/aXi0e6P8m+e7eK369+wMM6zT5g3yklObY2a6WBZTx2wOQaEjoEsHwEGhZAXybKEe9et
LRVYIcoLMBOuDXOLuzCtspZAFJBgxATdCmAmgrbWIQB4qzUB0HGKKQaxYwjlq6NWNeDeW2OUX9j2
Z+aF7CJ34OU04gqrSnwJT1MDik2unQA1LN/L0kq+XDqvnFkTskxdp3kcQ9rL0bTHBuWGCb1vNaNm
+NpqSOwowB2C5j+ktjOjQuLRR/BNNSpmOCzuC9bjkL92vVy6vpyZmH3qxGeYZgFIn2BckvQQ6H5t
eVrIXCLf6sF7LHk8k2j1SwMNUxR6IX8LI3T+jx6qOo4JxSR+0xs/ZfYxls8gNFlzsMveAihbGhCr
UOzZx0QVT43HackHfFtbvKbxd9196RNUK6xNWj2TCe2axLXyYSUJL726W4DJ4iVkflwHm8n5jGhc
z5PQwqSPe/k3+UA/YbctXd2Jn3WnvVF2pdfLdHWsC4Ed13gZd0nweiAcCusQRlKTSSr27uCPnvoV
fKre9NOmae6z39md4af3Njx7Fz2spc/5h4UEBsNondRAR6nqYvaURxKUilHjJDjQSHs18tuo8a9H
isWx4Woz0wTrOHgLM/p/pH3Hktw6sOwXMYIONFua9uOdNBuGZiTRAPSeX3+T8+47YqN5G6FzVloo
YrIBFgqFMplMkrVBM1ucVFXbmsOnyjZjWLtDth1EWkQroZqFFud/oLgTgxE9vLRyQEWKxyRPbnd2
th1NwYJW7qwzFO5jFUPZ2GUNFPCmDupdbWWCa371oyyWMS9zcSr7hORqEQMgUUGk8BJ3mygW9J6v
NerZ4HJBOWTuNib2/NUWGBFGzau4g6qIGct+B3ZQS/FT+kEDL1ZOGFCC/hyLVQfNAILFrfnSM2Tu
npI0VmhEA3IEoRGUxVO0snwgOTihTlF4FYp0ovTWKiTIHdE/iq4dJFe5xSp2EjCtQ6EEWRpWP+fh
jdJKSNw5zdg6Sdo60oj3g8CVrHxFjA/8AeXXKVvJSGfBxGy6z417WfltiPRuVi7BMwguhoee/KSV
s7IIJvcgTlqZDribT5YzWoKP9jVDzfmJJRJfrKu7hvSKDCSt6J9JWx6SAMw5feLUBUgzG0hIab8r
9s1QnvCaKI1TOkS+YqHvBtwwNMFAWLSPO2MzppUXGi9qILup+hmrpoMmSqcj2f3Qk7sEc//Xfc+K
Qzj72XyQEncR6BTwszvkM9R80yuvNvolM/86zOp3AJ0RegoxhI6uwvPDFOoRuEpGqK2MxqS/xqBW
fg9hhpWT6lqEZwiBZ28yA/qwMgX/vWCRl/6IQNsAZ1gxZoYxnvmrZ2WaNWGMji32lMvHjAlWd2nI
+PsmLidAEGiUcatLuyKuglmkqkah1i4xkSXTjS1/u76HK92FgEHjLjIlqNMB63wT54YPkhOI3bL4
sQLPOt3I2hacRkYYOnVwRyav7BzTPjVu+UxA5u+6M9fBZhK5xrXlYiwLkz9YsnrRLN1EhZKMKpZb
5r9yapyaUdqOrSrqlL68FgnkkCAIjbk7FMb4LGPDMqVkTYkk3OiQZ5CIePJreoBY+Q2pXEwX3qQ/
Mzc9soMp8Etf4h7nZxnIIMyXDUjV2qgcn2/0JMutVMhwwGDrmCJHQqPjbwXthscxVzvqyKxBL39T
Tp0b51r9kA8sw5slVSrNU+I4v1eQmrpD7xa0vPLCrjEv1weq39cVuCzQcZdCm1BlYe5gVjt6Dsy2
fu6nHN9Ok6m1U4NEdB/PhnGxHvR6W1gUeOd47162KTP0pEKlXQ+RmynM1gf5h+KakmU5kNw+jRVD
iM6SYIc4S9TOuDI8ie3E+wfUnhjuuBiDUAKGPvMKhz/Zq+/BDw0T1RJy1DZ4ggMv/9YhRb3reydz
Dumdfhv9+vvOkzP8r8tvcZNLymBXsg38HBOixjGIt13wRtLt9eO5eir+rPIrnligEFp0CemAYtWP
FGNqINnQlZfrGGtHwoQcLZq/MAeKKPzcMFtME9cF2BCQmi3uVcy+R7a2NYIJV3TuWFIgOAgXS0Ir
M4GMOUTVLCTAeLpIs+wySLAjCQ3NOorhNP233aQH5I5FXOQXDnoGQiAA7WQMZkNu93xd4GBBV96A
FFXajt/z0o4cTRiUXtx0XxgG9HxRj5KRjjrHwBh22mcNMDITKuUYtssTKBfqKk6kIGVzGU0BCpEU
aJUx6DE3OZ5DWbmEwYQJiV2jgYbwobG1kN20FS0GR0e2z5gLyuDZMnqV3uoNiR7VSG2PVltFAh96
uWb0ECOIxS8xVPAhcj+EaD0Bb3iaudAC9HsDKY8c3dHEybLHvzRMTCWg4xvinGBnMAkPpHU9aTW7
zNygPmXG+wAyP5btaOtkpS64zC+N8hyKi/1xuxcaeHUxbTyiEwpTpzkcS/lyfT0iEM4gO0JqMJoB
BKWQsP6wpc6hf512myc5EOjbNtKjiLq5Z19sdZU8hKCQpEXlGazbpSbbgEBs99dLmbl4FNCqIvF2
0Ww7KiMJCkXO3Kw2f+BG35qBmTthEQpSQCtbtsThA2A0redoVp5gaynYUwtpU0sQ0CPK9l8sB4MF
2DYIKiOjfH62JLsbpbo0sGtj0IHrO7cc28gzSBcFf3+MFYzSzXS5YKZFwMUZQViCXiBlSF7FRuGk
lm+ZaMO8sfLYs6p3o4g2FjhUMap4fYEXofJMSYHuJoRXs+Qkz6ZgYAw9CWKgWow9F1X1qhbhJpEl
dNVkYPmXwCET2v51zBU/gYEiyFRjlQZ6ObjIstPChLVTnEMSVN50GsQw+u3UBN6IouN1pItQBKtb
IPFWEsR5WA8DkBrrBU17aHvypYD40/BOVJBh++VfE0bNvhjqnaDbBasXjObcXgj4yi1bgi+mVfMy
BKxwAhXMhHilCS7LVa8/F6ih8gxeQZMfwUwI1GqsufVUU+2DBrUVh2K2Lqij96Drf062+hqlmqvm
2b2ilwKjEW0rdypYkwdhUGFbMdnqmP1GN2+TfmOob7Fp+bX0zRQR5KxaDN4gCH3h8wm/ra2pt2So
ae4qxuiM0cOgjh6YWzoR88baaYD63v/iGDLX31NBGaEIDCwsgVg5Hd50e5qneiTyLbXfwHIo2MfL
QAQPjVnOGkcP6+LHl8wJbPdhBWdZGkcVLJQanlbXD8CKm0RF0ZpZrmGTCKvO7XEoWW5GLfxXYamy
M8p94tMmBeOiWYge3WuLQd3NkFHKhzfhxZMQizOJqWbmsrBwCLkXhlSXRR3c9GDRmdPQ8MWgFT9f
TFvJlFYBfNUASkanCMjRTEmzkcbkLpLBHV7r5BCo/UmRpINlVXtJzV/Kcrop1DBEkgG+po7uMw1M
o4x0hxwl3EBCRBbKmojM6LIaM/9UKFDgIYJDij05/6l91VnEolEOXj5jUyjpTo7mbISMLmq0kUDx
tUygxTp8hhPxEiV07U7EdrTy5SGwq0LaW4PsKx5i57+gLgLQJ4zSTBl9CDvTCatHlMr+/noEiI2s
Gvj+NEhLnoOkLC3TYgzhCOCEglreGsjrCLu6LmVhQAqlzMwsFqQQLwP2mulToto4lsOGbKTbj8FL
f9ROhQansna242f19gjW47vseKJ3oBB9fZKeQUr8bnqjYL0rXnf+JeDKRhOtchnWt0mZKeC1z3GT
UD9rX8yxmjBrP+xATQvOyNbD5OejUqA1kNQil7/6RcFDNqMjhuOLEgi7S5RDgK0n9o9xaNyhUI4s
mgTsQyvnGEv8A8NHvFmF6k8LmDhvnJoZt00kGvxauT/wYEF0CPvU0VbNeSWIW080lfA9jepRD267
7Js2D048WvU3Xd+1Qqq62dbPMhKwnyXe7PYXj+VmbKxgjJPcnUovr27p6CCdBDm/fjro0rutOU3/
InWCSPiSr25GRaCNcABGC9nVc1TaFTYaSFju2jup2VoPsp+76ne8hwxP99J9t6WfP//a258hcuvU
EFOlRYhrskjlu1HLD0NI7mKRBOqaHYL6G21KIDQDcxHnWYzSjm2JocORsNGvmnFfVrWnZLHADtd8
KAwErPoW2Okx5My5+8bu6WANOb7aXXQaNt2+dqmrvOcn/TNxZFEBRl2xkSUaZ/ZIzwXKmAGt2TSe
tDO28VY5Vsfpljl4SP81vwpsA2xGSE/hrgQxMreHfWJFJeJ5HLIxc7T6F96u103hsnDKIczrXdi8
aRakBQdk7mqKw/bNN0xiOLLkNI6hQCa6O0zuD8x5/nX9Eqg6bhyIWeGFrvDlWpCFT1Zn1PBR8rNC
DhrykExkFytBmoGuQcjIzg9ahL7nKwtIpQbV0Odutk/urJtn46e6h3LAQX6iHrjva8/Fs1CKvesb
umb1OlwW3C9IT+C6OFQ6RnmgtfBZqJlklQHyBWQ4RLnTyxmieQMXMLN3Xny2MQvNqCo6OI07JKI7
DxEhyOye1dahW/MmP1Wvxq482vtJ4Dq+ZLF4H7kE5k4bKUDqDXkuuKjt+wDg6Q5zWPBaG+0JvEq/
ihM4o7wuBNmFepc45Zt08NvWZT+gT+OQfSlynmtXxPLncMfRkBJIGRn4OU3tk535VLvd0fAKX30q
cq/eDD4kInblKb6jby4Kh9e/9So4MshzGxucHP/qDw0rt2kOC4uNY8u2ac08pX+gkZcFv6reS0US
zCsWbYLJENVJDI2B4Izbe9ZVlW7TpgAzkOyaLVSJ+4cmv4+t2GEJ2uhE/TMrtgyRUZRULNDOESQd
zo1MGjtSIhuUuzTrJqexPiEsC0ehinp8Z2PlbAqxJ6K2r2cB1C/PcTJNKYIolufndyUdpl5t3LQj
g3v9a11WqnDBzpw94H/A6UEP/jlMEpmhkfYjjuaL9W6eGs900EF8D3GCjQElvdabDvOQ8o21AWOi
AHttK5fY3Hktk2oE0Tywocz4O32tTmiwOmJE04KR2oU7YeTGKV7kt+uwaxu7ROUMxqIlDIYBtU6P
A2bFVMGWrhwAUBAjE4UxG2hA6tyHU1vwhVsR/r5U+YXsZBZ1EutZqU8R9dVwO4omQddipTNA7rYq
KLWbopgBj8a2OSkn8zgdbV/6VXtoQ1Ac+VgLPMzqEnFRoeSGMO2CvoH1AYEUIWzTzIdDaw/bAFU1
w/6tmR94ZzqBYm7R3ypo9V/9bmgmRnEMYl847+eW2ndZCZpfdQ7hm50Z9hhaFLU5rF38SD3hMKAU
AN57/uGnQw4gR+E2d0OkxSX9lcV70Dk0yGKg5bd7UcFzMN2j0h/GP1i77RBciSLftVUufwH3MSkZ
uqHMdJyJYJIO6DVS7/SSfF4/Apc+E83FmNLAeDzeEHCf51uZSiQIQVlVuC19kkGEmhya4djod5J8
0PVf17HmiOLcj51jcZ+N9omUp7N/Htsfpr7NAicZTkp8Y4t6zuc/dA4EJZ/Ft+M8WaVRBdaBb5dQ
2ZfwLxo99hANEHitlXSaiTFAFMHAXAK2Zc7/Q8d1jAd79st4RTaF5SoDSojxXZnnm+s7t7agBRJf
DIVsShxHqQJFKW3apXqwoXbiT73xeB1mbUEgUdUh8PQ1AMbtG6NKmbQoN7lhld6ZdvgxVPGNjNQL
eu0EhYe1CM3CGDWYA03TQLDLbR7EmCAIEwIL+gPHtg3vp9HYmhXkrS1rQ2mzk7V7Bbq8rFQde7hV
lSeIRJzCmjil9lFRKlj6ZefYHKb8+T38FjfQ58jrFr9nIsFb3im+XikHUmSHhEb3NQoJkFTxTKQr
iAlNwSH763MIeDLz5przLA9fJO4xVU/7JixQ8EGDpLIfFLDtuAxEYfNAtojjcMWeLNz0SAMZJuaG
+IhiMkLozRQx0CaMYpHtyH5MncBJizA490WCnEIdJoIeaZw5U7DNxtArMUT41yZ7thLOZMOyGGSl
xkp0urWa71J8GzEvSvz/hsJ5SSg0tY3eYi0GOurCE9P2yD+qIt6g9R3DG12be3Thkc99saVMCdR3
sBaGeVVF34FXzRltgStZOePYsH9A+AmIaGh7earmTy/dZPpdau6S0R1EwteX1wrMGQlsNI3ZqPrx
oX+ZmUEymNgwqdYQsTb7QitPrV4wp2OqC0q8rdqLqg5r2zdXADD7h0wxhhbOt48lJq1s9Fi4lgXm
9tE+yWm2tRtRO8fKtQyhOBTc4PIBxA9elLRMlLEoYQuGeoM5rW0efFy3tst7ck5zzU1MyNpgDId7
mUd93aqVhneFacWp13fgIqJRn/pKnb33EByDXwxTgf+7/GDnd/NsNosH81w0bfUcd3MTeql1mwQv
dgChVihNnQb172u06izKNhdobaTV9fnHLMCgFqCntMSXimJrn0dvskbcJAU7oolhnAzuaED/PXsK
bFFUd7mzEEYFrjLLUYDwi/MWE8KdxtYRHzex19nfdc0P2kOvvwuZvFeBkGZHxg3NMReFizhQtLbO
EaEW7bfB+B5U+7B9rdTDlAmO86U1YkV/gPhrq86pSViPyECpvpkUF5NoqPUywMc8JeZ45wQbGjH5
elStd1PeNAZiqeE4NfdGtpWityrclf2xUI8QKPtb2z+H4+wwDyEcVrWAY8XojvJ+gkh3EL9Lw65J
mODuWPtIyB6i5oJJVuiCcg6jmzDZCn+CK19+baxkB/mph1yrfMjyOWhXEUQ8l+5Jhd9FJ5MGWhv8
y51qIjVJmM/3Yd+nUJLa9NZLUPz1PTVjgCTARl0PzWbcDZInnTXmPQaV2vwXGR/L5AS20UTkaNds
DvwkBiI31OYuejwVBZ25mjmjKA9GgAnr/uG6Eaw6I1wdeNl9+T9uq1q5LDJMbRZunnlGgb7qz1C/
05I91MUgeeteB1uzApzRf8A4Z4TcbtRCixDXxqQ7Md0T84GQwjHlfS16n6+ZgIl8EcZhEPiiq/rc
7zVgLoJsGzauxEgqq7Y2RKpJJAqJVlHAvKzj5tWQdeN2L6pygiotg7iN9DDamM+zHyVTNKh2GUbg
vliAcLtmlf3MOgiQCYcz39fxJ4SBZdAz/YuPg5I+omKkjDHScb5jWVHUJo0BY1FyTGVJ2iGrUDt6
OLybrXGjhkEqOEKr5oCJIfReoXFB42uxEYkysMHibgrSn3MgAc7ZUtpLfeE1+fb64lb38B8otJ+c
L67Ts6ZO8hzmMO5qui/7woEUZyQaH1q1hwUM5+aMgJRt2wMmYL7RfW+jxyJ+vb6S1U1DJcZEQQud
7l9Z8eWFnkR6FbO0cFX1oUs2DTnIdoBeTdeIBa5hdTFwPjLIVuAd9Pn/F0iRHhS9lmIxfR1vQEnp
Jiz9NmBy7/qCVj/NAmb+/wUMS3vLQHtu4VIwoLLEHWJ/VMDzlQuqMGuuFG+wf5bDndXYMJmqUOBU
GCXRWus1m0KBlYl2jDupSB6HGQouhduFjyS+i+27aRAEdOuf/88qOL9W63ZbktmQa4VuovDYgl0E
M9aRnjudMHEwm+t5cgee58+W8Q+YymZ9XeoAg9QVdUhfI6c6bSXybrSW15ip3006KELbxE3ybkcn
+7/tJx81GGYSdGUIfLjXVn3u9G1QizL+gm9G1HPzU1kXU6sABqtsz4zu5MYGO4PAtwpsnHC+tTRy
zD5BlMJVQs9u/M7aEPVgilJXq7aBaRD02M0qEXyXuCaPUaRAdtjti88gc8rR79gDC0LXhFjL9UO7
krOFaSywOFOPlD4ezA5Y6lbZtIf4Nr/NX1Dl2pkTNJ9mUqv7dmc+X0dd/VbgUbOwWbig+Csq0s0a
j5wC7lWG4K3P0l+myIPPv/vC5BcQsxdZeKMkZA2k5LAuI3u1so9B+UFtt7OerF510Bt8fT0rmbB5
F/8siHOxQdQwhZVYUJE7Suyo37NjhcEdiDd59lb7eR1t3Tz+gHGOFiwnLO91vKYrSXO0uPWiYXAR
f/fkIyev17EuZ1rw9FuubP4xi32kzVCTOgKYPO5SX3bjVzAa+OZtd6h2dG+/SI7td34DnSptWz3G
XiEKzUQfkjPQOgxBp5Bja6OK7NBU0A1vBF27ivZdLW469V+8OJbL5dwy2v9oFepAUzP9g5lj7KD5
aTNWQsWvVZf8x2J4XQVTCws0FGJfm9CvgmeSeSY6kaZkN7RebuzyGHdotAtkU3Dg5wVcORd84+ek
DBEpDOAGFX3t7GRvD88kmDEx+wppaQXlmrISRCCCb6hxvjkPpjoKKUDbvtqk6gMYOiHRu1Xr76A5
dNL+87rRCtwL3woiT7Sk8uxeshbSbWbqVk3xyKDUfR1GtJWci1ExQTZ1KWDk/JMkbtEczDZA9nEX
9e5oO7Xo/SBaFudkQlZE0qABLxhvILKT589q+XR9SfNPvmYdnGvpSlaU9gwx9U/D+AHB9et/f6WL
8cydXHQFW0FoJB0ArKF5nUbpERPZTqFEDyE6ukaDHOPsrmChl6TG/j9Cc46kstRSTmJAG3r+qqXt
KWHh0TTHA9PjQ2XL7lRkDoRAfTLIgvth3f4R5UNoREPxdXYGCyeaBW3aag0uo0TSXSZ/ykm0jdJp
o0yBl1bJzZQbgpzQqq0ggMCoEh7NIAM6R9Qmqg8smU8c6X0D0uGZojs9FbXjr15FCxjuYOutVdnJ
iD1tQE2QWpZb9fFdF6teqv2K7FqwjSsFMFjPovLKrcrAyy/WU2Rcg3cpcuL39MHYlzfVLoQgzh43
0CEZHOV7shdV7Fe/3wKXW6ZRNVonR8BVGsVp0lnHddvkXiVPGCV/o53AR6/v6p8CMxdl6iSZalVC
gTnIXyX081pvde5N4IAV3a1r4eyckQdflmGSi/lfYtSkndB85caxvB8k+4jD/5BUxk0XRSJTWfOW
Syzu+ClSloEiH2dgUOkW1DI9RKemHbI6vi05YYRYE5OC14/82j4uIeeftDh2ehoWJYuxvJr9Tq2j
1P4emhcaBW4kad51qDULmR/XCpqzMd/Js6dUbQepq3Z2nHRjBk4Uv6vWKRjzjap6VkgEaKtudAnH
GWSam1rR1oArERGZ+p5FqiNZDxa6jCb7BEWEIv3VGoYAdtVcFovk7TJijVlo8ydER9Ow7cCSSNGw
Yqi765u55ryWq5tvqcV303IzoQ3yWG7ev1PZlaN7OgrivPlP8BfdnJ9XQT8L0k2Lu0tRJGpDo4R/
zK38tiuCR8QLggtHBMHdpVkuFVYOzk4IUgYnVHb8shY9FFc3ap5Ehdo6GBn4xBuSSmWcWXAUGsaW
leh7LYO7h7jXv8bqwf0H5GIyCYmw2KoHOD9zHN+n5jm2weCBhO/wUUtPSaw8WDQTQK5uHRpeUdQF
PScYn84NIENLhRXU+Dp0fK/se73wri9p1ZAXf5/7NIOcjZ00B4ixYewsO76LKDoGwlzyg/Hf5D4s
lHPRo4BeRHDsnK8FUo9xHytYCyq/zAlNCWLRbXMoI5ES7rox/AOkc6nR1hyYSgmA5AJPiuLt/80L
C1zq+s79AeFuYBlxkxnjpYsO/A4jGo6VOJhFiSPB8VxprES5EwLQSILMOsV8lzoq3qrVoR3ZHR9I
5AQP3vCZH4wEWiGgSn0Lt8MBdE4e3QcOO4g6gFd9+QKbc66ZVDejpWGN0CmznJBFbpTGGCwbYney
B3Dksl2P19J1k1y5q8BKiOloYoGeEHWIczNhGUkizLeh45r5McRIuwf0Hla5J9mv14HWchXoYIfI
N9pvMSLCt/zSMcuM1LDRCUhaXx/TrcSmTUAxyF5Nu0b/haaAW4IEWjIap4SIuhzW1ol2KfQaQ5Qe
k4f8cZjkPusT9Azpbdl6GlMzX+mp7bQ0b8B/q2aeHJWDYHMvjgbICZHjUuDuMTsCwbbzzdVL1ehC
Ja5dJX/opdI1ehDyZJPAq1zuLAczr31xb+lNKkGuKMKwyLSvrE1dn6b+1ZAMN2bf6uRFznek3JfT
4/UPenEkOVQusJKKIW2MFIvTS+lAJ/PYs99gyn6rR+nndSTRNnLfrurkPMsgSoGb4J4oL2P31AS/
/xMEL3qctKzNzBCLUenkqjFGpbVpM7HsP34qvvFlsuyItP28aSCNLA8BS53W2lfqXUf8XvmZKMdc
8WQj3f+35XGuJYyGTpEjwIbkWwXOrE55IOrbdYwL93VuD7wnIRaoU9ICXynua7fowBbYS98sqz9W
RP1IrKfaigXxmg67PgumOMT5/xd2P9q0YnoAxKq8CeQGGR0oIAmO8CoGeBfArQsnCS32c4ystmql
J7NhtNFtbveQX7H1vP38F3sH74tGJeRX0Yd1jiIzzEWjgRAopeGNEsaWbwI2eireC6VxF4Jg5L/h
cTuXhtNIwZ0Gj1E+VvpdQDd0PCXW9zR4GIy/lk6eP9NicVxUZcoxensNgI0YvYj0fYWqcEQFiYdV
b7QA4VwtDbueJjVAgr70wVDjyrHtysy6q/NJYHarhr6A4tytgb4XlcqAAuWyZm+CwG+mj3F40tSj
1Nxc/1Crrg9itOSLUwdzZueGYTb1WKACA9cHgvqxPyiWF5e5YEGXyfb5Cy1QOHPIdLWQ2HyBWDfR
XbWbdui62qc3yEupiaM6Ru7EnrbHiNlNupGRIL6xfFXw/b5qLxeHefEbOCtpWh0cVhRHoPu8gzhb
+Go71s9vzyqB4GjpdS7ZmpgtGd8sv3XRp0gwtagLfsNlUYrbB86IpoEOaR1iH9rRyby0d8njcKy3
3S75KD+jBw28wn7klIp//SMrqxa1WDtnUSxTR6MugQsNP0tycgd9/Tv1Z/Cz1RzZduSN6pQfbK/d
ocqhmX4qinpXD88Cf/59C0ca6DqmUWLgk6cbO3Wit+AE2gR8e3mD2YnH9hg8qrdgwQo/ri9chMtd
7IlRF8TI8M2htRCPvqLfTJIv1B4XoPB9dyYFcdOgYXVx9ZEER2jZ0KRzpvL9+mLmH3vFgPlkq0rq
QEvseRNRT2eR+UtrNAeqOY6s/Z4i2cNz2oM8seDbCUzna6R48en0bKqibgRqW/yUAt1jdBdEDPyb
z4btINDYXF+kwB99naAFXI6URhfNe1lWGbSASpdobw0VhUmiRc1fdIHCqkyX6QAUOfmsFb9uvTL6
JNSHaq+TiCZQ1sPnP9bPN2ERCRTP6FyqXamrUbZxSXMvm17ctV4LOa/ca8HxaDavcShqARRtJnfs
1LaUJZJimU27VZPjAEXFSER2K9pK7og12pgr6exabFDpTt/6dJ9OWyvI/MoE4a0h6JERnIEvPpPF
hyNjFbfd/OEwhCG1PmrEcgazTPaT2qE2dRxEwqGiq+vr/xeIhVVIcVzh47E9CKTVQ4rh9VODQTrm
xDf1BvSwmvs4bl7Ytjv0DnFEXJar8eEf4/niN1/gE3tCn+h8dUq08UPTBMuq4MjNzv/SrxA0LIAP
HOxRXAjQtRLRdBXhhpW/ttHetI9N+Rox3xTlkkVAXBRABqnM0wBAxbgpo5+TfMgGl/VeK0w6rHvk
P0vi7nqj69No0IGECmbeO4jWWGk6uWjIeP3b4PEODXGQ/fBj82OiyQozKK6XWgG/GHUtfX/dHa6f
rj8I3AkeoR86WWAUg1YitJXjEh535vjST10uOQz597o3BdfMV6/PpT38weRONIiMI7uUgRln5RtV
wTWXsqz0ZZulO7MudM0pdUmbHIanxmfc6mAJlyDOkaYM1DFZLGkfajvVn+2QS6dKt4aT3A/Fu95E
7LGTEv0mjqGk6Fh2F+/SqW68pDAqr2wb6zfr5eC1HeXxA5yWEfQuB90boaZuu2ODlhAKntxd2JjI
lTVEQyRT2PTG7MLuBhncECOZxvCaNM1N3cQEGkO5Pnio+8SfaIQu9ha1yW4ya/1XJJcJZNPAve8a
EvETbXiSCzPdgiPzSUOxaKfnKvErKb7P7VgSfNDVMzCT0YNryUZJhbt5pEw1q1bN8FBWvoNEbAQf
tKk5Oj0NItnQy1rKHGwuoLigz6h625KgHOraibrH9L8TWbvC/i5BoEYxjzQq0C/kMxGv2JqHxgNT
BY+yjjZWlbPYssVkZ6bjTIxD6oAzdjNm1O3zdl+RDOWxZDemtVc3ovHttX2FOgmaTlGMxsI5J5Z1
ndmOFsPzDE26zHzoSALC96JGQGbfiHuR127WJRznyoLIJJI8AI7KDz2r/dp6SZrgXzyilyCcFzMr
y56gMQtbyX9leCJRD+1yZQXykfyoBqIi2CU5DLbNwhUAwUkFveI8CXbMpr4Y7KJ2DcyOsOBHbzkF
Wg61ADK7zy3OX904djY69thgllsQqa9uKLQoZnRkcPkEBZP0IkFVCe9Q9Sfo19x4emtEAfSaM8Xw
yj8Y3EcrU6JVdKjw0VBVjKdtH6qemSCC+K62P/VaEDivr8gAQxyuTxAz8m5Uo3lIepx0iKs6cmT6
+sdA/rpneP5maKT8XxBeIJT2uqxLNEe4nNev6FbfgGrKv34FCdbBj+8ZxSRlrYR11EXsR3g9lmPj
Gt3P6yj/R5D8z63Dr2QMJrMyatw6WehLxVYfJifF1CvRvpWyY0unKQczmG93okO2trz5Av/fO5xf
HuSOFbXNESpkeH8qg+QEcIlU1J0mQuHyo5LJMgjSwSui55WQ1g0geBH8+jdbCPIRzLOBCs/ka79h
aes0GwHSJk/htJX7l4lsKR6IQbhN441Uf1TRSyzqT147VZBy/geVu9F0TNfX1QDUoP4Rl6+xkqDI
c5S6vUafKBGlS1c3coHGXWrMjGe9D6BJ0vdY+9RRYZmEN+dc7LuIgBYg3B02DnkSBjZAkuIhaO9U
+3aA5kObH8bIq8PGyXK3Dz1aSAKHv3aJLW/sefGLWL+IbMamBje2WQXbCc2vaRzdtn14W5njD7NO
/0XgD9IMFbI1c02Sd/i21thxnMAfdsprQ13VSOB2E88q8IrpmHfdOtfMZAnGmQlyFZMKSUZEI91T
YNwrVuGhr9diuUfMfdT87cA5/CKCLAz0IRSAz+fKuUGbFWagtDUYeIptaFZglyB+RgWX1vybeTtZ
onCnOpEhYwPtDSRq7dsAlEmGuaXqfcIEMGsh1RKGi23afphGfQJMOGU71ujbumudSrM2BVUhRjZL
T9/JSiP4YGsnbYnK3ZY2DUK7b2dU9bvd/labg2o/X7cJ0f5x9h5jIrhWFUC0aDJCgylqHyBV/T5k
+rFWHq9jrS4HE4ootMwzsjLnODKTpU2nd7XbwxJQwcWoL/lexX8txzIbHtL/X1e+bvJ9oEWTJ6PS
Aobg6eYOln3fFvpvLcy3qXAcd8VdgEkdAuS45NF/wRe8qyQGizqtKpdYuzsVPQV9d6vFokmK+Ttz
Rn6Gwh3cbNTzCAozFeZPdsXUOJUoLFsxbwCAA06WZ1UUPnQfjTEeaQAAQmsvTUxnUvRN3j5PFXHk
QPqM6tSprUBQ+FjxRyBcnFX9bANq3fwsCtgoDC2smsotTURNYD4eDP3BLCInyU7NqSDJw3X7W7H1
Mzz+TglRvw8k4EndRoMkU53vWLqfaipY1yXvkwUW2sXCuLgziwyD1RGAFMhX63uwcjfGltY+tV/B
K62WmYMULnTJyNSCcx3iRfrkXF/qylFb/gKeIhwPI4gWqPgF43jDxtFRrR0VyZKvvW7PQDgPn4Zg
BZ/m70el0Q8GiDQmUCYf6lNtgyrcTPwW3gRTQE85njyCBf4f4KCXAFEvyDRl7kygGWEae7WtXA1B
I0G7oGRBS+wt059qMFoH5h6TuFCMFMCuHhSQ5v9/VM6FSQVTe9kErbHZbjCnlakuHocbGWrSuVOk
KLGKxqHXP+QfQM5m+0DLUmnCMqv6prTu7MEtB0FCd3UrIQaggOMCwjIXiiijbgZFWPQwVzlubgc7
Gjy5HAMfrAmpN9gZKLwNtXXsCNUiok+G0+m5Joi71tap4NRAQhXD8giHzuOu1IAAEu2nyg3xvA1C
1VWn2yj/cf1UrHnrJQhnMxJDH8/UjZWbQV9qoN+YupUDzzbdvtpeR/oqKPAuewnFGUoj21UVMKzH
gHa9AVLjh5i8RcXT0GxtTL71hc/oTcQ+NHk7tbv+f0i7ruW4dWX7RaxiANMrmCZplGVLLyxLtgjm
HL/+LurWPZ7B8A5LPq69/eKqaTbQaDQ6rAWyT7Bjh7asv17/kCWfd/odnP00IZqY0XwFn5cGVqG8
ZOJoI7amEbrNrkta3EFVwlMbY11oD+VCpHjuhGWlDI0BH4Lu5FEWMLLmXhdy2aYP1wo8xP9I4UIi
ZhYsIQmkRGpqS7WNSRJD3HVgMS89QKd3eur68iGMbyQdMDqvavzpT+81W/mMpZvr9Cs4ax0LUeyb
VoLzCR0dKAgA1cTILW0YuPEq5C2bfzkdM3ShRAggdnloS83QfcwYQd40mYWd1CrqO7r8S23UtVfy
F8LcheHi8YruPWBjXMyOY7ADiAgMC6xScKE5g61SVMwstGMfAZe4nSi4SZ1wB07F5LPajG54iH78
KZz0Vj6GtuThMvsB0sWDuFlrrF20r78fxk+1IZdatkOPDyuNx9gHu9G0jZWVN8uSg5DRCgk/qM+v
MW5fJ6UfkyRTKiutXkoRPiLaNONOnRxJXptZWIrpTkVxvigcTWmYFKgDKFgRdYtYXisLrkngXFBa
NkkfT5CQg0ymlkDivVZNWrw5TpXgvEs0DGlIOogIo61a7Rlx+vQXEzcRcVoB0PkHaW22fckKgM6N
VhaE+Jgu4ZRqqywdI2m2AuKKhlOGB3NNxCUjA3wMoJ7xIjd1hMQ8xo5PGF4OEawAJJO72q0907Tr
j9D7MdqtCxYb27d8ikpkCkTWTe4IK/fxkss+Fc9ZBkAZAUE+qxgWlSXCTyMy1skuXIPEX5SDWB9w
uSDSgL2fX7mG1qPBKYSa43AbAr09etfyW1V+vO6xFzfsRArnsEVZ6E0QLcBhg4NTAwQ5QPXq1r0u
RJq/lfdaAHFRMGykySr5+veTtE0vJy0mzZGnN430KIheNQzUePGDl3aiiprvY/MuhXxiuGbimGsn
bUk8cJKQAiaYdxcBdXm+lMmoBUzKR/T2Dbc16e1Bv9fZDxU0xNmTAIjpyUbHi4FDodzK36ZbQY0P
8dI8jYeClsTTDtQ63p+SSdAhKQq/jaK0g1pdmxpbcCVorAZiACDQgSvCj/y1cYe+dVND7rToCgo2
LFfV45XX2cKdCqBLZNEROqD6wBMLiL0EpvWONZbKDDqFzgT8n8r4bEOnHioaGisms2D9Z+I416Wx
MRXDCeKEPnJ9wbhRhIFWHWJ6ddhct86vq4mzTiDyIrgEmvNMbcS9B5lBOgxkJ6Ab3eWUub0FykYg
DdHYbne510UAsc+dd/TAURWUH4zqVkQD+yMFpL1iiVR/rVaUX1rrkw/i71LBTEg/EXzQ1KIT+s8I
oDe4bAa6xS64KarxHx7EWACgaWK0YibO5lxNF6g50TPIkyRqUsFKiQ2tP+qfbGPGFJPaNNdpvIYa
8zWMfbnuf8VyvkeuOqQna4h9SZ1BpEFJWw8Y9NTfkrvwMG1Mt9sndADMgPmGFH1Kf5nbX/XGD6hC
A7d+P+aT3bijtcrEvmR8wKIDjhuergrGMs79RdCEImqV+DD/WXCLQ2A3H+2Mru0fAkeqaEFBs2yl
27WZzKVjfCpWPhfrB4kgTQrEBrVCJaWjxo/rlr7U4YmN/qsYt9GK2Ksd6LvA4vLR2cqGODPoR/Sz
fg4t/1FFDpgGj+Qnhq8o2hHsHXNi+vlffgK36WkRq0ESpI01WjVtneZdOhA7f75Lbz5eixvV63/4
FnZasDH9ao97w1qRP+/dpdH9XQIuhjRBy4TaKpZA2NwMt+mnYWE2A6Ng24+fuSdizAjMtW/k0Xg0
Pf1+pL+vi196eJ7twGx6JzfhUKGPiIRQX729NSzN694le0C7aXD/IVkYpnYUqxroSqF1qatWVnQM
waArBLcR7+HMGOi16RQ3Vus7dQHkmhDZcbDRaDYKo2JzIwQ7lA7FyDIaS3wLmTOsFQIW72Dli5YK
oHvAfuHWfSz0QtN7rPvU4HGtNJgfJRROGbMrnqJsc/PWqGnQoksoO07GEfQn11d+8UwbEtD+pJmC
lb8jhUGectJCfq/ujcgOom1mBsgHv/x3Yrgz3GuKKNci9tcX4MLK/ABmqQ+hYg9Ss0beeMnHjtBC
wbwC0J9l4ILyk3IsY42kzrZk3vpWYzPPvwfw8nZ4Amq+p2y6/fAA1NrPR/U3og4XV4kLYHs6WPWP
tVO19O4/+xRO7Sqq9T4QsLqgOVLtDm9gPE0jNwXlGAQOlSXTzhPdaadvr6/30htnjnkkNJKZAJ7n
U/zDiKkaCcj2ltmM1qQPniCbVlNha4cUsw7heIsE66+mURy57lecyZLDRmqcoHsZL/GLUkYiVEpZ
jjhWcoDplz+d/3BduYXgHMy6c1SCI4PHFPeaEkfV7IP5gpTZOA4gNM31wB2kABBrdQrixevS5l/j
PCOmOxHfIWsMyF4eLA58bizTgRdogXqENoL5WFaGFaqY9AzfumItC7+Qqj2TxjnCypcqLQjn3qss
sLLkJq0s39cBRvMQA6Qsrm+IsmIqyxKReAEx3VyM5zwQenZIFtdweBhjdeoK70TyI0ox/ZUqj337
OaNsdfFaUW2p2GAijkBsiWIr+r24KzciUddoKppDpMaq1aNcB1SWM0oqR+y3cuIIU2IRAUXzX2qb
0wrAhspKfLuwr2dWxIXSUVDWYznAisDpvgWJkNvUijManRWHBLyWr9etaPFMwGTR7SkaClo+zy+4
WpeCHviJmOgEajBaLQ6DuErGtCgDb2ITHRxfmfFzGUGUj0BbKRorB11R2OUATEeff2U4sZ/vuyzb
+f3MQhFu9IrQqW5BRwii+0qxZFVdgbWRl+4V9LYCpBRXCwjDuP2VuzRQurZqgBBuOAWoDYjp79Mx
8QZ/2EiJ7GZZ4ur9o5RrVioqXtKO20yWaGkUtFKjA1DgAEqRbwE6idv5Lcp+xShWqi0gjOLkZgyN
ngpNgsK5vuK8Fj2njsIeqiVgQEcYfr6KMZGZEIj4cqn8qYPA0qRy81oYXsvugOg6ZHtNXOOAWOqg
w1D3X5ncqQe6ZiWKNWQGdUxDdB1kimAFvZMqgivmt4N5IyUJNVt0J7rtP6SFz4RzpskSXx6iEcLb
XngGmOhOM55qqXEAikkHv6RkfL9+FhajvVN1+aOXGSrwE2Z1C/RaIsfHstcYCWmN2Fqg0b60lWoj
BhgpIki7NDQRvVCAN/zTj3vd/LPyNbMpcg7+TP/ZQZ7EnqiLJYE44Gv0qLbN4fDVMaza8uBMfuzo
/l2Z/RQBUpDFP8rkj2A8rsifYQgu5CN5C/IbgjF3PqOlxlJVggUe6y8/VYhyCXtB9kWWt6pGK901
Y/QartXml57SoMz4j8zZlZzoTEJJKgbSwfcmj6xzjXA3Cho1FbcbCpoHK7nBBcd05uw5aWzsFSEw
cakpev4zA0rL1mzkasXlLPjzMyHcuSVhLwT53DYZdsE2CEJLU+8rLQRReOI25B+a1yANZT+M3sLB
8TQLegSQ0GHCrWmGoqPLk2WEP6QwfGpywx0jBAjSGnrK/P2cmZxKVDk0C4RtUtS1c8cm+nkLOdn4
dWDFyT9k+CEG/TszQgeAFzhvIAC+vc8jNPOCjhdAZML0Joq/rlv8gvGdieCOvy+Dgluee0/FKNsg
MUq1wZ3bDrLAHlhoyWskmYuWAWYiXQRjsXmBJKEMIRrI8hIqZbQTFLf2b6vQM0DXnY32ddWW45oT
WZypd5k5VnUPWfqUi3djU9yYoQZcJ9MrOnRHK7LwKJOwphIyygB4SsY7H/kep1TZrk3S6LYx0vR5
5ZsWHBzoWf7qz50Msyv6zgzxTX4avSh5/ZaKxTFJ4g+/f0lRAIx93+4F31PjiE4kw2M/+JC1YM3n
LIQEpol0LF67YLQFiv25zykCBW3iJVrrcsnry19tY5vxjxRwSSvqLgW0p3L4NJVqlr5YY9Qf3KEJ
oDnDjW+3KGYDvVX1fgk3o13fTk5qB4/CQXOuC186pKeyuQdfZ3bRqOezbGB6qUnkoiK0TZW1pbwM
UhBBIhE8020hF4fywflakraJ5bwUE6sFQmVe/uraZ20CToPLhB+DfJOy0RK+G8HOIlEqQNcTunZB
cnQuErjpQRxViBiTHrnItD6AtW3FhV9YyCyCGHizz2QRaIY7FyH5UjxhTANBaX0Qk72Oh7rsmf39
9T26cAezFFy2qiYDYAaUDedSDLAzALaYJBYwre8wJATkofJxNEInaNsjOOBXXMJ84s/89ixOh8Wj
voNxOL65WmyCHizvmO1V2rLe11puHrTJeLmu04XdcUI4e8AIBOaeOghR1QHHqqRCFNulvOK4l81u
boIEBe8Mps9tUAJagiyKtcTqSHpf9aCXMott2LON4M9Ab+CLLsx9r/7RzfLbYfmsIUqbuizC+BRj
dnInEQveisz0QzNBD5NiN+GrhHiFVbLbAb1uaFMvVd/6fPACsAJdX9rLAQNIxnSQjBYf0McrfAIg
x2sOFMuzKxFSl2SePr0G/pGMXlMHTlvdy+KToXyaontd7pLdnIrlthSvAcVIFR9bGuWuoHiGNqxY
5sU9PCsGNzK/c1Aw5tOfVSAFSl2PsMw+AzWxI3XPkeARYdOiISwJ1+qN8wfzB4GomGgB3weSKSrn
l9XJx9lnON2ShFdVb0UNseroLRdC5/srdyqIc8IY3c+CWodzJEX22E7Zk5J9u1MRS0d0CbMS4HCa
icXPrTEkfqIYnYyekean0W6j8i5by6It7c6piNk+TgxeFZukTFEiBmrNMxy7DgI0iahWG1hNeVdK
K0d7cXNOFOKcohmbYgnCocQa451UdRbA4GgPLDP0e17fnDVBnFkPQiS3XQy1Ih+YIc9dclPVDzrb
Xpey5A9RnyfIt+gqOqs5RzVEkzFpPkK8IDHAHyC8FkW56YNs5SpZOqMIKXFMcZeANJUzaZ+J6kR0
uAYjjsgerOUtDRoper6uzGVQCWtDUhtDCfgbc9bc5ohNpGdtn8EUWuGtLRUP8DtUCEVrBMphP7BD
X78rPSqxY+WabeAEOFJGEVgJunRXPmXWiD/EBvLJczcp+o14oHql0HrMp6aJVU0NwdBuN9B4iGgF
loYclFg9Rm5zTBubRUjraLJy9F1e/4KL6O5rLf5+AHcsNLNMUh3JI0vDDZe1bqzvs85N8FYOUtFp
85wi+roucslkT3Xmll/1+ygogjyxzGpww+a9Dr28V+ypeb8u5zINxOnGnQ0Vj4dQl6DbCGg9DGdk
tOh1W9OrXdAgG4JXqK0374Ay9vo+cyKUqxJllUV5bYe5o0PiTgbDED6iToElKHsEdW5i/JnUj1J7
H9lNM7RWjFGSdiX4W/J3MywkaHrgT9HZc+7vDGVkMVEgl0nRJtBNaub+QY4eG8OOtPeoW7n8ZjUu
DfmvOG6tyxwBhEAgLmDTj2wsnY5ou6KtkX0EV69kfl7f20UbUpEpmEsIiDn5C6MJIxO4pEB4AcHI
WNp5cZxED0jR/6IWHgSg30YL2EVLEQunvCUh5JTp43woutJDZcQ2yhvj2yxrs7WaoORASIRZMP4+
L6qUaVVUwhWIkiUGG0UAG7s7+r9C5e764i2ZBrq90NkIIOE5Zjk3jXAENno7VogcGqdRbU267+Jb
UestXTrU3+5ahVqnwuaPObl3pTAuAqZDWNbVGdpcJBFN+qTZyq3y7UkpTtTs605ExfFUklSCKKU/
6uNHItwBqX/FIJYMz4QlyIDRImCa564oqTZSEfkcvHbQqxG3IGaXZVrIYKn4J21OJHFhVwQa48nM
ISloGgrcRyr5x65beYUuuf9TdbhzFJUdAeYihKgkBInvQ12GVFI9SXpKx5LWw225Vv9bXEA0jyFl
gQQt4onzTcJlE7TZ2KAtgB1J7hbiNkye5LWJiTUpnNWNaWe2A3pfrSLLTCoFwtuUTLtQkm8T5q9c
oUv3DLDUUXsj0AcOiXO1TAEPTWSgfR+Yz06FhE8PhjetTGhLPvVE2BIF84HZoO6Cttv6soQ5sTXo
vYUjjU9AwzJmJ4B7yh/poSjHsZg/QSefsu50lV2o2y6vqKh/dL6wcggWnD2YdeB1gbaCxlGNO2hy
PeT1NL8IUhVoP6HgIj/5RLRhYwr5Pg00aWWFCWyCu1zmhQVmIvLDhk44K52kamgVBbs5iZrTa4aD
5qzrLnHeogsJQI1FBh99h4TvO8xqpA4rpcNtKbwVwTFFHTxKVvpj1mRwNkmSUNTTEjKmHhUp4y3W
hYNkDO51TRYs35jxb/9PE25v+jBWQf0CS6iAMacALqnchsqj1KzNCFyXo/JEeVPQIR00QRuRdDQX
b1m4bcEOGUgr0eLXVc5vDXICMw83MMjRG3ruMGSMC5VKhWf1VKE9hbbViCoXwzih7UtDyGyQhbLc
SdvSdHxRJFvWD/026nXzMBgFvi/pWWxPIEf0JsYiFzLaP5kYi2hOYmV2ZzQm+ArjKkKGLBymQKdg
tPR7p8FZ0zdtpiQiAJlQy46TQqaqMA0//H4SX6OgDg5mWIxvQ5Do/n3cysoraUc0FzCBVRQTYgGS
4pL22w/j6Q6ccqlsC0aXeUVRZMBCGoIePZ9D1fpe5Td6dzCrWChdpQZSgCcFARhd1a7/IVSlolhZ
nrPXYjTA/SSAXzFD3VvuNn4hZ24fVZG5csCX3ImGmjAAxdH2Qy7QawtcfqmEnJ6fNTa4yCsErQXZ
DOWhIE5qPFw32aWDcSpNPt/hIGrDMZIhTS972mL0U2gYcInWMgBLFnsqhjOkOp5gNCPESMpvKb2P
/Yeu/SjzlaVbym8ZGnqkkXDF713At1S+ykyFaQj4y49CseXUU8htzCJLKfZC5On5rVneadr99TVc
FTtrfxL89A0LErwCkEtUfnedSvP0IUH1W+uAc9FhuPS2FpwmtIR2uyJ4YfdMUHyDGh2OGeYy//uJ
YKOc0MUDaGoLwO0fJH+busFV1fuge27jeqcFo2PgGRDE6nZojlOs3uMC3U4MIA6K7l3/loV76exT
uDVoKiMRGgmfQtBHTpVctQW1sInSBCDfjbdynq5s9kL4BMVxL4GYFNzqPLaMr/kZ+GJ6wEDm2mOe
5I5hFLGlpv6xFfJPJMA39Vg/FsT4fV3Rr64JzimeCuZRWtRUintB6lKry6etD9x/KTBSYNIJpLkR
tW7oEfjE0R48L3q+i5ng70U9CUOrK2r26Y+KKFhNrEnI/qbdnSiP0SZKDSmnALFJANnV+s0ri9Xh
pQswX0sjwsod6zt1h46Y5E6McA1nQb7yLFkyYcSiqEgomO4D9TNnSVEw1Q3rMEIsCV1n+UZ7Ixq1
Cq9AXoHzHjtVFT8hD3OnJt5UxmheHtrP6+t6CdAqo6qAxk2MwWM7RR6DTw9UvR7MNrW08VktRJdJ
6YvZo84ZJY9mzWhgiFYidJZUV+DDGO5QHKeNGj428iNpoxtfehr0whIUde2UXaYR5nFH0DvjnIky
4dfGyHyFVGKZYjTWDBCpN7IV6tMtMkrUz5lTTCKNxvehS92k/vBL9fH6wiwdcrR3EbTnSWjc4y9h
wvRJUEIR/KFC+kNRmGfW+osmrRXiFlw02obnXBiSL3ghcK+rqY8GTS1h1mM/gfbF7VRgUjAvBc3a
dX0WNnrOM2JEleAJjDIIJ6mWetSyjBGto8C5wHub/OzAtyTZ6YQ50mfSun5LGdsooApIAkxfKbdJ
uGXBRkR71/fpAxDE/C+zDxrNZtqEcxcqJtEk4GAhCaemAJvetGNmJcNKILXgM7BzcK46biUkcjVy
LkVITIS1DI2Atntz+zT/efAotXbW40g3jG42K/Hu5WaiXRZzHjOcBM413/nVsk5XhhI3EuBSQFpp
D+qbLL8Mzdv1rZw/+9wVnovhnD6CRgXENxCTDqCoJEegxa8Yy+W1MkvAawfc5yAMuWCJT8ZQSlVI
yJXWGcVnEDvEWeIlk+NnK+d8SRmQksz0GfBA4Iw/3yNNm3yYAvxPbEbNXQPI5APKnWvgTQuFx3Nv
wq1ZFAhqpzVVitoHxl/KDlhiwkgViR0n/7MCi/MokIBOeEUMa5m7pcVE1QrXJS5NOHlOwzwHoMCU
1fCweCiH3Y2MAScER/6wn+K1stKSBZ7I+prxPAlNwh6jAiBDSC1lQjuYhCGMYa+Ee2PtjbKo0zwq
jNqfiRZHLrKMmYaMtoa4I0WqRgJElZ647XhMmrdsDQd34ZLE1p3I4k7x0JG6jXXIwpMVMfkfUUJM
vtFmwhP9fUJaOwRoy9x49nT9mC3oiAeYicI3cB6gInc5y6YR1jrJM6tPP4NMoHKGm5lQMdrpZuT8
gywkF2AeyB3iz/kpEPoqzaK2yIBljNYe4smAaChUi9VASvl+GVXCfAMq0og5gELDh69FM5ZyMJaQ
VXuadDMByKweJDq1K+u3UHU6F8SduUIZKy0ZIKhNAfp5MxXeoPyWDWdAalRvaZftUWkR5Zc83xq1
065NVs7ninOTaL9FBe+rzx8an69ppppJgGA0s3y1t2c00ibUrH6uguqP6CG0ZOV3rHrX93Hh/J3J
5O41Bd5MTglkYszQNSNXSv2NruzUZq2OtqYc51SKslGjYqhQdgeFIfg9oNQIxp8PSfXthnRWKLqh
8Xpducs3Mvbz74ISrv8KNHYjOvKhXKYj07Zransib1NN8MgHZEC1/b40hKXo7kd4oKJx43z7xkHs
KiTP8fDPQ0cZSyuuDgLye3E5uMB6pUPxbcKoOcF9IpHbPFVtw6zXRZBBSIVXD78E0FL2huaGLKXC
anSy5F7wZtaAC4a3FAKzc/3QlBUxjDBnVjPk9pjpVNUEUAXkthy8ZMLaI/1i7+ZRHgxdIghCkImg
61ya38t917YSGBjQ2IWhCZZRpslWJN4Y0T1ebNf37uJSn6VhKhsNLwjvLq4HFmIwI/EhTTB/YaLG
6slKCHQJVsBJ4C4Fn5GmzCNUITRv+gg3ydadNn8UT9gVL6H13tHY0qhoY3FdtjLVe3HyIFnTMTqE
OQwERzKXu+nyWg/LRBdoJuIlhOxDc6zzl2iMUMcGOEK9Kfo1muI1kdzmJWmPp6gM8wjGtwS1TRGs
umCJS9xC+tUZqmX6K2fv4vHD6citLlC0my5DtpYOw9GQXQXT+1L4XVfJyeCuV38KplRnkMHgkv3A
BeQfFYCbvQZkvmSLeFwhU4NEJ6yR8yMYp6mZHEJOVTwlCpirixVbXF6svwI4t6HFzTiBPhQChkdk
JCTpng0r4cGaDrOBnIR1jToq4O+ECIMFrgpK7Ims2diKCJ4mLJciZHXmZaqZRknwIpr/ZFM65sTm
KF8nXDTgD2CMA7gJdIhqCjy4qnqQtYfrfudyGnY2KgNlSsUENtpFbNNrDORwHbTQnmXvZ2fHL8m2
B7W9F28zr96s8Rpezmdy8jilykxtRbmAvM6VHqWf3U/ZeoiBR2vLd4f+IB90W/TWeBkuq2+cUM6i
STPFDG1lWMkgtoNStarKnsx911oRARKTfsuEipZtiGk/IJqtHNtFOzGAImeaKvKAFy22QazFegWN
df+mTDFc/N039Jdyf3+fO01B13VRm+L3hVGziNJhoo6K002yRvi7pgd3pEpgMKrj7OJywD+k0gYs
a9aKMV4Eg+eq8GiEFWmFqAc9KUWeAyRXb+H9dOg2HzVqbp8ZEBg0N3WL53JlAf8fm/zPCvKJntA3
w2noIdaUrfHhPv0UrZCmiAj3/SuwfNLts2mn6krG4JJedFYW/0lA4EeYwb9gWrEVRNSSBLAlAz5I
/ZC90TNuys/GfgIuLR1vGc5CYAML4Vncr3XNXz7vOencpVyaNTohfByJEfhdzMlfGtpUGD5zBE/+
wVaOwOX42Zc0EAQj1YO+Fb7TKE9DKZ/mECA6lJ/li2whHb7XtpI3POQ/h11F0T2zj0VMbK9Y1Bxh
nz1pIHjuIwZUPf5ccixH0zD1A9Qc4pxqql2gzBAdMYCpjNtCtSP/WK5VPReV1VHQJ2hPxCXKP4Pr
2O/aQoCyaeq0juhkLS29bK8+JLQ/jC6ghe77zeBFzrc7GmZlTwRzvlWry6bsRAiOzWMj0lF6IuhW
LNXN9UVdcgSnYjhvir1EnUCGGFF+1fu5fvTnuoDFWPVUAufSBN33ZR9dnhSZSMzl7QqX3DWUBoc6
sDVq0Od6k3n3yla9WzsXCx4IgxCoF2PGHYkMftBdHgqmThVYF8v6WUKtprRHsh3W+G8XAiBIwWUw
N0jMYEzn0YkSzdMJ1QQ/R5wMxRNWxShasxV3urBPSFoA4gKzHWDb5VswRL/SlTYDTH5kPpv6vchW
KPK+kCrODhcykCreYxgYAyrwxZRXJ5VqzfKUWfvBNqxgY94q1PAi23dL2rjhPnaafXpPMBA0WIDb
eLnrPfWo4aWR0fSuvoWv2fsOOR4nL7PyrQwoo+dkZQ0uVpr7xHmNTuJAZoSNgDZehsn2Y9zvY81R
/O8eB4jAHuLBbQLHHMNu5yJA6iuZVZ+BAyfCCM0D+fbU/Pz7qOloX8yPaD45/32hE4FO0INfslE+
peqxb3Y9c7PeZmsUqhe2zwni1iowfZyLoGCWnE+093eh/kYSR6xWtuSLVoY3m69YCEDYOrrkOP+R
TEhLKnkLhWztZaC6UxxiRzm+FTYaK6zAaw7hrgOqEfCdj+p98oBxLhsRgCc85c5a0ezijKBR/QuI
DcQfMGJ+9lJJMzGtsp5ZkvwJmIC2W+tLWljUMwGcK0ubSAJoNgSo+u3kuyzdFuhDXetbmJeMW1JU
3WB7KjIyM2nsuY3Efir5ajNLKW8SH9RO8qbpZh5vVFTs68554USdiuJnCqXBzBVpgKhhuiO519a7
zlgJyJa0QTYE0A0KRihR7TrXJskZAZo9WKUk8kEKamR7v8Z8FUqq8ffPLkrJfyVxN2YmaxO6iiAp
V1G/zVDFXsWfngMpfmtORXDWbmaGKOYFwXphMpFiDlV2fLtw6sAbZQpwKWv6fX2DLp90sOlTiZzJ
BeZQS8kAiZXghi+CSYlVWtk+OJQItciHalhrLdCXiWtOJGd/jTDhiiAQ2e4y4aZAydT6Y1qDJf4M
U0sdqZTagj161xVdsERkqmHv6GVEcwlfPGz6votJrTIrRYYufiaaE1Ur/QZfxTRu9yAD80YKTBGj
55wpKoI2ddmgMauzy2NAdWrs9Nv0YaCh1bvRp2YHFPy4ND5kx0/F6ekRzW7UOAI3rF9lSL18MYBA
6PRjOGs1qrRWm1xnQCyLALtrMpuMtLGnA7HYe+P4bkaH0soBO/rF0+uv3PcLruxMPGfJmMryjcbH
WiTKH4MABEilZfSQA0fm+r5eVqE5PTkDjuJcLusJgkZHoSAUOFau7CRPuZU+NBtpM3nPnUXchCoO
sZuj6Zm7doPizAqEwqK6wDYGBhGA6hBYn3shsJWbuV6YDPQ1dqRYEUJP43aqV5RduIBQLUaXswrk
JgWTgedS2lCRQ21qQ0sF/InwFK6Ooi840zMB8wecREBVgHxe2EBA81HDyZk02Yb7wDG27H06ireq
F1gpcxxzK22vb+Ml1tvMd3Wi2sXZCUu57CC5dnIARv4kn6033YLvG93NN8JbeahD3OtrEfzagnKH
pJPbjKUSpBaxW6d3TfF5Xa1Ls0DvEWoeUA7J7ItwL2S9qdRVgF7TSG42pt8cDTLV2yZH+2w5sLX2
scu3EAoCc01gRqece2s4fcAyVMRth4QIU6zeQY8/Zt8au/81AQaySZ2KjiA2fYmfkDIIrN8iqjwr
Fjr77nMXiA/A2AT8NyZXCT+MC1ZIIUbTIPL2IZzN7O3IbXDX09UkweXOnQviNC1JlID3HoLUx+Sg
Y4Ep+uOLfbhNrR/yh+waGIJfiUUXbPRcJufT4jSb1FqDTDSvPok70SKvLdbzj3EbWmjQpel7tiJy
aTkRaYrohTRx9Hjwr06XwZsyT5ypwIEgkZMxUCfcoQVSjOy86am/1qh7cU2i5QCDg5g0NcCfcpHO
n9BuGA3TVAC4IL6f8E4JA32fDN+9HDgpnM+W4wHgKC2kaIlnKGDsuUvFo9qtxGuX+8WJ4QMNNDHE
GHoBf84EBF60rosV1dixLJwhf5kj3nCfhs+hv+/qhxH9tKprrrVXLK7nnFMChjR6AvhB155ECE81
sbBAPEOV4aCOb9pa982FkcxqnsjgVlMZGgweB1JhifUDU+w0fdebXw3g5f3fJXHKfGVZL3waJ45b
1VoIGrHyoRIhP9XxQ5KfNHNfqO51z3lxvr+kIB+B4hLCNj4RboyJmmfz3tXjYHXlO1sLUJZ35q8A
btV6wjCHp0NA1XhxukuVP8HarOb8E2fOEDqgE0+ZEeVNhLTcdQ18bYEZQV8gf5hnDwVrdqY6Ss7U
RirK+2Z6DEQSezKp03/YIgS689wGuswuGl/lAcNBZjYUVqI96Pq9EAF0ZB+v4aMvrSAGKdDeilEK
4C9yhtDLjVCUTJmPl2z7obgN1MkWMmUlcl+wBFC3YOQJk1Bof+dDqxqt8UJooFtO7BBZicwXaVKU
xL5ubxeRD2YXT6XMX3ES+XRmqQ+tBimCOt4VeJSwEgB4RvhYG5jJAxfbdXELa4eRdFyVCBbBUMkr
xZokwV2Je0tvkU+v6g+lGcBaLK6EpYtivmjEQIFjoE3zXCvU2SUxHTBn30XFz6wTaC9VdyZbeYJf
vuiweHh8o/oIY4PNzZ9xsnh6qKUqYYg1fCNTkQeNowdRYz+nOIicUGkPqV8c40j7kStlQbtJu/GD
FNypzVTOCHbmNq5VdeXmXNpPBb1l+Cak81WViw9StZDCqWRoaFcY7RnaB6bjHDXHu/TbbHfQHoLA
7vDVuMA/LbMoLFgdR6lV9K10E7UBmByyprekee4H1UoBTXzXrWfpSGBUFORwMH501XAnT/JTYLhK
6ENsuwGzGJFWe02R1ysT35e1CSgG1s356KGxGRt7vq3iVPtVPqI1sGCeDD6cymHmTQagdTBTJZhZ
TrxK3GlFRWvy4RsOI6+s2vrtXbhWPb98zHJfwhlYHAVhEAFGxopfMAE+2dV7aZfWZP1pQcxIhS07
qHfMMZx2ox3HFetesiSMzQI2AT2J8HKcF+86vC+72ZJMXOF45k00azCRqGeVNPe+IfGI5b++v4si
MeljKJgYQKqRO7Zs0IMyk9LUGgYARuwAP4n/30ZQvhVreB+Xtb357J7Iks83mYRaF2kEskYgyaZs
k3URrQHLNx2byVaU+xEsaJXgXFfwEn+Uk8otquYDDbUe/oe07+qVG1e6/UUCRGW9KrU67ZxfBO9g
Kuf8678lY+5xN1u3iTnHhmcAG9glkkWyWLVqrTQD+jNJeyAk9fgoEXCfBYExHUHCKt+SQFN/ggFN
dx5tuwbydpoYbKlI+nsI6uTOPEsLNaUwiluT9OBEaerGqKxS7oD6SgWTQGCQor0zorii2mHRpkol
ufSDJKLPYa5MqVOhMcyLgl7lYFZWQiRsHJwGaOlTRbDEnM+pWs3o/zfgrkJc2kT1y8KJ6Is5c8ys
ne5I9APzATA8bq/FjU6OXXNIq4kUSJppGYE4CfGMJnSnQOYs1qqLgA8OCX0Unhd827kdqmp9M9S4
E4fJTHsXeCn1t9DXXWJNgRQHnhmBoB1Z1/YhxRGo232OVzE6tLKQ18P+pxzKhFQLFzn4XEyA7WS2
TDVPca/KHQUC2xMUO9gSvDEVa3S/iAORA6+7p64MUni8e6FOaMW7GHIHlZv5PTIZ435y800H+v5H
6VA9AjjLOZZX4r3Tj2MRCTIpBkGo8HGzujS/P3bmFh8ZKptBP+Y9Byi3tvgnM8H62EBxYAnLTEBu
CJQBg1CLP2SojIdOiNL369v14r6BnhuCcJyB4F4Azw3jaKQoyyijBRxAlF/1qblvELn8exNI+5pI
lYCFA9pj5z4mjkM3mgn6Z8ISZIByJUHqgPLyZ6uByumkMYcd1AR0LVtWSLuvQ5fsJddwehtYHhBj
ePlN4IrO7+vj4i0Tc9ChmR3UlsnisPShVbYl2QQJZ+ousz44TE9HxdzTilpoZTPAhv74BombLYBZ
H5Id3h6IfTf7d4GVhZZyiDzZpZxXGndCmaNBnc26Ad4dkchv/Wl+628/R2vRa1N3d9lmtBNefml9
OnHWIdWKVxV7M0qljM6gDpdxqv4e8zup20e84GrVxEKehBw1yvpsla8zizgaagSzojptEqBNAfR3
k5LLmLf42sVRRkC5CcoDggYqxjMgLpVI3R/PiAprmpRPmn9lXXqQGhxRU/pdQ2wQEgHo/kz8uUTC
Lok4BYvL4s/iOCdBMrN6SSq2pJYX52wHw9WT+lU0hcEDf39vVynI5gJVeRTRBWshLbwf1Uh4B9fx
AzKmmksmgSeTvnZtgo8cU4JbbUmjM2eAkQ+JvATSsfzTEneQ0Zg4+1rH2S88M8whEHRxNZASZpLi
JoidMjh2oDaYVI7s3yWQcJld6L2h3g9SsAsOiG5Ik6ipElSpIVvr9WUBbEV8iKfpyexeQ4gH1Gln
V2L02mmCl6fzVpXerh8+l12JzCcsN9ZJhEBIHNJMwScAIBei19WKQygsTm7l3gLc/TqAZJVAxm9r
bvvBijk31FoUCzAJeDaUhYiPJeHraZP1iorIslW+DeMFzmaNxaaOvrOB88xdvXhPLDEHoCwNTVQu
MWwN+iEzeQvDDnBx0QqR/Iq6YVsGA2dxL27EZWKXcgUEzEz09zKbV6BTX8tL/IrMCGDpyTg5dafw
Ms5rRxF45SCZid5/1bzYEFOktKKYL211Tpw8g48YYE2H4yMXqDcMBQoPkFc1oJELkM65j6DdXlcq
AdEdpCmHYjdOL53h1fPBEKHwE9tEd3SeQsiqX57aXLboiV/SKChUwYRNCaTLReIQHDXlr16+kQEH
kpxZuw0r9Ox6qvBWSWDc6MAIggLGViu2ZsHLxazen6hXgLnKwDse+gznX2PmzZK9XeLbYk9NS1V+
gvG+jC0hsAbpUQMeHLFl7mj1rZrsZZRMDXjWruvccnhPI7eIObfq2gEFDgD0FaFBemE1Zb5nLJBH
SfF8UMWfuXmDApENMh4bvGWcgPUPKpy9g8DGgRQrAFmAZzEnrm4GNKw1WGrc1Cl8ZYPwwSNOeuih
fOOr3ttggdryNrLMG0DXN11voTfCfg9dGaBMwxr3xAX0+8ZwhsLy27cJQUb/Mm8C6750gmPovlz3
1bX9AC4zlEPQsA4kOrNQ4H9oRhWEd7aGNx88Z47uDJFzO6zbAB83UBGAZUrMlDSRUXRRBWfIJ9XX
AZHRC+ILpOEcjkuKhp15bLwlsYIcKg6T8zUekrSgqYncytDkZoTWWCLe9vkQ75amfOgrtOJ930nd
LptaUbOnLMxfr8/l+qsOfL2g30R4f5G0w0Ur1EiT4ZHqBx9CZ42fENZSa0/wwMPOo4hbm1U0JaAF
GXKPKhLT58MlcdvpQYJG/HnwTPkjzywRgurXR7R2C5zaYKY0ETuko+dl21BnhvKf5EuQyAA7L3ok
NZ4sz58vZhfw1Bpz54DzOw9jihFF6AZwYa4C4KN/hxxbZlFL+y420D4B+x4yyofZ3qnfk88rmq9d
QlA+QlsrwNLIADDnRBcHBXKE+IQaLQtWBz2AuIs5brK6cCc22JM6E9AhrMJGYMz1RkSucCs14aee
Nbyk14UlMH+BMx0NLCjKYN8xExqKgqL1UY/mzkDfRITako5W7mbmHK4XZrDrVPSvIK0G4ZsLssIs
l6NZ67DxhGpL+3cx2EBx99874qkJJuqq0JqLJDlMVHh4CcFh1txodmgv2vFoWHXhXje3OqKTNC1z
YsmgLmmMejHXS7aSmcdwVN0pmh+um1nbXqfZYGYLd1WlATKO7TXHv5rC0WuQjgmvWvNkCttS54xp
NXg+tcZsZolG0gxgHyJXIBjSt4VHK8yeETuH5WtruEUB5NSPWG3TmLd6F9MJAJcK5kxciAgGLlpw
5ChV2sHUakzl3ZDcpPqTKHKm8jKzzthgPARLNjZ9Dhu6ZI/7akceBDtyte0AhYf7btvvQLuyGd/J
97+uei6GEU+KaCdeyeT0RkqNJINwsjo3XtAnyHw0EJ8OAs71tjpC6EqhZoc4BjJwzLlRzERMTAF4
YHHTPBgAo/R7giYOSIj5wQEpF0d0xL2+lTgzu7Z42NMiwicU14BAO79nBhr02QBmGzuqjNcoyHwI
WB2NkIdrvXw5Yx5P7TCbgaiFUdUp7IRAEDTVc4Rcn4aMciNNqPa+jjM6Y/rusYkGl0IYrgRTFkra
z9d35EUMwXwEs0cUPSMRMnJYzEm+7QKANZQGslDKQdAoSs2Gqw4QKYX562Z5c8wc1GAHV8eFQg8t
47LVgEChJLqbadvrVniDW77i5IkgR0VLexNWwL9qYBjjs4wMlvwGAts02Qcjj5Rlcciz+5yZTMZh
xUJLqlBf7EGzOHAAKMzNV3Hi+OeqFbC9wjXBy4uy4fmo0FwgIqKDsmQuH8Rxg0hl6I4yebs+d5fI
l2UwJ2aYJZpmQO2yxYxynN/0zpI/Y9Dk3kS79lXbtvflgwYO5R8ejeef7NvFHOJVjGzxH/kJJj4H
VqiB1gbmMCpeagUA5l39W9ccXbqF2p0OfHn/a+LBUZafec0mc5RSyALqUwmbZPSS+PeogrRnejXj
mzbkZQYvbkDM6hKkANGB15nKymsUIUSl6gabXjWOdX7swmOt3Lblizzf9zw8wpqjnNpihtVJwjx1
BWwpaQguAbcMHKUoLWHgbDPemJZteLLNIqJEhRYuB1mXugXCk6r4jsCUFeetpeWyrXWGe905OSNT
l3zEicV5oF1V02UWy9uC/uj9czTHlik6182s+QV4v1CAQ2MAYj7GF+s8FQdBV2FGh4hdeqMNuxnE
hUG7l8rNdVNrB+KpKWatRiUdC2BHcCDG26D4Jepblf78byaYZcrRFFCZKkwMZIS4+p1QflUjD0u9
ujJ/p4ytX5kNMoUBWXwu6hQ3FvPaIY1KrCgwtFtiBryn9qrvoaVtwUyDp4Mt5mltadTQU4C9UXqZ
45jaM0RUaqgIimluTY38CiS/fX0iV8cI0WHUmP7I1DABgqmEhNZDACH0onaS5SKBpnfopMrjf2MH
rLnIIizi1cyC0YLUaPfUawjFDts0sWOoL5gCtUteY8Pyg9jzD6c5umUB/AUDNnNPRoAYNsC/14j+
fzXlHtz9IKrcjMnC2SznLhk5zr66r07sLRN8sn2zMqeDNMKeNPvFYMmSQ9t3nRxzHvHDJehjOW7h
G+hnW8iHVXYHS9GAkx1TOBzNG0jgkNfEL/3oWO/SZ2I34OvY0jsUnn/Mzk8+Be/6Aq5eZqfmmV0t
N2Ejmov53ituuhTtC1b+me6FTeQ0flj8a79EBY8sKBswYukXTc9SJpAUIgR/1Nca3R3aYzA7k7S9
PqhL74eVpSsEMTm0V9l8H0oBqjTNKUQKY39UDxp9rkdH4HWs/ulDOPdJGWxsSNPhoYFKPYsMnAYy
j1kPsuhpB9IdV8J/mw3ZyzfSzvRadMFsGsC/vBjwDUhrR47S2PvI4bXqX3oqvgJ1B2BvZTTusbgs
EF/GqFThZ6e1EwKZCJH20guLu7L+tzgMBHOnhpgtMRg0hEQvhjvKXxSd3L2jN5/XF+6yzYWxwWwG
rReNVkAHky3et4fK1raGJ28AnNmgV8PvPLpBS6mbbCBJgj6xGK2P4sZwlSPvfbUSWYK6EBlYwFo0
TCwbAynTHAziaDQ2fam/UAXsrPlW20C3+Ed3cz9+VY9kN3HKOyuvrXOjzFaMVBMakYvR9mtCP5pu
zX59iCxl23jCR30z+dcn+/I+PzfHnN3ESMRQ6GEung4N+a31X0XKiU5488hGQV0pLW1LsPFSbo0j
elnvBTD9WcHh1dyB/vVIjvf/06DYNnKQ0CattBiUpm2sbmVxA+Xn6yYur6KzeVOZR/EEmp4gSGFC
f5RfET46pRU9QZCN4w6X9RrshRMfZOkRR3Fu425a1mdbgzrp0Cc28VJPecJecIvt5HX+s+HmFt2k
VhB5BueovuxJZuwzryuq0UBpFncc3MAOD8pN68XvmYvX1X586P0We1DHXoQSxfbm93gn3aKi5Uaf
ARyVV8vmzgVz/RdiHstBi2+hL50rO+Eh9nJoE3mmmxziTxSPXoRNfPMYHiHotuG9vVayPOcrwZx8
gLOrarKsxLTT3AD09JYJkBXxifVzkCzjK3kX7g2f16SyzC97veigm8LtstAJsD3hpVBNAC4YyJ5F
4iZts31NC07+au0IODXBnDhUjsVxnmBiEHq/LKkfYbdUXc6B2K5dUbicwCAB6DRwJPJ5MKXLELcv
WkSjxaD+SkKAoptMH49FqD4MQ2t4uSpxLpK1PQr+Jh2oQZBK4HI+t6hMgSFVwfLeI4AC0JvZ1DZ9
74bzNgzlhdUlSzgHz1rMcWJRZt574I4Wp65fXkfFCy0qd6yijz5fsuI9j8RiWZULx4A8qQn2FhN0
AcwlKXVGEgXLgwLiovuEtg9ahgynUGlP4xA8dGLvFODhvn7ore4B5Fr+Y5RxlUasqjoTESfqdL7r
y8HRMuPLgLiaqX9MqAElFPS3C4ammIR7rWhuoK+1EfVnMQ0cU+l3uap7ZUI5iaYVz0LnCdomAKpD
FZN9/hYqrY05jiCALdyDFTcGu7leOhoe9FBS5czA8mZiph3vD0SWi4aqDv3gc5+qC8RgRYnYNYwD
O56/zFJwSF9aZTR5ER72ulwQSxwmpIXmh1zlsbuu7tWTBWBcugKpcRBkWADSzqDZrm9GtNwUYcVZ
6FXnwkg0A3UBwDEY51KMqOuMEUdCNn5orWIpE4VCNkrRd/PoN+CfuT6rKwsIxvjlnYpMPR7lzEO1
FetZjA2MKs3eWzn3DFLdZ/PvvJfRbMW70lbHdmKMubkrU6N61cNY0GSukSd+0mxF09bCfdNuiRFy
op/VFTsxxxx7Na0jta4xlXMAiEU/uLEq2mMkcJD7vFEx93QnaKLQBzgOxtaE4tWvMHIE8ReJX0FC
oQvf19dr9Zg7GROzCfrRrE0wGuMoh+ABwlWnar/pmG+hEsrxDJ4l5tJthLyOxOXFr+W/i8TtBAlU
dE+5MXLsrK8SQJZgGAWJPtu+BkESRY9BV2NXsmIBZXzTjqmFThf/+sSt3uaLWus/ZphVAlUcnsMl
7sCyTUQnKCLiTwPlgdjXfeGvFWZ5IKshNkaHwWgNkE26J+tvPYBh7UYT7IpH5bu+QmjQMRYUKapg
5weiOuazGQjw79YQoJCC96DWWHKFEmYucQKV1XEZ6CZYCKKWR/25qUobiQzZEKRjIsh8ag9y9aqD
xWkuHpKc2ISHv107lZCWFhd1cwBk2IbkXJ7BJhziqM9rCNPXNzWUFIryfurfauXfNglj4tCELAMd
i2sMogrnI8uhfWTEOXIVBUULRQ9ugltJiqNNXqp3KY3bp3/vhuguBIW8KQLmzmLteigiKVlLG1uu
YzeT6M1EeVJa0p9Y5+KmhGYCNOhBtgX+nfMxxYWRQRM2aWwDya2dGsfhu06nxCXtIM5oT0mSpzwQ
BleUabEVIjn7agtDQw9bUDyW6ig+RYCw39Apb9wkF1rPiCMViRxDOAxy3d90LRlAwK0Cwbwp5aT6
Go2seUvSUbbVhpRv0DYwwC1DSgFwjmL8FAVBhUSfod/UqRmgrwv9P6Sn40/UaZl8MwZKuKX6Eqel
UEr7rY1t0ThyGkrbch4Fd6Bzup3FEDiN1kzUYK+Aef+glqgnWNmYqaDo61tpcqZx0kBPCDnPwUog
sA7ReLQTllYwZ0roxqSESiogeA2eEaDidVMIzrh4Sfa/e/QEgAICVM6RbcadKduQysq3E5HHfUyE
7NCAvPfJSObypRGqZyCd72Cq98ci10NrEue5t1rdBBdIKGWpVQeS7EX9kH50egsuHVKmDx3qoz5t
TBLZk9SHkNVDxXghxa5LV9ESAKGnTNQ2iprKrhaL8ZakOfhFCHJ0mjzqO3iS4OZ93WyFugczY98b
2wk4lx41hzF0217o2q8k6AjdKSkY6vDVpbGrWy0q3EoB6RoIukYJ4jlFZqJB3Bw0O0tr4OZbeSof
lTqKH6QcoBh5bvqnrKzB4SKYpjf26G23Kl3rLENpxI9xilHm69Ji0hzFpCM4qOMg9nRZQQdSVfYU
QttNazym6dhNdq/m0ms+tJlfKmNJbG3OEm8gZPqGyFjiZDUpSzcTkv55MrFcDskDrYBGjgKbUq2G
r5D1qYydQivzCUF35k9o0JLQZ1AF8nEGtt60DMB8DD8nXXsYQeGa7xpUFhRnwt+7eSWG0CM2jUC1
5LydoPeWm/psdVGJ5I48FL3X5bnygp6TJLCbNM93QiaKfoWZ8lqE2d91Wip4KyWSnlsJDZ7UXiZO
P4rtsUMjrRfi+No1YV75gdCaB3kABSGs0iR2dLGlfpsO8UNtBPNWHlBFteYxIm4RtNFGgWIbqIzN
frKoqg7UKVO93/ZQUssRoIzEWVq7fsuQ6UGXXB8hpuilMbA0OgYHWRDSR1Evhh8THC3uZM7J/TQU
rQ/+dfKDRrUStOqxMe+TPA6cjKryfdUQAD8yJL8tGaP1oFUDYstZoPUHzcxIsvSspO9SHKOAVUYQ
ZLwL8jzb1UEqoKgFCfJ7ZWjMx1aq6F0m59P7MDWT7omJbG7mQQpyf9aF5gBVdx23nhpRN4NM031f
pmLnDIaQkkMrpuWDKrT5XhK0+HehImKyhtlE7U9RmsE1aN6ZlpYY/fDYLiLXcVy1O23WJwfY7thN
oLkwudfP4kuSVSA38AvvVIhBgveCCRAHU89Uo4GowNTloiPMBToh0aGomw6ak1xcdc9q9aOkNWjW
cWQC7L37nGjh5MVRFcdPzscswS97aJ9+DBOgNKJYNjRZLqKUWgp2YZ45sf4xjtCY7ujvovqqqHoI
A8RgbQvSLt6rdqUScT4bTOySEiE18nHJ2gMfGued01U5+Cwku84U4MuIryitq6Whg/YR15DNV84E
rL3vsBhIUSzNKpAkOb+10NMWo1MGt5ZWfyah4oRN6Ml589GlrwUat6y6L9xWK6iTQmvPLHlKISvR
FNoOAWhAHIjHEJvHV6CmPKZ6BfNtdasG3Se2yq7PdznK1JyRXmDhF787McWE1oXQzXrb1Y0NZgMn
MkGzUrlIalo1tNz7Fy3ajOGukzgB8EoIR0CZgyelJINJgS0VJmKqBKjhIabC5afOw4sq6f48i4Zl
5rpd1smDMP26PtCVMG7p0wcEHwol6E1h4pCQCsKcdjAZodV3UCqLSgt11TYA2I7XYbwS34PowEDC
liCUv6CU6fOwUYCIRHZA/mrpYOm8ptA1/zg1sMzvSUUSx6BUFQYMdG0V2VRQspt8CN7SOJnwREor
5/rcrTyLoPUA8g4NyQ4U6pjdoKgx7m3A5yBA/VgPL2H8SjVOWnB1yv6aYGkTQ4gnlcIAE6M8OtrY
OE29+Z8GwUa7eQBwpSbBQld/Gr3f6c//RWFa/qMsBCQ9Dg+0AZ0vizyDSSNJCALqReHDQO9AUTWW
QMhbLpWHPmzvoZ9qldXAgzGs7SeIcSxSwvA6xWAWKJHTSSxFqbH7hlhB9ilmLgI1IZzdJn0aRU6S
4RKpijMD9xQUCpZsm8ZuXyEbJ0FqUZnTPnKnlaz0tn4lN4iftsV31Vo8OoI1bwf3KsTmQNIEiiZm
WvOu6hp5uRoT8lQVbjp/CvoecdF1/1izAuV4cMiYOB/w0D9fvC7EK09EzGnH+W1TgxtgREMzQoh/
j7pDJ/yJHWbvqqXZQmFYxGgAlRYL3W/m9FAgRE1zkVOlXdtU6OoErTfanBYSyPMhjUI9qHEIt0C4
cUiN+TChQ+D6rK0dDSDPwqmwvJHxijw3MfWiglABriB0OrV6LdedaowCO5dQb79u6s9TkY1KAH/B
vgIQbRGGZWyZUiWomYmoxB3f8NrRMnffbipXsed96UW29hh4uqs/o+huTYVV73JO5mF1sCcfwMzn
AHnhNNWXD0gbKxp3ef6TcJvTlhn7/48SFGjnozSHSh6TGUYEHw1ZlXvM3PazsYNN6mnb4it4au6G
1/qDR46+VnEGB7a6CKMBkoGelXO7qq50dS6gsNXU1sfs65kVfYCKkG4fK9GSfEgXcfEm60P9a5JZ
UJnO85AEGKpo91vi087R7vrWMl1iC++arzzEO+lGuBN9Xtl2NdoGtRJ+gxNYNNkqlKSWUyi3QWMr
m/EgPSNvFDvRJvABJthArLWyosd6M+xfrnvw6n48sbr8+8m1PZEUEtsx1JKE8S4RVSuQOD2aiwNe
+s7fYTFh82z0eBVTGKgPeWj1+/h3/hJ5ZmmR7+sjWb0CTidwOU1PhpLnWpNECiYwg4DWTfuWHyJX
AJrSU0E3Cnqx1+v21nfe34ExzklDGvXtBHMUCD3QdVgKdK7T4em6lcveflxsp6NiHBLv41InPcy0
TnajWqJduW89Gre2waPo/Wr8iDOsy440xiBzoijaGPW9DoPyF1C82XEWbQkC3m/NEwUVDW94a7E+
sop4VyjAmAEWdb5oYE0gsV7BPQDbb9+ajfQODMvRuFXRq8WZybXbVId4B25tBPh4xJybauKmMueM
tjbSaQ/yY+8A3tge4jfwqj4oitvtDa/9FW9Mzh2xurFP7TJ+GeWanFDUQW3ylbjhS+5E4CJGdeIB
oGzVlm6UjxjCDJvwmPGCImVl7+myjK53JN3Q98e4qBZFVVgkGuLLWKz8Jk+QoVbbaXKEMAZdUzFg
+HOF6k8pQ3vapoYSP86V2DwXg04cMJSPfgFZz2NZlyKvX4r3bYxft7NR5+hZx7mQ97ZEx20BzgPO
iq86F/Cdy7NHX2CM5yteiXEkD4aOuGZWkPiTH0n1Pkihn2Q9lLQBKch+yhItnmrIyVasD+4/hlmh
qYXDqokmTHwQE2/QQf5P0g1ncKvu/HdwJvt61JDzm1IMbtiVB/LdIP2Ca1J8NqBn/XMQjvOv9Ldo
ybyK6Np5jqz5/5tTc8nTnJyy7VyEpNSg4Dzn4ktbSj4Nms0MhutSVyj6L6ltVNpdUyrv18e7dtye
2mUOilSuAfcRMaWZcFeln5Ww08vn6yZWZxQ9+AjnQLSDJvTzoeXVNBp6gBnNACNA/lK91QAiF9+u
W1n1jRMrjON3kaAkxbSsW/RtlNuOh4NfjZpQyVuUsCUD5SjG63MQa4gRRdQk32IQdoWW2BvxrnK0
r8ozt53PpRteHRFaLRdiIjSa/cmcnbjErOUIwwvcGL30IgyHROTs49Wl10CkDvgoWs7ZEmiNBgJ9
lDCgri6AOB6tqbrvZx693boVyMNDhhPYXJbObxhCnIQDRjE1D8XgVtNdnXAO5FUTQGbgXYLMhcg6
GCVG27cDLrtq+vMWB/EJBN6H5r/x4xMzjIcZc4afu9zgVbxVlQSNhb6ivYgZ5+mxul1OzDB+ZqYi
UvPLfTpNfgZBEH3bCU7CewQsH8vGjwua5Z85U5i3x2BG+ZxSWJF09LwexPoj1R2TbI3RBWnK9a25
GmwBkI0cGboz5QsZCyFVe2WoQshK/zI6t+rdcWegDX+T7iLHcMHJZ/TOUgbinG3rW/bE7jLVJzuI
5DU0R+rF7m7Y6LfCA95zx6Kz22Prtnb73vnXB7q6dOiewi8gxNGxcG5PETttlJuotWNyiGbVVuNk
G9ffiVByyserQbn+1xK7fCrKOwbuYSzfZHelZ2h7tXwlE5h3tkleINmwbeP7rLQayoO3rMddJ6aZ
C1KuCYRuOwzS/JoAnXgNH8lDdkyolfujjZJiItjhUdwXjshrXl712RPLzB3ZozZB2zxp7QQyJcND
1h7k7mXsbrL4MFa8Fqs1EPMiqK0jvgN3DEgkzxdTjEPwAlYYZ6M7zVHcBSiS7WZ3utM3pY9i41FG
b/EtF4O+TN/FxgShMmo9gH9KrA/JRV4l6gyfbZ3+FWe/FTzS7Xt4NP357rq3XhLV4EmycDf/Y4p1
ongwTBrMGGH51rnaprpRP5Of4jjdjguXvuKpd4knftB39Plzrp71nXlimnWiaYDu0TLK3iGWaWWb
dK/f5P77c2AXe67jrPvsiTnGc0g/t1AZWybVg9y1fweR62Nv6bYMJTpq64f0mH3y0MtLWHNlIdnr
NRVxq+doq0Sr7W0tQNPvrh4sQQMIyL2+jqvX35LJRPcpOLlYZRa8j+MsDrCMkYkebYVYg/nZh9vr
RlaDkRMjzFGaaHXbmTEOHEENLDI+oEp53cDadC1QHyIBeIN+OcYjkrLPMoiSQh0N1Zp2Cu2Zpsdi
NG1aNptcrzlViLWj+tQc4xG0ldGfV8IciEYgPke9rj4KpZfxeqLXELQIe/+OiwmwpXoEv6+EiRs9
eQsqtspXrdEZ9wOx6j0QdepHtxf8wcrvR97+5k3psqYn1185miky6jCtbCCq6eJemJ3ENV3lti5t
8x7CMRu6nd3AzXmvGZ5l9uwEY4fcZZhd0/iVhTvQTEwpYA9+x2OTWvP909ll3NLsBnVoWxhSgUms
wN8EMmfwTFx3zdWrwASDGP4A2QEu8POJjJqsM9olhq1yl4Lax0j3NH2tlW0aWF28F8MHATytJSgK
DrH0lOR2EHLSfWsTevoFTOwpBkOoD0sWs81u0+kRCAILKBYUXS0zjjjDXZtTgHhwnCyFH2i7nI9W
F5NsNkaEhtEEIr3vKvNkXtmUZ4LxTKFueklYTEwFuc9jJMC0wGv70uYs3NplejoUxg+TPs/KLoed
FtpI6a9OcGvJpcVvWT0CduyEk52ZtyNPm2MlToGbLMxXIDBfLtjzCYSCboq4G1ZJXVmEfPZdAwVU
SyGPYwCcOE+qYOUoOzPHHGV9AaUYAMbwMKX1XZXnjtKCkREdsnjccSZ05RY4M8W4xozXojFoy0ur
h+BOm+xow1Mt4o2GcY26F3R5amGiz25n8jqRR2N+zP+LJyMGAubKhYcOS8VE6tWgmFqxBATj8AgQ
jhpt89bjON9KmuzUBtsbQoQWTPkl7uUJ6oNoj3ZMmlloKH1v9cKSaOW2IE6ao9GvoumeY3tZ8/Pg
A+BcoEsXCjR5kck4d8E4hURnM/StLcrim5DmdjKB429UdpGG8lKGikvXxpYUiW6V/kwDxL6Ljsco
sZLy/oM1xTcAhAECPubYTAMCVN2f51Cy8LxDvkgDbXXdeZ00WSPwRv10F0MnioTf14d/ebycG2ZO
y6YiFSSAMPMjzQG883MBMqwjJyK6dFQYQWs/IDXIoCBmOZ9isUSNUNOWiEjfzMFGjDeG9qnOb9eH
shIpwwzapvHBaGnCaXJuJukGRemWlx6hd1oy28UETe4k9XvSbPuk9SN1etTK94Sg4YCij7wiOykP
/3W0hI8ARSfONIg0Agdw/hGCIEkLqKa1hxaENZAXLKiV1S6qltdHe3lyntlhSRrGHDj2PMnxgM7j
BzmK3YqUH3MgOr1Egab4niIe2dHy5exGMbAJQM2N2oXJAhyUOUt7MpatHURy7CjynPl1EaRWPAZ3
slwcxwEAYakQoCRIpIIzrZe3Okr2CCgUoADRH8cKpUxj1sT1VLS2rH7Gw12f/UAPdWw8wM7+/byC
/tNcrnTc7CzcPCKjQBOpbdEg9Vo22zh+b6KvpHzvxC8u/enlnYtBKYoETgMgEfD/c1+Jh7yb1KHG
jMqF1fXeVODh45Hwlqjo8/EMhPel9CplnKtpJcl0bpe5OMYkkQWxb3DkKd73aN8LflN7xseD8GLU
btS49QvnlFldPRWMqubSho+2gfOBanNqCI3UtRCXnW1DPSgoC5BfYvwcjhw/WTtqAN//jyXmPEvV
oTCixRLqYZYpWaX4a0hshctrtizNxWY4scNsczrq8mgsdvLWVR/IIixg5Tv5HqwGjVPdVYGtPl13
TM7I/lwhJ0+UYIj/mcMI9L9tcFsXrwVAwmb2cN3OyjMM3gEVelDDgXkDTI7nizU3etErxbi8hTQb
PbxPHrQVINJ9Sz7o44z24equtAHhn9+vG167ik7tLhf1yQDbFCDtwhjglc0nBdiaHqnJCTQu2TrR
iXNqg9lxvQgR6USAjd5De5b0Uu0CZ9wa28YJHosnMjhIrUKMVXXor9Te1xYE8Djny+pWOJldZu+B
p1CQhRSzO0vSXTKLHjo5bC2+Rznyrq/q7fU5XeGLOB8wcydOqt5O2ogB64/apnDJl3AbJBD3pTdh
ZE2DA5JfYDzErQECh8lS3uhm3hlf4lf4YniRw/mYZQUvNg3o9MFUipZt9G0zKxzpVJtDHOLiRvWK
TbCBSuMioeORm8puYotCm7U5yD9kS7GbNvFGe9Y46eB1J/v7Ccz0j3MwoekQ12YX70zJlUCgwcNU
rm5UNBDhWEdDNwqV56PMkFeqxGIZZfnd1b/R22tF86PW//4/0q5st3UdSH6RAEnU+kpJ3h1nT05e
hJwl1L7vXz+lzOBemxZMnDvPBtwi2WyS3dVVt2dz0ZHOzHCRLh7KIpBLmElsWnc/5R6cU8ccLORo
ihf47HJIMCEgBwQgClP8HTme4mEKfNhiQ7RO2t+TZuwb9bNhumP0ANIYvQN2dHAwxH/Q0eKaY3e0
9dqdKu0oRdZKSu4HFgvi4eKdGZ70z0fN63AWLyCXh94gucShQkwPnNCeBBGUcTuGeCK/T+XGku9I
KzA6u8eVByOzQaAgjcngVcblyh5zouLkTC35IU6NJzHv6NLFDqDVf0xwwyJBLA1jiUuBmhGvisD0
tZZjVyrYdpR2QSaKR4sb4swc5611azdSUMMcCWX04BZOABjfBCj4f/DWMzOct/ZGoQytj4kzYmDa
6lUeya5CZIC+3KITBL3FIYG7FVEGN02U0S4dg+EeGnUFHEOpS6qXBkVbxCBkpr1+swIjB47iWW8e
EGO+lGpkVdLgVto4lfIFuc06gba0BhUppH07mkZOYFBVBCxdcj8UbrEFgchFHZo7ms1pMEpLx2IV
KbSsKnKX9JUgQC5Fr3MTcww/21VSqZpWGWJYUhg5UnBKQHfFDEpEUIel8HVuh1uksIwxqwXsZDMv
X31CK+M0oI8HLSSSwB9EpuZZPRtSqeZKXGswFatIZFm0qFS0BzhVc0jCX7fd/FsLjw8Q58Piztsq
iw00CuL5IG1a9OiB/OTYbDXPdtRTsR+c1E0oWGq8ab2zTsHjS+S8MFf0UFuKIOffwEWQtGr7Vm5m
z2wzL828fspXPZq3dGWP1Iok6nhf2m7n5rgIUnZDOOYWzAEB9SypuOBHWohmQ6g13J7cRddEstWY
26BsMJdcriNUrSYitbhza+VqIodCO1rscxJ5y+LsnVnhIpVth0mqtsgHhem6t7oNemPBfLgfwIhQ
WPdMlJJcoLdDHDmzZ1+OKivLwvQ7jCofqfUFvHj6Tlz5gbzpIJDvaMEc6XV05Y16V66alX9kT7dn
dXH5ZgVJ8IQAp8cfaR3RpSEYMV4p6tBEGSI1j+Z4Ae5kMXCdGeFcko1GIH1PKvr6XVl9C1vRAbNQ
58c8gn7T1GamQPQYXc7jFKNsOfjzi0w6lfl9xn5UbG0Ov0Ltd9WdjAgKlUcmrWP5+T/M35ldLrr4
qgLW/XnH11CXVuqAgsWAKqJX2ewFV3HlzAoXV9BUnHaTDytldqflf7TxoLYpNTTKCrS+1uBsNT5u
j2txt51Z5JZsyIvSzorZL+qdHf0AeQyrf+iis3rBCnTNIRsM4kpgb/kKSocOnalRYaXwJScyySqB
hEhsnTolFJwCC6WpWUL9X1PcQqF1U+1NdDuj8Z3aT0oH9rjwOK2lo3YPDvt0y5xxb/9QBKXFhXAy
ayXONERIoAPpcumWRS21hPVISjbF0UL7jFGhWxQ6bEru9MxrRXmyhd18YY4bZIMeZ7OPYa5QD6n0
qEQbRXq87RgLYAhkcs+GxPniYBT9/yJqKtBTAbdfuWl3bBPgklDOCz2l+2q0VWXtZeuh6vZ6dl+H
p5q5LQJbIJjdpQc9vgWoE/CSgIuHTy0rtaxL6JfAeF12B/ZzrGz+qTmP4aE7NJvgsV2lEvU38SG7
M+gueKlF6LCFy8XFB3DbBDQNRQIqB3iVv/KHVRG4gf2js++KwHRuz7twrNz5V0EjLAl1mCLMRSMR
eiXQh/w7WP2JD7+iVfSWK24IKlQUyA8tGPeK9acoOSoaLHc2WiCLMNGsgddz6oJTXmNQ4QXhHfsg
0evtwYoscadiYkJwODMwVg00Bf6+THZj8liPT34oOjjmHcFF1vMF5JssIYgDcoQKlir1UGkfTSy4
UC+0baP1XYNqJtoQ0azBF9DQ9ar6moaKwDigbfkEJoshWZVkNWX7cXAxOMIA4dB0wW1JW4g8IBzG
piAaGjhAxHoZeQJW10UyaEAWNMStEN+GAURV6wgkSCrYNSyfRrHDbAPQyT3rjlKwL5E80PcGuev1
d6N/CMEgqILdqmfr2HejvPOmmvbyPp5WPYQ/Jrx8CB21bWT5+9YfaQhEZFfrTgNt6Hp47YLCa5pP
tZ2raI6ZjrSI92N1Mht5NQSOjQcTAze8KAIueA7w02A7QwofxHb8iYKETJ5Lk457ACIgAw+TfYxj
x0b5Tq/c2066NMPnprhgm/cawFLqbCo8hIaLjn8CREUouRZzjUKQ2V40pqJMCoFxHGJ8dYtNfZuk
BMaSzqZDOq1kyaCN8g68c97eRYWoKLtwMs+G/rHHBba2HrMQb1C8mqRX2Sxdoj6jhL2aWu8/TOKZ
HS6qKZZPitqYxwW4VFqnKHv8yvU1mYJ1YVpba0oEG2NhIglEkiEID8wiWt24E1lSA8tXDasF5sCT
WbENp4+xOUpZeQL7h0i6b2EWCVQeAOjV9RmZzhlLM7OcbGa3jqr7UG97Gf0JmYFVL2KQXDj3L+xw
rlgoJEBzgtnOELohPibKc9gJQvJCoLwwwR37ZCJ2SErMW+Nrjkp6x9AEV7TFQYArHQlGhCtD5VxB
nYjBsgCTpQXtW5NNblcEj1kkuDMsjuPMyuwfZ+mATrEkI5RhJUZ8I01KcxEfqmgc3OEVSYGtFhMs
lGjvKT0yIteFNOntfSMwwmMm0LdGGDZI6wx6TBt921saIq+AY1cwV7yOjpWWnanlGInc6idw3LhE
EaKHFwI2xGf/WXWiXq5HVcVlg0pb64zZdAyNA+gCoMCIzriRuEWYHdIGxYCgx2Ncps1kotANeHGg
uEGXUb2X1z4IaWJRnWBeIu5WcPFR3L7NOghf2BJmN21frPypHO8Y2yf1HlUpBZz67cPtxVwME2dz
wG3fyJe7LFJnnwz7dReCpjB8S1RoRAvAcaL15PZw26EtrLDnPRxH921V7tPs+fZIRBa4YyMvmW0N
Miz02rufrdVGEfj9Ut7/Ymm4KGGEyZTFFeYq0eVnK4rQEzH1Fm3t8X7oJM+OrdUAKeWmfrSZiKdA
aJwLHgGbAGDtfWwI+Tn1Kxpgk7endLqvjd0Q2eAJ3mcgYrw9p4vOiKwXjn7UHK6qDnVlGUyTgs5J
EbH8zAu1iPYlOsRamnwaj3Lz57a9JW9E7wk0BU1w7gHFebkjrUGrgYiFvdbuvtIqfx6QC2shfSoT
4YTOu5vfaOe2uAkFu7GalnHYOcqhTt0KDXyH4tM8+k8v6mP1KxfkoRbg7YB4nQ2NC82WrwEAmMFc
90u+C1/Np/hu/FPatNibUOzyXH37qj8w9/Z8LnrNmVWe5b0w1YTVCazider1X+ie1o/aNgCNJi0i
gTHB4vGQSkspQAaODmoHhU4XrXhok4QgzaOlrW8Paun8OR8TF7YDPUriJoKdlEDzLNH2QQ8OoVGU
IBKZ4QJxqwQVSZvZDLhhrX4XIbsmytovIcfOvUKfg9rZlWC0RnNsZyPSBsWIdfUePWcHxc32+bv2
FBk0FIThpYLqhUEuDlug1OzieZHq7JV9mtT4aFyQ4njhunMaHSoKxV597ipqPySv/79l4+Iz4mZS
hRUsE/Krt15VUtNSfrltQzg8LoB0Y6xIaH3uHONIgG76UGizD3d65rY9hpS/TztwPbh6QdW1JXpu
CwKKzgUUnNpGAG7xbq6Lg3NXOWkoxFOjoDnzfsiAFYh0CBbgVN/C2aAa0qAFCK3mS+/xxzS0iwYM
R1oR4m1/SpNdHHkJcdW0dsPoaSyPmb9p23WJvvfyLooFO3EhwzB/gI0Mw6yXiorn5QdMICtE/wI6
2e0exBNd4qaF7ozAWNV0BBN3tB2hHDb5Xlp4ooWeZ/MyfF+a5nZObjHArUxonsTGnpmoSUKp09rE
/TaMj5J9SvNDVb7nZF2Zr7ZOOxU07LlH5D+K8mngjQI6iSF+ADyU2kz2SOOF/dEq/c0ELQezeEaW
RJXeZ4kmGwDKugCNZ/UxBLLTNCc2QUSy2BAVZJ1s22n1qkL6oj7UU4xCzYc1SZ7UaM4wrhR1E01e
kW71cpdLmVf22wxC49HWyCYKNfHJWhvjuuqe4uHok5MOJCyLmJtmv1m4Z2lIQe1pp7lrT/dJdMpU
F4RzI3iKi82QnaJ0G40rucF9NXtNLUf2N5G5sexX0OGSBhmBbJ+MD8lITSV2rWpjlk9Ws0pjyCV2
B93YRQxk8AepewnMNxsF/+kQV/ucJE4Zb838MYWWS/3p98+om2T2k9ltcoOa4zompwz7R+6gMRz+
qjUnaE79tOpM1Qt9qqXvcv0jN0MHJRGKS1FsHINZOfwli56k/BM0bK7t9xQXlsZgmK4RNTVtV0uu
Hf5Sc93R2A95RLfgSSpCND0zqFhGm9Rawf2cKH/xy03qr6bmqymdyD7I/glprK5+seKfPVq3gvLQ
ocMEXJL65GX24MTdimleLYMdtS0PDRvXunpKSE/l3Fpb8TvQQqs09EBjJDrvr69OQFPrEJwGMTzK
QjxRcaozH0Sl7QzGcZStua1Wjdt6IU0ONW1kKt+To/lSefCwJ5lRYTvvgnkQr0BV3YbUwNzSe7kz
y0TP22qGCUaHxFWd3omd7FRB34W+PRkH5ma7XygcvdWeSPToGzvKbcwLy9zGNMAAa1Y41L7hQT60
l0o6vbGSpri6Oo9ghDoWXn0YN8HWdAs3WqOpXXaZKzoJFuLDxWdwsTHoauh39vgM1WmdHKYhqblG
MO5X+ftLRnHCueYhpu/279uR6foWhArF2cRzx1xXxNYom6iXDcwN0o9C9eqioC0RjW/+/lvTzJ10
aADqS1NH/Sql6Z3mkH2wijHO0u3Wjefv603riFJKC4Wsy7FxJ1waoEmjsTCn6SuUs7bZqtRo5SH/
6H42x7tkrTu9YBuJRsndmkF9kYBnFBZNe0f0tT/cEWlze8GWTtGzFQPb6+VWCcbCMuIKNiKD/ZT1
zSRnW4hJ0Lr/RMXJtZPhs+nBhBsHMfXBqT4qPe3D7gHcgoLnlnrbeVC0u/wU205UUP/iU3AZfLAD
SlbZNnLjO9/9Ga8Hd3rEqUZRZqH1yqKd06+A9ndB402fbs/J1XfYBOhwAFYJugkAfuc2Ty8FYyKr
Pq5RY7VSrdIpEVxr86iKWi+v1heGwAYBaMVMJQf2L27AYKQuDC3skXhT0XgLwi/JIyIuwesV5qxw
e1LtyJQMkEJ2qpBaFZ1wP6N5tM42wN5uiZMNNEfxSsRBJBobt0Ozok9NVka9I+UPTfRc6GC4dm6v
0/wXF0GAGxi3IZGxlGr0+cNEJMtQeSzTN1UiRuQN+ZgfzTZKvqQ2EjWtLnkHWpfQ+26ASdviH3px
BJhMNyU9yoFruQaTgfraV3uVvN8e3PWT+Xt0/9rhHnqTpnZhMWICbdzrXMjrQudtB5Ys9BsfrKfs
sdjrx3iro/lfsA+vn2WzZfT1A2sJplWTbxtg5mSDfSPunWSLXbc1ZfpW0c4ja/RleHO/kmAdhQa5
hWxZ2YZVC4PGsTmEyAyvbUd/MD/61bAOdtadMB0xB7UrzzkbIRdYQY2agZwJBkt9Nbi501EVzc64
qa0yp2ai+Zw//4a17zTF2TO3zZK8G2VYG1zlZK1nPTtaj57qzO+zaW2calyM0FL+CW8aN6Jza3Ej
4i0A4iYAJ6+6wEYlzzN1SnsAqwBp7TZQLKW9bogGubgtZskINOSqkDzi9rvRWGZhY1px2Wq/2rXs
GJ50KHfFT//e9CqkQ+7Se7Zq+v/kOxCbR+livurxh0ZrgQTcsGAXhaVf2gOA9SvfTX6qz5OjO+Wp
/SnYlurSYp7Zm38/W0xdUpMmAIOaY4K4fgPGceBPnXCN/kS3l2mL159gZq/xB/N2PLNILi2arZ8Y
qYQRWh9spCXy1KtsJXU0WhkumHDq0+iaa2mLBpHN1+CYH8VOOkQCyp/52nrlwpBeAmcM+IvARX75
DSD8r62czMEoOWjKl9X+uT2ty4M8M8CFACDLelCnIJY3AyQYLLAQaJETydZj1gKe2hY28C4o5Vfo
exs1pKADCungT7UPNqyIHDAhU9XwqT2Vp77ot7EFwa2+erJ0aEoUUih6YFxf8+c1OftcLoB0sRWX
sjqfbsbW+Og/J5obq+Cp2DyC0WZj/UpXU+9GO7IbHMVwB2d0n/4aAXP5CTzVHJG0oUp0zFg6bUv5
Q2ofLMh0WG8ZOmxuL87i4iPBYs1ZDjzmuMWPOr2ENC7i14RaVzYVd8Mgr2+bWD7tzJm/AAzw6IDi
nHzITDxP54g8tQDM4lLf3q30PUnp+KOh7FkHj2cFjOSqWt02vBi2zuxy77XIr2ISNrALuYetVkwH
VKkdlo9eEPy6bWl5Fv8dIXfZ66JRnxoGS5b9FoavmkgHbumUAcoFkJe5p1vj7yVmXQSsZyVckunr
GkkP/94eHvtsrWTJXSqCeyyN5twaFwZTo5iCOoG10X5r2SpvRJgnkQHOIQwz1AdlNmBYT5ryuxFR
IMxOy0c05HvBCjoTy4EE4TKiKepIiNFVvdOZP2vdzZt1Ha7QzWIz5/a6L96/zyxZ3AsrH9BWa8aw
FBK5g8pAgIxzHB1T9pv58YqpBODSpHGzzn7rQ+h+yFnzKnfoZtCt/M5PaoHHXyN2ETig5qDZCk5r
3GK5mR2ZVpIuw/fEXwpVbLcBqKim+eEOICUkRBoRRfvSFrMtAIAgUQgCTJsLH1oI9YCgrHuH+a07
moeCpOiu8aBldHuiry46CE5IxWq4gUA79IotUE0bMvh1DYmUxN5pbYncmnlM8Gy9bea6qgTIIyKG
DOw2XogY06XnNBHrQGkwq96Gj1b2WXQP+eCiAoNI7wSZV0sSlIEERq/mcLZpqxBQg6/MPaKXNiX0
JIe5D5tR6ij1U4h3XA4G7t7/f9qZv+PsdmOqbcTkDK27I5LK7dOYrczpVGlvt6dQNBrOI4oI98/A
wmj0pKMBiPZS5UmTH8fo+bada4+YZw2KYlBylOHynKeXIZoe5WYeTfLUdw+ZfCpF5birMPK9MP+a
mMPY2YQFOgAnINGPncH8ycytUrksd2LtawrXt8dyFQ9hyAIDAHq5waAPEoJLQ+gr0aWxG2CoeGCV
/Yhav6A6tmhhlmwgYBsAezDn10SJAj/05RiJZ8iQvGlEcIdcWnXwDoIhAlwG+tWzsg2KsR4aFfvG
fKnJCqJqNPZPWShqmxTZ4a6S6pAB9t4rsWOkLpvRjuYLS0pcKAXjWZovdNV/YwOgQ8Kzn7ZNqscF
KJ6dyj6p+Z+kVwUnx3d/58UZpQGRRcBppoDjCFoQnP8aklnIQ2fETgFdaWP7AYoJSBp4/ke9Hj1Q
gdPXo7ojK93zt2Sib6mr/u52zG2oRSU88iL66XsMXIfjWkhCvOD3uoxF1NBwCw3o708/8/tKtqNs
zHQ4C8oh9fAstz6FEh2kuHRa5Ufb/tLm7mrSruLoAaQHG0mTnlsVLTagATEY9MeMUsTNsfhNkMuA
MuJMGMtv96pN/NpUzdjxjWTvT+2+CpU1wRN/xLYcJ0Fy9rraitUBkHEWfpzPHR4Dn+dJHIMuG+tf
T8WP0fRji4KXylQhyZCALCAaFQ2y322pg94lBf2kpnUmxM7MfsdK1nl2C34GKPKNM+gK2rbgcI5Q
zPELNbnXwQUg6k9biIYoxSDTqIPYT726YqODdmqI1CdOOG1G7U2ODlX2eDtILZpA+ADdhIWIy+s2
AKmmVJAmS5xueDLV7Rgf7E6wKZaOXyAV/7XBbe9RV0pArGHDrt6nDw2ri14I/Y8afrTdQ8Iqqrci
5o7lYX2roekArvLOXhZNq+Vjlzh6tWXsK9Q9jXzenrmr2zvuR4i5iO72twnu4PVxV0ux6IlT+14P
OMQX7qRRBn1wT60FpXrRaLiTxB5ZEmgtTNlQxWbKpg8/9ElwlixsxYvhcIsUt2BsUmTYAHMUDROq
ma+jlVJb2RNRlFwI9xemuGNLMcvKVwqY6vNfirRL6q8CLK9sfXt9FgYEKRJ0LKCiqQMHPk/qWbzz
Jyg+hhpiy6gA/+hDKleawBEc5odBan5noTAnepWiRHRR57ivgsQfl02uGDKagTkwy4odVULeHiBj
tyftwUYfkzmNblXaQB2kK6ns15Um4h67RjbMxhFINVDy6Lh2csaHKUb/1CThstHZbtXLG0m2V6ac
O9BPWaGz6mVC3iEsKqoALlOw+9tzvXCw6jhVlfkLTHCZc3Od4Q4BJmsb10P2s0fjsFqLspULPqMj
TY8oYloGmi+58SUQWcUbyI8dy/cgsloq+yHz2uz99jiWQtWFGfXSaWyjlWSpwjTKr6iEshfyU/4x
uqpx1FDzFjjowq6+sMXdFYYsUBqdwVaHavvAaFiebKFUzfwn/IUEHAxQIsSJByQVtzJ1NYVTVbPE
yfRhFSdtQRmzFcdslHENDdqYZnofu0keM3eImuEOZCQl7ZRe34Gg8qFrJqFU5TyF3Bfh9AXfPVSY
dDxmuS+aoh4Eei1Og7EEcahh0MmE6ljb7c3ScHwVwA+7uDMtsh51/xiY7CEoBQ2bS5EBuwWlEg2n
KuEzVyT0kVEvogSNTF+JadLUuvNl6b61+3WOh6HApWbP5MYLS7OAMdI8oFnglpl0dVJHOsJCofiE
Aul0sH3wcARlXv7oQiNCJkY+NWwy70CydQR3kelGUyzYoN/rfPUVNlKBkChDdOC5VnzoGEMCN0jw
GDHQ2Wl1KTglmJFqz5IdqW4TA7tC7SHOgn1VlthkYRT3oH7LFJSTzKh6HkjcAgQkmdqn1THixhJB
4q/U0ngnl2MWePGEf6J1Y9TPuR0qbuEXQQXYXjN6bDLSF9VocAo3ufIsN5r0VWZ1uYackfqq+0DJ
JM0IkdBAQzov1NJXqfV9iGOkVnLfskoog3C99ZBAQooeM4HCsaxxayKHptyNSoitp06uhDf5MHyA
tVrwNBdZmaPm+QlkZ6leJLASAu0QPbV9SKGweNu9ruMiRoJjB3xhIA2BlsSljaJKc39C6Q91MZpN
QHhbjLYKDQLRoX29aS4N8fcDO2t8xYShATgyTfrFyiNQWFNFy251e0jz8X/pqmBqhmwpQQkBOSH+
USD5bWJPJkJWCHXP7NSFbmM+dfkdtkqMxFcq6NxYuMeBHwSgQLxATOSHuBmMh5m2toNOr6Wyh1Q1
7zP9F2hjXbAf0tYiqyH/fXt8i2e1Bu+bXyHgP/x+ppz5RdQZWt+aeeK0o2dbD2hSzdq3zHwOus/W
fghVV8N5IyxqXnsj4h08Bf1c4ES5qir2iQqOq6TArStoNoMC7Fsdn4xKE0zn8uisuY1bA+02yk+X
Hhk1TVv1GkaXAzcXpz/rkdr+HhgGNjiW5qnmrktrWih/7TUYHvKkIGewkbvk6SQtrTF9Iy0Tx2he
pvZpKHYsOjQSjaUXudooouTOdU4WFy7ApkBcObPaGHx9rc3bAqL3VeJozUvauQOywLGLpu4mpmb0
Dlgig1XjzhJpxixdtc7tcvswUoNMQlc53LVu1qE5bPpRBOu53uoYGpJKmExjVpTmVrBq+kZNMqwg
izZgdiz7zVimjm44uTH9dYi8NMXdt+KcQb4I73LHYoAGMQPS3wmV00TgHKIRcfGeRWM5VQHMQFOd
FsP9EL8Dp+r44++gzQVDWoonKIdBusxGQNH4+43eBkoN8gSctARXmUc7sqmtP1T+Uysjj5IJrhfX
PDrwQwORxAaJk4HAyYUvpZRAhkfmC15AJ/QQ2cUTmGVY5EnlQ+2/2tZa0o4t+xxzFGk3BM/U4i5A
a4ACbtluL4PzA0S2afGUTJvMcMNMxMexNPXn38f5q1HWJNYZLh6hsoOETjeuKvOB1D+bUHDFuRb4
nGcCmSQwHEAqBbRPl4GHVFatBDpmopqRzuE6Ge+TgJZBRZv4oTRGN1AIjZvMS3JE9uSjIPvcd5Ly
l0528fCaWeCcQOO38TAIC0qzf10eaZefxrl5q0K1bZgnoUz3owysfeQhl15FLrGfo3RlRG4Xb3LJ
TVjqZiI42VLgN76JdoHvRaPy/PvZcVOWyBIjdZ84E/DgOdMoulJ7kSTT9aGNEZ4Zme8pZ0biurAz
FsNIDy7qhurN2gTHe/Dc6wBAn1RRKX3+u6sJPTPHeX1ZjjoLR5gz9AjkwVQjdwOoYW3Rs3PJe5GA
lAFUwe1K5w+zdpTgcjmiLYk7cAJsq+kxwLNFUz6TRLCTF+IGjkskpTXIc1lXpMymr0VpqMEUGiEM
JMVSs6IsPzGFxsTJY8G9cWG9Lqxx69VHKkukAdbiaDuVOfQ9AhoGGjVUmmofhK16ELTevvcs+OGF
SW7NIl1TM72DSbUinty0bp8fZZFjLCzYhREu3Ex9BIBABSOsTynIMHAPxrQCRel2peCmoy6uGPbT
LA8mowGQG1CaRVqijfMcJk/hsO3DuwbFYBRndfBzZs9hhGaD7ned/Uavrg9NXFKBCwQMcfIKXZ9h
uG3YqvITV2m9CpWIIWlp0K1wo4g1aE6cehGn6+LUnH0uNzWIj22mhvj/CrpYdsXQ1r82y5+9ZHmm
6IormhouxVdZoFGDmhQO3PJnrru19BaifmQ3NA628uhV4aogB1vx1Py+MXbpmDml+mjr70kKMgPR
EXSNVkSqFnxG/7dQQAhfBqdaTvxelvE1NqYZJMfsqHeODk7gukNrC6N+/95Ww1rX7zPQtaAR5Lbj
LwQrmAfy1MBjE5dGbjIk5ATqYb6a+uX9YD+r6DME7fcgovhZ3F//mlG5UUqTL9l1CDNZ/R5WvcuK
TYbmkttjWYob59kbLm4UA3BlHcQsHWJtu/GP0T0DDTGau5L9zEGEK0QZLWRPZiL8mase3BCEL6h1
9hQMvaLjrQQwEeigkvDFhIi7vxu0iQ72G0FKpcEVRzDMa7I5XHzBo24h4aioqBhxh6aZSmPl50aC
doX6tf1MPfKTuMFvcFGhq3KLNiz2O6D5W3O09iKo2sI6wjTUDdX5/QSKlktvjaum9M3K/K76WJab
Nutu8P56FU1QAwIhBsEoG3p9lyaK1CzQ+Sfh+CxDp7FWBjRtQVwtG1QPXcSiKBdUMBa2wLnB77zr
2fXAULNKKQYfbgMsaxIVdAq3U3uIiKDEtzR3ZwP7fpye2elkxiwttfGekKBuaiKZNNBatAdERtTL
2TOLVs8yRG4n6HG39x0CGJBIS2ohWJvI6wCtjpQEPIE7W2JDmlISw/9QzzzU0BckZbRv+tDLU+aw
LhLM20K8vjDHnQ2hhCeEJMPnEvV3XIYQPVZoInmltbMwlyKAs8ga536V3oITOoM11XCr6DMC5FOr
NgMaXdWHuP267esLxzQyV0h7AM40b2o+9WnqiV02wPE5exTl1+Azf87X467a1p61BUj1JXS0Eztk
NLqTPgDS8Yp1dHARcGjtifrbrz3n8lO4aZZl38haU4ocE4S7xrBrtI5m+er2gK/3GoygmI6EIArr
V/hqfUpRCQKNtKOipK21bimFuEw+miL+z+ujAHaINeeUABEBjvFyG0QTy+UihB1F+YpND2msqXxT
s4h2xkNq9k6gC1543wQnl7f+S4vc9OFdHSm+D4vk9BE65L32nqJtuG695182nd7Dx19p7YUOdH5C
WjRUc8NDQZNd/sRWk0c8pPbWogLL9T69/CTOlRO5z5UxnSfb96ps09m7uvlh627WCJ4HC6Wpc0tQ
F7mcbmB0ij6b3Ric4gRJXt8PV2bjg2aFRNEqtFMdN6cq/60FBnsMFCtYG60t5BJfdK5/Fp3wDyJ5
VFjfG/gKNCfh1eCBnsxrfiYyvR/dgpZuiG0D7TlTMPrFadYU3AFA0KYDbnw5eL+yQW4gI/vclMca
clSJ+mCZPwbdLStBJFz06jNL8wScnSCpHslQO4eluEcvHYAKpYHWa3RcaZugf+u0B63567MRC3tm
kdtHluZro0JgkZhrqBlPqolyxMkv/kMlajb0T9WDh4tpQ5AN41yPkE0nNBxdqWmHtmjkAqr2y9ce
5fB5sO8UEc/G8tr9Y5aXBPWZHDEjm8enuAB60kq6N2x0O3tyL3iRLYbXfwfIF8EVVhl1msOSpHl6
cuyne2V8vx1cl7fhmQ3u8FckqTDbIIidGnhfJfdSJLObCShkP6R69wLhYWncdiJE7sLIgHsGRFZH
ggv5Lc5HooCwzopD3O2jg6ncJ/p7+vc3DmQPz0xwwTU00IfXj8hRxdl9o95X3UuZOxPk+lpBGF9I
WV5a4mLmUAKJhBIhHqLvMShIqwwdOd0r6BNX7EDuKBDkGg0+d7jznOodiejXl/yRCPIf173B4JkE
Eg5oOCgLQW6LiyijhffagIZDnF6UtFRbWzv5swTp+GsO4dgMRJO74Qu6SaLWjIXdcGGXiy9liySl
2cEu0P6J/ATaGQtdbAjo0bj5e1e9MMU5DbBr6PACCxTEhL4a6d34E/ROXqD/qD0q5asSHQHvFryb
Fo6HC5OcEyWSpmVgmsJLO6C98j7J68o+ZKJaz/wv3D3gwgrnQGBNqafRwsBs5ffYfRLJ9e3HMnhM
wo2vCmLK4oigIzBj8JBd5sv3ctvXQd8j06ghUdChKhfWDkugEi1YrcUdfmZHuzx34r5TSdzADptO
qu76xXMnuqvMf8FPGxweEWTOk+v8hS1rrCBXfcDtfRVoTvlL2Li8bABqbt+Ni1eSYMRCdsCcEoxB
IZ4Rq0+T/tddLNi2MxJyrkwB2MWDrOJA0XsMeo5Sv/Pi0WD/xYPPDXDxPWgUdZiyFMjB9EFGMV2N
T2byGIiuc0vLfW6Gq0hVEdQuZ5FNJ6i3U/ZqljTyBR61FGnOTXAeBVpbFgwxRmLlr1L4w849S0IC
boxpUgqi6eLCG6CShYIMes74BhUr1noQTKO+pocHrSmcOv1r8uF53c8scIOJcVnJ87mq3OBIQB6o
0AW3sMUFOTPAnQdVUyCHZwMGIAUvofZMxsGJesGKLNoAtzHYh2YgEF8ahDA6hNgHlODz4SSB/DY/
kPTrdtBfuL4a6pkJ7nhJKlbHWgETxXjXzFx/LhRquuJYQmajKN3MtAURfykWq6AQ1r77TK9g5UA3
gCaBIOsYjKvSqF01x5ML9E3GAfEZMuICc4tOfWaOG1+j2xAtnlO5VnXolU1ovprEHasNGJNvT+Ty
Wv07Lu7w7Dur7MIJhtrhw0CnLiC3msDlFseCIpby3aV5DVko7f8h7cua5MSBrX8REeyCVwG19Vrd
7V78Qri9sAsQO7/+HhzfN65ScUthX8fEPHgmKkkplUrlck6BQRgk5I3qZai+JPHejNCK95zKgFwl
gkQKzBo0J0VRw/Gr064vXhC15pXXoy/LlgxYrC7aH42IkLqMQGjWamh48+z4TclLynkSuLLx6rUb
eYF1Bkgw4lVQ0Z7flCq67YGYtpi4QU03AgqAr3avIf8Xn3YiRrA0rU1TLY4gRlePivJeK/51A1t7
SWAaDV0CmPMHksjvqsXJS7NM7ZSFS6NAPRdBDVRxJ818I9F3WjzcqMP9yBh6SXRWU+Y2km7vlZII
sgSgeUCeeWmCE/v+U2YkxGlnuKJ77abYIuXrqwpF4XZrjDQM0Ek2SkT+rj+I4cepyMWTnOgLTwHi
+AYi9S3bJ08vbA9UfO3NBQZQ9QvZg218rx21r4an+FyhMvKdNasxEPaAmhltp3jAnUtvjcI1ZlBR
eaPzUGY5tdLdoKDna399V9dOAPowlgAFmVnHFELTuAV2S+PgBJTaVg9/9tPDRGT555UWK2zeHyEi
SiYvpq4uCIR0lYcWGl937kLyYZKta3ka6rnsKXW3TS453GuX/KlU8XBPBoq2i9SG3SRtSau/HzKE
WuCpwx4BpA/9M+dbxPV+ruYKB6IdFRvY1iRttsYU6oDzIZndelanuoXkFK7dlwY6J1F2R5M6yLvP
ZY7GrKFEAplhazLwOjoDyH2aSgFobNI6W2vQdb9qquQOzNvI7U1A5PgHg/mjtJgdQQG5yZxF6br8
VpB97Xx0UuakJTV4cfJOZAg7Vw99WFdA4Me86z5uNDpwC80nj3n7OCNF3IR+qQSqHlxX7MJcHMzB
YWQZxwBvDZC/na9sjpHYarAq7g3ufDtm5CljnWTtLjZvEYFwZ3GjeJqJRbph1MfG7Dn3mKMBhiBO
aVlFGE+tQKRYfpaYfghTZ4/AThLHXdyni9xlnBhXN3q6xaZb1x2U3mhqyNVu9cQrFTwTgLKT5rtK
lU3VX/gtQZbgNQvAIRWkxzJWpO5oB2qDjWKrL21e86fGVQyJl14ThxkOB7OLGh694nM3KuqpyUnD
PcsNPwGmjLbNltOGY+5tKMnTdRORCVtM6ORGmMA+UDcD9k9xM7/ATW4DkVJ/CWPZIl7etcIqCq4l
UWOMx5RYxRjIWhhvapGemJRbJ0l+ZnF+h9kdJHtVlQUYpQZnDBn4r+uqXtwL+AD8APCn0G2O0VAh
aCmnUa/yFh+g1Ui54n8ug3AaPkOl6SXn7iIg/y1pIY4FliIGoBbjPVlUc6zLtDVhnK4ZAlqkB5Zy
nYJgxDDpAoBvqrym3CKTxJGunQmEMv+JFew0LasyNDSIrTmhZh8kxDdxzcYsBDnb5vpirrmWU1nC
bjLOGytVsJgJoLRywKElleSEr2/Xf9qIvRQVr5QmhRwvce7tuKXDcMOzz+tarFr/nxUT6/wObjMQ
lWHFIvYrQcSTxDqyMtFDW/eSh8aanzw91KLx6eiU60xokwGZh3Qgn0Fvmeq+zsbkNUn2WPAKgLC1
hIdFJnXR/8QQVTuJrdCEK6nTw5CrfmXf1mlGJw2dsQV4MjdxW0gMY9UIT7yXYPtqPBA17yHSBAND
VWo00brnjNU+yK/QmCWbqV7dwRNxgs0nHe8dx4W43JqoEe7t/lg3QEeXDemuykHGAMxoABLA1NL5
Sg6YN9amqUP7sFvexCHxrL4IlCqjNpNlclZX8ESUoFJhZ24PlE74qQa36jd73CXZ6Jkj87gd/8tu
4fbEKwSzaZiZPFer052hKhgOgGV0Dp3KbyTOD7Wux36BA83NUXKoL+PmxTX+ESgygVhE6RiI9Lin
a+percyDnTQ3TaTuWffexvUD8qZUi2GmhYpjku+vn/dVnwJ4AM0hjgasTGEX6zEvw7zGLuYKcGRr
g4bzZ2iFEj+8aisnUoQNLAu97NoUUtQ48ZWu36txuumykgJhV3LAV29VdykGm+CTIxcYJ2DIGHhU
QJbSBjrQtDOgVqeA7438ipsU3E5jhCd6KbngVtcRJEEGMoKYtBWfWHpn10U+DPArU7gZf9NqG6lv
K60k87/qv/7IEV9ZU4zBsELpQYyVuV5ufG1AEAtW6d7ZpkAatfh3DP1JVFs25yxQXwz0RKQQqI8O
OmQVAyJzbJgb+7iv+8Jr6q+gYqCqLdk/mTQhQp+dCqQWDhbSHKgePkfKk+3exeYzIHEiGfSGbDGF
d9ZgM9tkKmTZfR3Mig+cmnZGMPLKeq8eNT+TZgplEoXgMqsUIJchkPO0Kd20Vu+nbgSGX82PcLLD
sfiSJ+OD3VU/rp/y1djkZAsX6z259TAwmfROCbHLbBCaPv1YSli3wisJM0EoCQxFE3UQkbdbZwTe
JQGyeqLcxv0rr9/bBuR4/oLfjqQb2xXmZgYdWJgeHTWmtuqN1g3p9kblcfDWXld49TiefIywzjwp
mn4CvbbX208FJtqQiQW6j0TI6qqeCBFWFQjoqTXU0DjLDgYfg3qSFWRW/SbRFzRMDLIjUD/fN4Kt
ytt+hi/DEmpo2zZDqjLqoP3jH9brRNDyIScGkplGWKUYR0InaUvLPvUi41WzJb7rclNMFX+WzkHQ
4GDs+FwIzzU9J+7iSABoovTJtuzMTYnB7+u6XG7LuRjBgygkiYzMwN47ut4HzFHDYEpa2WTE5dac
SxF8h2IRve1bKOPMul+krzxPaB1+DpZkLnxdDgC7TEx8YjpdkOOMFahabMQ+ZmtvNcfccReDUsbQ
bgdbl6GiXLonKIUhu2X2FGlscchOd7K5GgEIiRxeS+Pp2cAcC/FjdDJbaYC3B06txPBWN+tEorBZ
QEO3syhXcZ/Z8z2e+LR1o+N1e1g1O8dFFu83vI4r2HZPxpLwCUopRv7J2GC+ZSYJwc7l/vWch4OC
09LCYQBxA7O7QjCVVwDz0CaTe2lWHvR417fGvdnotP4A5NJ1pS6RLhdZmLkEcjQQBi8asrum1DOn
sBE2Tp72vlGfR6ofS6+6sX03Q8/b8B553acm4637ne88jwbO5QobpuFp5ky2xT1CX5xDfgvurGB+
6DdHzcvxdx0oWjr8NZjQXfpiBaPXvzVbJXB8K+BBu0tfNQ+9a77rlbel3wbDm/Hj+spcYsAKKyOe
mLLkHUbb8IUP8TZ+qd6Aa+A5vhvgC26qYACw1XwAHMgTA6Xw1qC9JXFAlyHM+RItNn/iTGe1brpu
xAdgupDzN81+Qf7bLB4nAzeFxLhXwt1zYcIVkah6tBCmwg4wtGPeGVYQobVWdTY934TVM0fZpJK4
pMvn2LlI4UBNA+j1kgSmt+DuGV0CsAw0VpS0D3dEdgOurSUqJCpGz3B+UQo/X8tIdcK+VAiOVElH
xcB0RUinHjjQUe93/KZ4u248K68xE5hQf+QJ5s0SYlYpgTyWfWlNmqv3RfUVrz/PLe+UCT2Qy5hU
4/rXxa75XWRvF842wMjYYhPMWI1KnOWoFiL6A7ONAgrBPAq02KVZtdPVL87fc3UCYAKM7UuuGEiQ
4vSPm4BnZ6ohsM02A/9KytcxlJzDy2oezuGJDDFdVVt6pbdcwc3F+fMMPtCu+9ZnyVdzSapO2qNW
mTeVlfuqM2xr8Nhk8xtRDclZvByJF75CMKA0T2J8BjQdhsqrrM86ZMdiLDdayLxEf52HCE+ZW0VJ
QCHUAVYtl+Su1w7L6SoIBpWVmlW4DKtg925QVxgyMd9m7dZKH4mMUmDNik5FCY6vZH1Vkwaqqsh2
8gqTmsQ3uh9Gg1EaL2t2pP8X53MqUfB0pWWkpJkhMZte0no7FsA8LijwBv22/9KQKMBwL1f/PtN6
bliCyxs5ApJ5kTqSLyWKAaYs5pItpODgnEKzwL4NAQ2bAfhiAml3QAEOPNG9Af4rI3xlCqMzs56u
u4E1Z3e6nEL8oDRhVWEIF27AAGzv+GxmLSUt8ar4J2jAkr/PyizriBzJMiZqmWJoObeofOdAlvKi
4tfQ9kjGoKjvF9qX61qtxV+nYgQj0euw18hyAto53YXNdGe2Jip7ssnXtUD5VIxgFVbSRmpjQIza
PDGg2swExC+VR1J7d12f/8Wl/Fk3wTyMOpzSSIEkHleYkG0DK3mzZ18nWwPA49ZmecJbGGz3UYKk
EtmLuxLDL9ShNdTyfyOmCO7MGRutnM2o8YbcGn4WmTlu7WxO92whE6ZdEfZPSmU2b3NvgsWId+XB
RMUz4GmhbK5/yqpj03R0FKB9HxXHxZhPohwjt7uE8Ljxit70Y1CzZKBKSAPTDEgiKRX8RgO40PpE
1nJgT2SFo9UnWQOtCe/8ZJghE8Lm9Eud2cBN/SiMyYeaN62VbWvd/iBVTFUVIzfjcKv2vxSn2MD8
97n63dVA6qa5aChRtmkSPtUcE2xNCZ4tWdOFbH0Eb6zEVQZ4f3yzov4c2X7gm0q5KZHEBVPZ/20n
hAPmotadxgUkOUAdL0nAqpdSfY/qOCirvx7RX67Tk50QTlmEBJbZVdh1lm9a/qyAQNecPAZOsMJK
PKV705LX69qtRrinIoXjhuhFIbON42aRbWqBgy5QTQDTApcN8/Pd0Z2QX5I13K4HLyd6Cq7YrcOk
awnW1KiOGK2gqgX+6Ld81oJGizaMt7RbUobHyaHcPWST5HBdTgL8XmeMFaGc76ogwTu3+BotJqRp
0dZtabe48LzBxjhAvJvTexzzin910KbUj0/a6NnDy+AebPWNSFFj9HUb/vMVwtKb2dRVg46vIA8P
9sfkxVvup/uGcpWCrhzRGx18dV963ysa018oF6qbzFc2eeD688d1M1i9G5c5q/+3IMKGaPXcc3ic
xkMbTkb14SuSGCCAZ5PfqfXeMht/7CwiOVmrb0kADv0nVXByOXAJ0ZsCqcDLpGwTx/TnV/ceNM4/
YjwjGbRenpM2BXBBtIFt7v4eFU4wBMH1JXqRlXmML8g4NWoYQuyX1SjR83KI8VyKyAJSIgGeggWk
8dRtUwTdTt+CN3P/yf3i06LGj8kDzeRbqFDHT/bs0ActBTjqh/H0XQOZRrkHwoqf+fJDKNl0MR/V
Na3h9MtnVV1GGgDImRijUpJmF6LnHrAxfPyi9I72hOZEENsQgIgdmi4BMwLgNbqfppaaJsDBJ/dT
Nd0UFJeae6e2hQMqEOaa0xH0mu1H2Wf1LfpDQ7QkE6t5AphBt5nitIk3+pC5fgnct6BNRqWjbVW5
wMOI6zAKgAJYA83LanfohAFoD6mRmq0V7Tiqnf2MFARIzDXQJ+zCuHLeimYIDxmPpogCbR/8BV2F
tLcxzPdofs63qTKiN441JVouwT8+ABTjtkgb4iPDDMzpgrdf8nIaDqHtxsC6q8H8FLoOu8vR6/RQ
mpx8c5FzvSu6ucKoI7rh0ThZ9sTehJbJDgY67jdWSFSfAeeejokCrJ2qMT7AWNI9lrDvwnfHqEIx
emb+3BbxiwI8OJBJFc5jm/cToYbJu4ba86zt2sqxgBXRTvZ3FQt4E9cRA3Yj6VQMS7mVatDajUdw
qKL2bCk5GeCr6/bQuS5/deZ+egETb/3ojGP80KhRdgAKkAbmGaIF+dCrv5JaBxNCydWPvtXdfc9i
/CIYA4tNNZF6wvCX1u45KlKHKDPVoxoOwH1Eicr50qt9exfXE+gG61plP8KZKJswtjswsaCpYqc5
RQW08yjn5qEDqrZN9bh12Qb5LLOjPAytAhWnrBspakL6RJ1U156msYmOZqgDNbKs8vC+cW39Ea91
IBPYtVN8JTwKwXqRRiAPbghXgMRdE3enmsx8VMOsPcSFody5aOZrvUp10oDb4fTLbmzTK+eUtdvr
XvJ3Dv0yUvrPYbn6+b1hzkgXZipOjH6XPCEg/Jr6j9kh9L8zmmz1h3Kf+G/DDdlPm5gqsuTgZTet
4EaEmKeIm9LtF3fpbD87ZNZ28TPwOucjo/rHHDhBegTKC7klD+E9GlBjKiPVWH24uRjDsTGFg75N
Qf6U41ibUQbt29KkLaibbXN2grAbvhWp8x0ElbeEYdOsctpfX/jVxBFyNxg3WdoLDfHCTmqDFNVY
NF6uNZvQaMAj6rjfsrg2N9zocT3YCiJP9JRRNQeWgaIhmwRKNUm2YbmQL7b/5CuEC5u0vHRUFL88
FKbuQ2Xcmsp+LrYgUPSv67saGZwIEq7jHiiSCipsjdfVHXK+XdbTKg1vLVX56BLQas4y21oNA8EV
gNZ0E7grFxCOSp651mimjdcONwauncnxOXnW4JvbCO8bvx/vUhL8vZaW6ji6vQSgeCcLp6md9C6f
IFPln4zgsrfebG5Rp3uzZO006/ohHYexT4BJg+jmXFYUE7VFS2PjoZESqJTGeINpYdw6voOONWJu
Esyxa5pEwSWMFO0F2D8AnF2AFS2xYtG7SVT1LWvgjBgQ79ObuE2CCm/06+u4KgZQFyD+At4zKlmC
bt1U1H2IaLqcdzxzQcl9p7e/rstYXjkXqpzIEF5BeAADqEeHjIhU9Ubjbb+vsyiULNjaAQOm4X+a
LJqevkSnyehqDVL6gdMqq+kAzLxB94GV7V3XZ90gAJGN5hwQz1xgryU2q1JFgShr4ME8INbGHeLU
s1c3JcjQWxsoHQWNMWliVobsuK3tGGYxwL1gLgWt3++TEz3xRI5AzNCClB7dEAkPEsDwYNx7d13H
Cy+C3jGkvTHwAX7cBYrqfDXtrjWbOgOQUjnlZKSGBk6JbEi0r3oWwl3WZh3m22LsCkkF48JWTHRK
Y1qBoA6Nln5LCKoBP88yewBYDoutfdndkbCWXMQX64cfRgsZLiFMmqFHTtBMyYFgZnZJAQDWrAis
WY19mzeYYknIz+truCoJw25IxCDIc8XOo7ly7UxVXPBVgQpr0I8d2VZ6HVwXcpmBgT6WDkY4YHyA
XEI8wXYHpMgCDMAA6fanwLyLfX1v+Oxm2uS+48+or8XgJ6QlA3+Cz7b+t4PnBJLWoBX8q/OPEI54
QiqLm+oElPZt2nnjRvt0b0K/uUv25d69c2j9I/t5q9PsofKdp+sLsGYxp/ovu3ByHrTZiXnGob9l
owqEkNSQzWH+XsIzByYssXB3GzV38JaBdpiJgMs3v34FW8/Hd+vgPMw7BN9HkNp+LY7lS3s/f9oJ
8tKeFoTfruu5ciLP9lm418mM8VzVwEfwAi2yj6m60YxdUdyWk2xo8pLQTtBXeFuj6s9Q2IYotEt/
1OgbHWn1WXy57V+VX87OfGozgONc1251F3GVEwcEVUgcCbuYsZFNYJbHXKgGDqTORWb9+3UJlymT
RasTEeIuJonKlBkiStRjH2qaFNvWVyh5eEkJ/a7S+Jf98sYp+Jd5gMDMB3SbE9Nuk3za991Nqkhe
9hf3FT4HEQW6R3R0j6CJ6Nxu0cFGcDkYQArQDvpwYGYwOb9KvHT+Wm00j+JaxL+RmEZB4VyOlaPL
KlFdGG+alBu3w1XBepfPlDDLjnzixs5dohbxPRIqXenzsqjvhyEHRuVsJIe80ItyG3INfFN13QGQ
2w7zZ11x6ls9HceJ6pgg2GGAzkq+NsPQhDQtUyUJ7CSZdKToEus5d5UUnUWNbu/TBmMwVMk1RQZs
fPG+MJcWWfAeAvUP8NqiFwwnBBScQ0vAB6vBNLDQM5tG2Q/omKdKDVYBXR/MrTV14FPpa0cSEly6
eogH85OpAVMcg9/C4QR+1ZBkVVSgcKnXm5Zk0bszoX+OhZxtrm/oqijckSCKwyjo5Qiam2opQ1bZ
y7t+okRjyT6ubCQ7kVKX2M6aKOwczBN3MWZoBdNJK0Mph7wpMKxdNTelY1dHPW2dT6cyAJR3Xa3L
hJ4J9g5goyLkQD81nMC5nY5J2w1NVeOa8tgLcie70bc0v8spnu8pzW7bINxkt9F26VfJAziiN4YW
kesfsaLw2TcIjk/LunaIBnxDn95a1mtMPjL2D4t6JkNY1ClTo650IGNmD2H3wONNmjxfV+PSmZ4t
pdi4zse5aZUZIsx52mhavptiGRfnmgh3gdBHN7cLssJlJU9uXTKYrDZDiFBSskls8jiwTKLFZaYf
FnEqQ3DYGCvIWatARh3kcZA+Fl+cW3Wvo/3i4G5jig6qWbY5MrUEI2wSEiPyhsh85tQFEnAviW9/
t+2fxxLnSgkmFqmmXSqLBH5LnmOAGyNfbz2Zvk2LzeA3fu85D+TAPFVSqbvsAhZWU7A75PsSd4w5
85xj/tj7GgLGD+tGf0w8Z0+CHOLdV+21vws9GS/dotKFynhagrTYxQ0kJmBsDIi0SQ3JdgmiK/aS
vpckQxXdBz+AOn5et/2ViwDA4kDC1OGIEXgLhgn34uYdbxkmqh+mHphbY+Qj/zna4EveTqG9RUfj
dYlrTgN7iql84BU44Hg7PwpdGpduVSJ9xhD6qeOhSL91jUTGZbAACScyFrs9OW7c4AreMpCB7obk
V9+8qRHob2QH7nLw1yXgfl9Q80BJqf8+kCdSGqt10EKO4Z3wi3qonu3FLPRN7VDE9RK8jJVtOhMl
KBQPejhyBSnIwrpR7JQW8bPNUcZyqWbfYN64niUtzisriKOF96OFnu3LJFVu9a7d9GAOrKqH2gDV
CJBl+2lrVsrfb5WKARc8mQmyEboIlhvpdk1YhjkMM8SYXAKKhTkBhcIQNGb9dN3yVrzVqajfeYqT
/Qors1TnFqImu6Zjwx5QvPi4LmLFuGEROoBa7GXYRHzDgrAJMV0FEUMf+UVoPGbAHoszGbnZmq9H
pcdABnHJkEOrcwPvElcZonwqvHnYdPNTkt8o6Wuko3zoOwlA8uqbGXWt9L7KH+v85bqOl6l5BI8g
wtNVJHSshVH4XDiYpkgWh2bh6ccBuV863jr7INtmWxS2Jjpt3KOCd+xAwWD1RdnK4G3XdhHZ+QVa
ecHuFZ8+qqIQ9FBY4H0GVm/R4Ugk/xAyIm1pabpr2ED7EXyi1VllaONpAUa/V4x1zfpRGiquvBmx
hgClwasG4xDAJzlfQzPpJ7vQbLxNrZts8F3UZHs6HpO7+djmtFY23/RdvZNs3NqhBngYZsocjJVh
qv9c6FxZZWvVUAyw27Q7AOG1BV50gl5nbFVBH3pf37r31c64D3d8AoBv4WUesehSE5Z9zNoFq55+
jH7+MdmMudi8wcdYHVjXadpTlLf8jLaP6QbPSfWdPCWgSKdp4t3/kCzE8tvCFXsmW7yDHJZoGYPs
/j37NR18LQpqaj52H9+dH/N23CE3vxtubULTI1BDUf/0Kv/6J/w202ufsJj5iTPqapDk8WUvysB9
Nt57WnvGnbWF0XljoNwd9WMlyV1f5mFR0IFLwjsapg1Ka+Hcdrjsh4gD5Utrt1PsTUFzh7zXQ9ME
2eMoEbbiCJdXOioOSxkJiAfn6k1RVvKZV3CE2U4tFDrPu0SXwUyuuIKlYQttQRiIQEpAEOJYZZ1U
jgYTwthzlwWGKeuAX9sm0EguHPPI74JpUPAFYcjihpUEY4L3zTZ+wyxfeKt3VH1+zN7jABROSEg0
VGIbKxHgmdDlHJ/Yhq7EBXMKCB28ZhvtNOog/t01H5gAuNN3+oOVUr6J74obDd5PEmms5CbRoQ7f
jrQARkAR/50LJ+48VmHhFF7rh9v6Lt07hwjgBp/6I8LCI3tNfGuffGRvyXO6bSXX54qDssFGgDKB
jbw2/jmXXdQaN+IwRmzI7sL4PqnviPtr0CV+cMVsFt5alMKAOQmUUsENAumVtRnL8HQGTqf5bsug
fFZsH3kGoIQjOQfwbrEYwJqunTKTMTR7oKyS+Tp7AFXtdRtZdkFwH3gfoNqFxAZokkVCNj0PTXvo
l8eettWKl8HZluTNtPeq9RSC5EuxucwoV6NdXFio4wD5HMOR53uTFP2k2D24RFpMbAURVb65vQ9Y
FsqkL6C1U4dCyh9ZwgFQ5gxMbByyGMDV74s750e8sf1uo2/0By+m8Z36qcpemitWcSZTCKnAQzTp
gwaZZRC/qNsSV2Tsg10Sbjm+b+kBaJXXt1Cq5eIGTo65ompjn3bgKyG4gL+rr1nktXTaA0IWMz7h
M+aQDt3+77G+8Wg5WVrheA+NDqDHaVHTfZ6VG7NCR55ntAVlk2yKbC1KPZUlJlbKorfsdoQsPMOa
QIViHvHMZ3aDXg5ybJ4j//qKrhw8UAWhHIaRNRvvFvFgmz2DV1PhLDv01+C6Sc2XepTt24UUFO9x
4MBsqyPGh6863zbQDKgzHilgEAEboQZoNUyPExkDokyIYBs1hsfbcIQQK2xpG5ZoEPwHzDFoAjI3
kPQiFbxkhAVNtGG0xxGouKkOYzf8Aa1T13fkwqH/lgAZKpLMaGcRJLToDkt6HUCsY+36QApx3Cct
dz3187qYldVCBABKhoWBE3Ofy38/OUlhySu8I4Em2NQt8FdHwA+9RX/9LLBQ20UT68KBCWpKcbWU
powtTkCszmLjaHS9bzGg0EUSP7SmyqkU/VwVzHqHHRAQIMXI9raqbrWkezBIs/37FTMNrBdqKibS
8IIb6Eck5W0MCXl9bt22o3FHSA/6ZBmG2Jo2YHfDjQEUTiAKC2KmWdHRZ4K6eMMNioCG1AZVMsmx
vwiXsDHAKcMtiPK0hhv3fMn0smbI6IPNBfmMzeCCxWWetqC79Js8fRqVwV+a3K4v38X1K4gUfEDq
VDUZW3CsgFTOK9Ugqb5FYetnIzJ2+cbkWyuRxGXLL55d+Mgao4CBMBSMxOSiLYvMpV1ZLSqqjoOZ
iQxPk6EKrKza2rPz1IeFJEa6bANb5CHiRWILWCDIbp0vahwaXdgVAxpi0VLQ5UEFIjF3W6boy/+S
Za+adozjdzeSVMbXtATO8cIajcQnUB7PpSKqGpKCI9lq8EMUA8m3pU1y04wuZvklGd4V14TqHuJs
MMzaGh5F56J0luWg5oMoBMH7wghvuzzrkDn51bnt8bq1rInSERCqDvrpDFxO56JMVjaD1cNaLLsH
LZpWdXdOPLW3VVMDFTSa/sFTgeIHRL3ACl/YQQV5gw6uzlDHgeC6HYAEizoE5UhZImZtr4DbjigX
yRjr4onnutkE60ENsdQy4mckInTO2THRcjDsgXdnYuz9+jquSwRzNUZMcbuLgXVNeJ/zeuFM6q2f
+TRudcAvzxFHm7STbRpbBgUqk7eEjCfXSjM2bUliyKuK5JcatxijGw8Lz1YD+leby+KlFWcJIPw/
6gm32IR3Zo3mQKjHBszYvADYYFMmwfU1XBWC1w96hfTliSW8mVk5uU656DBm+r42jm1vBbYmm65Z
tfgTKcLKLbBFWbr08oyxvlF5+N6BWsaYv0cJl3RCrOmDYiucIu4XB7XX8z0y5ilN53SCJ+6f8sH1
MM9GY5nzXblhkJ1GnwX+oGIuXv1maoKvTlkCSlXzY/VNTd5CVFlZ2BzrBMCiEn+xKg5dfuDHsy2M
Cgs6TWOsqiYmir1mrg4ku82NH3yoA/tnNUT73ni+bhHLXog3i4EGfrQ8/MaGFXwuV4dObXpEHJnr
fldyJzBYIskGrZkDwjM0TAKdHR3wgmXjEAG0vYGvRRpnr3bM74bpK2oaFK15kntyzR4QPxGUlpaS
v1jQSrQabzjg1Hkp2bmGgcH3XaPnkuv/Mn2L2/FUinB52GZSMLeGQm1uFj8AW2AfwtHgj6XeT180
ZSZonLerLbpWciTnSXOTVqiVU8ZT90F3h/7ZLgJ96Pd/v5NYYhe5GxCUueITvcurmeWxudDahY9G
Uj2O9ZfrElY30gAsOBwI3lgizrMeWcyd+CIhqbPk0KsFmK5HQ6tjmlZW+K2Ne1mmdE0kEm8mYh6k
+WBC5wc8bDGm3FhwwklevA/q25wZxwr1dA9lls117S4zpMK2CgfPTSYLcxYwHqXehfkAjq/ABt23
BZSn1C9rwzPjbSO7R9dOO7qacFXbqBgBU/RcQU2JOJktdDZVvN0ntrGfk+42zMfdBFcW8u6Qmfzv
I+alkeo/kcKa9qU9hSyCSJD50ta06eh8b0MQZIcBui5Z8g/+DO/LpQV3aasSoQj7aerNSIE/a0Ec
3hH1nanVAWDCfkr0u3YCkl4ha3hfs5plbgLzxag0g+nzfFHjeh6t1EXIRVCAM2d1MxXsxixRZ3Es
SSpuNVTGeVv8JwReAoaRNLPKDhYaonRjZAM1cb2SaJNm30dCFeO+Dp+JvjGJxAutujpYDGzGRLeR
2KoWo112BuDVkoEmVGPFIwcIRggYk+unYi0KQnb9/4sR4S8aZ4r0brFPlUdB1L4qKFrU5SaeZipl
ylzbNguQ0+gOA9uJJT5LI0vRUj1fYsoxBFBB6Pxw64EAAXGM6eRm2+uarZ73U98iWEnk9g4atrBb
dmfcJ/ypdEhJs3LY5la00ef8Y5ytd148pHYsuREvL130C4DWAwXG5c0q3og669gUamnl5SF6ttz5
c5hA6iRRb1UIkIrRI7Y0v4lpkX62GrvossqzJ/Ox6HlBIa29cTSHHRRAnlJlVB7TKCc3WqwYnj6D
LVTP7S2x+4wmEZor079/4EFvpK1N3B4oL4hXVDXpajEa0Lu3vlv1cxZlPhoBfSOfKGYCJdmnywNy
LmyxtpP4vSsNrlY2hI3RGG6ZYk3gRMXYixJPn9eX+jIfsEhC0KHimjKti6i6LkEH2QClgU8Yo8jj
CCAUSaL42qTs6ymxQDzuahQPip/tWL5cl72mJe56FOQx2bP0a5xryeLQaaO4rDBWHu9ZhLuDdT56
UyXWJBOjn4uxNTbNJYGKabvjegHuU5AbypqDLs//+TouFn2yYy2bOrz5wZ+izLaHRC4B0HBrBFKU
00ufdi5nUfZEzpRyxWiqovKiqbknJXDG0B0J6FoALKDvf3d9g9aMAwiu6AhBAlEFHci5sLiduZ6D
vMvrmgZ4nAZwXE3VHl9L1loUA5Y/khwdIiXv0y8q74q/znOgRwLYxmjywu2E6s259HZEuasblRLU
ZxWn6czbR4zDYAbLwrTUPI+dRN7a0uLZD6hyHIOlS+Nc3tyGfQRs8sqri4n23avbHLpwp0V3SSs5
3ivuGznlP6KIUC6cy8K0EhP+zRytkGqgnZ/K+N1qbS/Tw7es43tVsb9Plb6fVGnX/5qep8dOeEjP
mTtHkbEcu4fiPn9oNy5Ngke2QcpqRk9+RrPH5rO/Q4BlybKPlxGjDuzYPydeOCWst2s7MRfR06Om
e5gzbjHund0W066QDdbJZAnmk/e1No8NZEWAIGEdEAIwRWj2TdD/D2lXtiOprmy/CAnM/ArkWFnz
3C+ou2o38zwY+Pq73PdoF+nkYFUfqd5SqkXY4bAdjlgrDu/i3kaPjoi8cQlyPq18QGv0AFLj8KA4
i+96pXACXbmVCpAz9alTTqYJpjtJkEZYCjysDBKnRbDAWHyDpBVXVklltkbxB5YpyX9WosQbA8FG
sWjbDIeLor5eNX2sAsfyqXede0UeQEHgTkq2lkgiZBEKuwJO3cio4lX9fCGCjjvpVB0BG/3eboD2
DSToqtZra2Wva1dWKjgGL8KxYzDGEDshX8jn62WmKwMcBf3z0b6aDAW3qDh1xqwYb6DFpXhp5F+X
Kf3+exyiAFLiyFOjDh6sw+d2qhXx62isQIqW3bIbPwq4ZVEX3KJxMwz2+2y/iJNc9WUKjCE2f7V9
cuVHkdtZeKS1jYMZgtFCEj3ULkGaqMtFfhbvNLhbnEP2Ga0sqK7gfVZ5kiTXDt7N6dDQp4wS3Cm8
729RczAuohQd8UMzjsAylcRu2H9qMWpMFbDFqD9TKXR8ehXpgg5vFjjO005QNkcJoYk7moy549yz
DKNejhmkpEzbQWmPUxttO2ps1y27JLliCuoE9Zg2aAJRjcThTB00Vyp2CCS0cwz1ERTNvYXby1bT
waX+oSZOmf0joU0iGwT709K+j0di3ZDx5I7bL+eYsRyD2L3EWofCNU4W0SaLnmXzpTOOgfkAiTCw
LTytG7sUxf5cm/ACzsqvuL3X6IIgbiSMqRKSx65Qjl1GNqE+QAVY1I+1uPnOsHRu87WGsNfyBOOq
JZ8h3vgz1Eq5oO5+Bgn2JsqLA2mHypFL+9aSg5d1O5f2XvaQgsQvnvsuZGPzLuybTsbGb6doAPAf
bBypchn3KClw81IQ2ERg3NqYpl4fYgVgvfphBzsCBuY0fq2qzaB+W4eT+erMLm6zracmSWqTQSkv
JP0ZiLpf2aderDlkCA10KxPN4CsAA7kNrNLG/2/s7FEJ+18kEwnvLUPYJtK9OOsiqXwetkq5hvpO
BadH4VOKFxm5DAXL6pKcg40S6pD+A8EnJPJSzuQ0weHdvC0itzwNh2Q33lVv2tZ4NJyf5W90k26K
TbOxdhJ11MO67y3GLbxps+ZLSE3wT5QQlelp3DJCPhmiaTmkXVDZIOonXwr+1gyEOybgnUu1agoQ
1X6uzEMG2YfJcrEQ3Gy4zT7WLVqcshkYt9Mg1TJWeg4wMkgQXWctlpt1hMUxM1XThsgskpw8/ZGU
g46W1GAKGgPFcKrYR2Vv+qzEzV/hQFgLQQHPDfzcoPgeixVKVHgkD+lOxg1nk/Rh7ilKI+J0Wpwh
G0kVBFocGvlrjiTHCaqXEf5sGXTQxjFGXWT7jw7ZGDl/Uv2H9QFcmiKEOiQyIX2IbA63quwJJQw5
eFkgPPvaQlVO6gT5qKUZ+gLAi+75sh2rycpS8AqBhe2nCSMq8xiKtgwRBrcTh4ZWNHkMjNHY2vG9
qt/goL0+Tksb4NwMbt2UcieXXQMI2p/CGInRQ9l5wgJdkSHcgtFRZUY6FSg1KGmzKtmOre1kbS3w
5qWNZ3bN42/upkTslrIgwHpkLSe0nxM0WSfGR27/Xh+2RYO+LpQmG9b58dbuRhytgVSi2sxApUBm
7FKhKuqiE89QuPNQBaGssaQYNkj/3uuW5FDwB+Wh4hla8twrrRfaLSZudMHJ7Wno1AEvSLRN0/im
rkR6qZeNhdhE5oPLnehTOW1yjV3fu6N0az+O9+jxQ5eTo5iOvZMP/n708k38bL2Kep8XD05zZG4t
j5rekDHGYA+W/UKRXY6mYpuilNcswuMAojcEr90EKpYwi3fr87wUtGbQFrfKod1IOw0a0rgOXg/D
rwp1NnQzoBWg9yblcR3rv9hpIe8FIiCUGHJ21lVbgJkbYKoMBrV0VMFd2gVvZhYcYsg1OWg81N1E
jx8L2z7K1Vhu1z9gwVhcnnB7wh6NciL+QtpbfqgWdQtjixCr84MWFrzL1elO649CfoIlcwGnGQaa
2TTsPmyNzdZQCjVu24iRPrBC6UZTcC7WW+S8IrdF9WvS088xNDaj3Djg/divW7qwfM+gueWbajUj
XIKlmXINMcK0esm/LXfPGi0g6QNZTtYRyD8lgBfVB3Ngg5xMdR93nqRtYnvr91etKqgAW7QFGUuU
IiBbiTaz82Hsx0TRIxPD2Bt7Mh7D4iWmT+vDtRBXoSv6BcHi1HymJCNIwIoKuoFoE3fXFYqIpGEz
DXtb9CDPBp47b58hcT4x1dQekhITg4e5LDqO5Y8huO/jX+v2sIV0gQLaAVyEWGsPf5NOIaPVEAie
gEoZ2jqO7eY/1U0H/hjRS/XSXRrqdbi1aybabkDScz5ySWQYaREy374ej8HDeBPtxg/pEBwyoHWC
So6FIguogXyh8eXjJvqE5VCS8UZ2CnfxqTyF2+gaPe3bYDft9F0tbD9Z2KDwLIDHVFYgb168PppJ
XoeTCfNsdNj0SeC0Im6cJe/+QkD5LjeABE3lSgcEWbrr0TfZHDIRGfryJP1rxcXTt4XqEwqmchyz
7idvvEkhdvNZb8at/xr+kLZ/cd8DIwtKrwGkoWKTcwm010BYWq0QZTN58OIMb7c4hotoWZYW0gyF
z/SbJZrXSooLRKe9tZqbkas8fm2n72+Pc1v4JLDmZ50URrAlhmxFjirG4SqNt1L8aqs3+XS/vmqX
XAFUNqg9BXGYigrpc1ewOrPOkqouwRZSE+TcjMahUxluzMnSne9DQccHvQqslxvlvOdQpapMKExF
GCqSPZ53x/hHJypZW5ogywa9G3u8B3UBZ0050F5roNvgRuFnDR7TfBtBLQfaruuWLNRa4HL3hcM7
QtDGKaEpYnc0bpRtAC0nB0m1O91nJCenMhfcJ5YmaQ7HXVnKJMr0OoFZcpM4U1m4A3UzkWiKCIS7
tNit3ZOoZvsRfazoPm0e4uCwPm4iCG5XlYo0QF847FB0GIDaXAjBoL11HWQpfOKoJ6MOEy8Alw0S
HS72OPWx53ZQc0zt1Sjbf7FC8ciO9JWJkhdE6nNP1q2wz4iP7FKIYqzSH8C3V+wIMrdxYd9r4S9L
zQQjt3RYsNDnjjZ7FMyq/Ot6i4seBQMNnjOh7tv2lUOkBz0NHH2EprAuuIWLwDhPqFRwkKYKu/Hl
m6Lr3HE4NlO8HRWUZW3XJ4uNFH9omNvFeUQhlZaV+IDqhxt5LB30hUHRcJNlXuO3bljfSbhyrkMu
OuFsKLkwVNOkH/sW9788L45Jbr+1BrlWtVBU97J08IeP4BEKNcHo8OScpJ9wFQ8kbBZDqzgkeanM
F1tzqHlQIpBYC54xlsfxXzA+GVm02ViYBGBlEO5pmp/Csdujd+sQaTkEZKZ/iDF0jiV9X7oeJ/KZ
lRcNGnJMjTjBZlXoFjj8n4eAOFN0nfui97XLTn0OifPKzkfQ7ZmJlJQ/Q0WDunWjYy8ZT2Y5bDJZ
9WI5vB2sd9nwvcJ6xpFtFzfEaQ16S0pwwGp4UgXXC1qm/sKhUJGNkgpcSUBXch4NclVK1dLE2hyM
YN80OBdE7W+IPwqCzuKqxDsDKyREeSafvVQalP5DjwW5Mfmp8R9b9bbOd9NnML7+hTnsyKuAfMLW
+ewltateqibEzyTW3BHpD9uM3UZUqrRozewwwG1pFQjKwOUMFNlI7vEtoGiMH/wh8bK0OLaK6Oyx
vGPP8DjvmYppQijD7oYkDoHgwucU/iggsCRDMxOvnteTMj758jMkE10jFQluLx5LZuBclEsGqU+T
APsekdMrS3/MZP8xCaetiZH9/uSB0Rl3fyxKUGxwQSfIks5XCyAV1QnVrHV1CkU1rYspBkZrhEoi
RQbdK7N2dnGNSjx7mIOM3c/66MYnMC07qHJ1Q+2mg8MMsUPiRyv7i0cp3Cu/UJlDzVBxwR1tFPAj
wqEss5Uhky5KDC/MEgxCigilweit5QukKpQvYJKwwLSBPCcqLl+RGvyC8iDKlVpRHduC/6PgUgMP
MVYaThKc/9PRmIy2gf9Lyifk8zxjTA4S1DcsvXHU+OPbXnEGxjm/OQQKCSnAMvRyDzU2IYdSwfvk
4ujNDOJ8HEX/kwrZh9KdUOQ1kWeSPiQNdULpc92WhZ3uzBZu+6aNJDcl/kDaODx3lb41W9Qb2ZVX
W/b12KnPAc03Rixyv4VTwxksF+SNidg9zdh84ZHXQEFJVtyOokc99u3caegMhFtZltUFSlnDtkAq
DpkF2oZWVBcnsoNbRh0KtoY0gB3xoF717QAGKhuGiDhRFg4/Z5aw32erNUR/RoHWVHiDuTPak9Vu
h5qw9eToLchmBD6xPG6mAQFXXDAJf+1rMyXT7QbBvRwLT22uqkiUc7pkE2aEIMq/EPyND1q06LqT
AKFv1T0Fa43mQtjiSnq+kW/pe3BC3fIT6m+uy52/SWon+ZX9TkQfsbSJnX0EFzT0prbyiiV3UaTd
UceGlpHuWoUL8YdySJxOcfE0a4hgl0PVl+lc9AjtXmqVAqhppTuNep9l7+Vw6sPBCQZBEBFMpMkF
EXWALFnF0q4GFLDouLMk0dV9OXx8GcO+YOaYhdQXZWMzBNw0LOoM0IuPdxAFcoLSi5UdzQVZcdHo
cYEDJNvJMGUAnCpv8r1puoto4naRR9Vv9+yfuygXPWhuZ3UmA6mRd2OHrJ7i5IooG8pSg5ch6mv8
uPhRaXnTdhEOGPKI6mjPiF7r/EeraE4v/8hjbyROP+zWI77IKbhYgvYhdDBAJc1VlZfO/yFMVS6H
xC+TuDOTUvWgDhjw/1s7/CmNFExR+Wtb6tt1M5bOTfPVyz97tUYZ9hNz7hJMRpK1teJ9E7ipKuP1
8drIvZwcdRHv8FL2+gyUCxlRbQxZZyAQw9GtQ7SRS0fZ51fRAfFDI251Kz0hhuQineHF0wBjBEZP
CYq9+UoBM8HJxyeABdeXF2XyQUWiwpQ+zFRUh7PoHf8iXeSyawU02F0HpLEG53ldOGXzN+tqhsAN
YWGaXSezvay2EsfsP9CUAxWJdedY3C9nGHyMtaomrlX4hp6+G6DECW5QmgAtTM9UUUEuAFsMSQT1
uJC8xBWPfyNUJGpWRgX9XpncqwpeayxvaE5ddFtKgqW7uLRmSFxIku246xKNRYvmQdY9kHzbpSgi
LTvAlzVcRFIDEhUTUyOmEpMP2Uhqu8nJRilbp4KoWU2dzHICFeWWL0kGeTKXdoKVLfoCLkCNZYWz
dQsrm+LTUD/Q97LuHIt71mwUuQA1pfbkZwOzMH8J6IMN0UTpzu+wcL2siTd42vvfHIQnQNOn3Ndy
9NC6YJbDk7brTy4NPgIthEzL32yPX7bxWQ2D1mTqFOaLSBxJbL7eovGtT466iNVN4PW8lJeaFC01
G4ZEJRRKX0VQRFGgAzF8DKLiisXohx5M1EtbKNDjS2aqaWyhtILVLFuvUkucwPjV6neNqBx8cXXN
YPjVRaK0CVimZjJ/omutB1ekL8grLrr2DIJbXK3VK53Jbo7Uegzb3+O3hdPZsXr2/7mlo8eVoQY+
RorksSMnYH3udqr/e339iMaJWz+jVlm0Z+NEesPLVXAKRjs1ePufQPjdPavruEWeAPdS7EMxgZip
Dj4ukSKbwBQ+bVD3aqw1LI2lmM+h9iMKdukgKH245PQ/nxOL24tAown+D2aJCRrkPc0c/fYHuYtv
rTvlpvLiV/nQeGnraF5zeg6g2lk51dW31ZC5b+AuApWFCmQI/uDYAmUPvX+J+sqti1MSnRR7cNZn
bjG8fvmgxdbA7EogRSRMzApYQfnTJ6M3VemLHKtgh5A3rW17VZVtdSN7X0cVDjOb6hls6Be5gu0R
x86tclK2Pl72tmRDf2cu1OWMw7QrTv5Vvclf5O198Ks5vqzjs5V1cZCfWc0Fj7ZVjHRid+aA/tDK
Z0md9lCE3aYKeORaKFPkSSJq4Wb/cg2SCyZF2PvUYoectgS3cOjY/gYcyo4k6twSLRIuqJhGXisD
M42MB2vwMvoqaYItWQTBhZS2njQZez78096aw0Oe/hK2NlxK35yvAX4XHlWzhFgqzIhPUHrbKQ+R
gzK5OxxC68kLwNKbgxD4lWz9h/jVeJUduic3nWt7z+ouA+u34EwgsJjfqKvcksYu+DN5T2l3ZzcP
WiTYbJYh0DHCnjlxd+D8o01VWslsRYwggg7jfeI/o8N33e0XTwGMLfw/GJxvdAYo7BULGFE6PkdZ
60SDtk0G3ynL4j3XRHUpi6sMBSlMXQbF+jzBdlXraFJWcegw0cZUGYUDMdy+jryqPIbxQRa94S9n
iPDwraE8G01ffJtRZuRNNmQjMr0PzQsqtOEi0QmNfbqT3Wk3jehRbnFFz+C4raL20X86mjAvkt+1
8WhVh7BwM+uwPmeKCIbbDcAPl1u0gFXS3rofN/J1dFQLL30tf9SOcoh38TG5012RNuGiO86M4/YF
PUlRZZIDtVVPqGeUh9dQEljGwsRFRETXIHgmMFsXdHq0TomRBXjUSNGeLO+VZNN0UM0dvCbYaVDw
m5LX9aFctGkGyEX9uiNSokqwKbVGcjJwJHb9Tkcxjjz2gpV2MWlojmH9PSh5ResZdEzO97eigP6l
ZZcN6Mpuels/Ko3m+MOL2e3XTVrGwVEbZKig6+Pp2CYQY0cjw4kC15J3ZpAcivbKboS0PBeh449B
X0CcP2h6P0RqV0Gr0vqQw25njO3kFL75HIT5XmX3dguiyJBdHFvcy14b0t91uv1a4mSr5MlNPMpe
ZIsKQy4CDPdRbMJnp4iirv1BDvFRsu4Q86SBMaOxdpn5EinZLoHU1/pgX/gPB8dNqiRJnVQTDHY3
bqap9YbeK1Cmtg6yPKOYTUYNh+Qetw9QecjrIYZYJsoKQrPc4qTkgFMzTxTBUXd58L6A2O/zwYsN
v4ccLcTg809Nn+7M6L6ztjqIwcYP1aeCxS4yiwWDGVpNwyZSQL7gNqrqojZRtlGbptQ3tiw4nFxE
lT+T9K9ZfE9kkZnYX7O6ccPovTFDL5W9DK8urf5ahZ5pJVcD3a3P2CWJNCDR2QrqEXDtQ6STm7LE
V4OikxiVQzbsB1DfKtB7z6PSSbXiJlHReGqUW0v/7Lrfev4PgdBrnwXoUbI9o8sEH7Pko/Nv4WZ1
0kmV5FmBcaZx7tQg7fNopYaeFoXJft3upSmdQ3FTCiWL1IrRT+QmoMRLe8UJou4QTxBEGch3z1/n
I8xX+EAkZiADAZSuSNdF1W5HlewNUQHlZb6Yg+GSnfCatDB9wPhSusNr4atUJC7R240UgMWuJW6i
TI5Ojd1g1mjYiDdmNHkN2kUiam3WB3dpdSKqow4FjW3kQpzEAiOgVOlw4yagblrUjtGaaBnVT7T9
FSkDpNAnEaMec9Oz/fiP9ShfR90WKFL4GnaaFE0dIhfrqqP6bNcgsWqKGASINkijwZgyekGgCBbr
srd+QXJHKL/048BPAYlrt4mHX+ir1xEdnLAXlfVdHg6ZdSApIFinKF/kd8pMoVJkqhjQrDWuo+AT
rS9HgoSLHCabOPltoohD0mzHJN2hkEVNCGx3vBhaKOUYaE0BTSbPJmkpMVh1K4CXY7yNYv0h6SdB
KnhxKGcQ3MKHtGUsFxMCbGckW9NX9nKaekVYCvzy8iGHjeMMh1v1ao5ZSlkgj9OTGj5TlA4Oxn1D
vKQ6Guj3S+U3CYmR9dWwGGpA7oQRhGDPBUt6XoG8ommwKRpd5BqZv83jbmcWSJpaomJCERTnkjgP
jmOgASq0jA2TC41HCqVK+xYV0XfrVi2uceiaQP6TVe/zTxFJOth9oGMoJRTsxy9tvs37xsGZqs5+
6UKtg2XDvtDY7/MdOEgaLWUHC1+5NiwIjscHO4ycRBecKxbDyMwqbjdEy4pspiOsGoNsN4TUicrf
ttwch/C1R457fQhFRnFeX4RFRdICRkntJkrt6wTUID69bURuv3SqsGdGcV5PcggNkAgief0YISkW
IGHlZ+19a9K3gNCbbqRopx616So1Yk100VwEB7WuCVYzNLfxCuM9gZKQkgFcj9D2VXrD8CE1B6b1
WDSPafk7iLfro7p8ovlC5IPlpCt9lkPc1E1+ahvjSDaatdEfSnSw5A9V6aD6IdzJVyLVxcurLost
M1jukhFQxqtaMtiXAgKanrT3IQ9OX7R/sl2+B8Hw2Ln177hxdMFKXAyejAwPSQOFZZ7O1wZup1Hh
+wC2yLWttI5feaMpYvy87Api5s1QuNAikTZSlQYoMcjpm1s9GN3MdOnUeHLtlUGxCcZdhQsFoqjd
P61P6eJCmWFzWYQ8g2JbKQE7aLWrMQWIXJ1KKdrVkbFfh1oMADMobhazNJfjMgBULtGdlE07tNo6
VWa5hZE68PHndTjR3LHfZ3ENSklll+aAU+z3UrkvxsQR8huJRo/9PsPQUzDuhiMbvTpCPLvP2n1g
Hq1JsM0tmgIWd/BNQ6zD4NlqmlZtQyuRETrzq1Ty6vIDdaXro7W8f0OxHNyzOpRw+TxjhafazCI4
iujtK3KBRzwe1x6d3iepuUZ52aafyrdceUry4nEdeXG3mwFzoTpqIPdUsN0uUreNXbnFhEDS+g5F
tTy4gTaxIWKFXXTEGSIXtDPdikbDYvurXOrOQMxtbL2D1PReqSQ300R6tYuHvC84g2ssDHM5DHu2
wcatBN2p4GfPUrnrgyjC4AJVXoPEMmOXdg2zhuMs6LuRvRKALHr7zBAuTo1pq2tdAxCkoz1QRCG7
SKwNujJxZihEO/ilQhGLiha83UIzhXqhtVs1YAsnI4ativfFtIuKu9h/95uTFjy1KrJm4yvRD118
V4aHJnxfH87lW8EMnFvYlLZFHnUA19JNol9p5DowXvV4Pw4O9OTD6oRifKsX7DaL+zlKn6HgJbNm
Ry5iTVVpNkUE0FzKXodQ2VlgLqGEbEpdc5rGcEqUxkOxb/s3xs5wOWOHJrQGZD2Rp4hO04jHJ8MI
HN8aN0PxYkIzXRlf8rBzC+tFT0RpmeWRnoFzx8KuSVVzYkf4NukdSbsu8htT/4BygBeZRzBeV74X
1HtfdKdf9OUZLBd1pGAK7LAHrETQqGjdV6BP1P1qq5gv66O7GLtnQFywAcsardsQQCEoYEfcgCwp
32rJ36QH7S+YP+F9thPFrR4PEKEBzGD7TkWRl1cnR/IrR0Gz2rpJojn78/sMLEy0oEwqgMXkt1KC
bMv1g4MfYDfHw/RIt3K3HRqnxxoRAC/PGpSPZVQdo9WdC3NFlgWtGeDE26KCKeh9N4EmthZLOzQX
Ompd7AnIitGucNDkeKNhoNFw/ZiiCji1X0b1nzLrDoIvYogXN3j764u4mFjWmTSNdY8LQHmPrhLa
3zJ9qCo86mjcM9WdhAS/0W7sQHCY+tNhvwbMHdyatNRAdoOhmKr3OlB3aNhzhsG4BZ+0i2TnppQC
R4nv0QN37K3BlWP5oIfZQZUf1TQ82rr/VBm/qPWeNwT9PgRuEh57UAw6lIS7tlD+adJ6EwSgGyoU
2enBDuSAm9OllfmwPoSLu/FsBLljIQrXE33UYUja3/XtIYg/KqKAhdcLhlEwW8sB9muyuABbQ/7Z
RiM5thRy1ZLHxh92cnmvtLca7hSSibeCp3Xblhf/FyAXWYNaTg2NwjtKzXew6PeNrLjQddusw/yX
BfmFwwfRXCvUvmfrIru1zE1lgVglcwLZpfUhSSDF3Hn95FBFmOJmXnbuhbrMmop1C0SKSEhyI1ra
DdKfMg7AZXRq/Gjna0cDHo/rSxf/SpCLGWK3z09D5tUdVISpILguXEiBDxIZiIaC49/kX0Wgeqk2
KrsZBlXr2BAbGreJfKVFxPMry8vAKm4Wd7Xs1mnuTs2DDnbONLyVR1FJ8aUTn38Ht50Qqa27sMJ3
gFG63CIjQJ0YUjGelte3fhGDS4mY43Z91i+dC5hoyUKCiZUUa1wEoBMBRbuu4jhm36TaPqieEhE9
Nvvsi+llktSQh8MUW5xf9VODt7vRQG7IQAFCH+xkvdh0loZ66ZB4tn9qwlFUjLBkFqMGAmushZwz
T2cjEfCbUA1mDeONUedONm6D4Z/1obs8LmMHmWFw63Iw7IAEgYYLVehaEtwGvUvrCCIruJED6W3q
D2xyMtSHIrE83lTp2zoE+0h+cuZGcD7XITNgS+BKR6fLrQSd0tTfGMGpFXGDiWC4AwzFfChsmUEn
8lodPgv66mf3lipor1+eEbyMI8uCMni+WykbDRqMKWakIxS6a9ukFUz5shn/AvC9Sn40WqOcAKAc
H+uaPQaH/iPpfcG8X24x8CwQh4DPA1oNEHTHpM2ORoEZGZrNRgtU6yqkQS0NgXcqff0TBFT5K1Q0
ks9JK9unyY9DdA6liS+4RZDFofwjgwkBCxMsvuefMMUQZBynoHXrbXFT7fxD8EMPHLSFZ4dN+oK+
Bte4uZo+1UfTo2+Wg0y2W59AL7nunQuPZhgJyIyDcYTtD3xVplqpkxGUYJbXwJB5HLzoh/Hebcu9
72QndBblG/tJKgWgy6Z/YZJz0y2p18LKhhoctiOjfyLff288t4mb3bqVYiX28f9D9VSXe8N+tmNv
fdwWA8ds2JiJMwfKIptKmgUIw7qR9EOAyjatEbwJLa4F8Feb4HZmCR9uSfdWNMlGDIysqt0g/4nr
5VDETmNt121ZwgE1GcQqIXXIFsW5LXLSDfDypHW73kh31pT0j6kP+k/Qc3fk15CExbc7iLHkkKoF
bZ2MrmXcEM4RcaNP1LaWGrAPFzjS/g4M2YkLeD0kVHVteF23b8ndoLYNvTD0RoPeixtHvIdVVO0Q
U7Sh2GWWgVvPt3UOmUGgxsYzEEijQa5ybpA5oeg2M7ADKyiAysFSp6PSUXEy9UNrH9et+TPt/IYC
sm8kHtABY11OV1PGadq08O6DvW/fQADiDYUzvNGbxPVDh3xYB7qdbgznOb82bse78fYdz917e286
qtNCnHv9e5ZGd/453GKu6CRPYYnPYZM4QGdZHl/WEf4QcaxZzK3nqMhU4reAULf6jX9d7OQ7dBft
zZvs2L1LXn8srw0n3UG8Yp+d8k0rou5bWiBzEzl3bUlT4Q0H+Bp0TtL0ZEU3fiGBqMN01y1dAlJU
A86KZQGtNs6N8lijcqHBUwmkW7vqkEHrFDoY2bdbF+CueMeG4rMNvUyNp+kaTCiLNJOJLHL4w+p7
x/KhMmDcrxvDNjB+1uYgnGMYoSlVLQPREFSiu4k+pj20TFKn65q/2VBm9nAOUgS+kk4aoCz/ZNjp
Ju8ywcywkV8zhnMBnwxGKfVAoNpbFu2H6BZnRaV8boy9Fr8VVBD6l070CMhMrRjHLLAmnceTdmjq
IkZfOGpHniBj7UhEderwMyw/NPNHlB/WZ2ppCc/ReON8O6XICeF9ftxX6S9JxP++OHgQdUJwxOOI
yT9aJGoS0KBHuNf71xb95vJNUiLfYr+b2ls8uhX9WLdneXNmCuP/f7Riv88257yXx8xiR6u41zYV
Et8ImZtMFd0mRTBsNc9gajOzM1oCJtUPmh04CNeOkLdvaW7mmzO3iqZKDaQgi1tQm7325VG2n9fH
ainkzP8/52lTopRZT/D/lWZf9r8pRBXscddnoqePpWjAGA6BZaAqin+THhUllg0ZPgCOQ4WGjk72
vXywaIML0X7dpKV5mUNx7iyFear5FealVJHenBJPDV8rK/L+NxTOyaTeaIO4BYolHzOld+3k1ZBE
B6VlU8AYa6AjD/Jk/CWhA69MazNTyKdfuZCkdNtQJMS06ALGFwh3Q4XaBCQeQ4BEUF+c1MgzwBOS
JIoTdk/rY7aIZJoqklF4IjVszhxSItsNIYgWhqAJy7+Nh70vb3oR5+DCKymudLjXqbjfMdFhzqmH
ZIxIhPcKtzc1t9LNlxjSkZo61Y4NkkhobLtjpu/wdLk1Gult3calBTvH5rzPGlu1oD5egUk+uZ1e
3022IriFL8VT8F1auD0ix27yp80gnMIc/sJqdAKEnC7vPa0JiBd3NsrgCt08tLWfeMSqX3ONfpuG
hd2XUQoHh2SHXn4l9ybxzSnCbmHGODkEhUtL6wQFPcEFeclXVGQYIFGCdhAoH5xH1y6VoKg54Eht
+BuSpngvKLw2cEu72q5P2NIamwHx3Y/VWNCwZGd3VW4U6ii13z7mGbSskOTIsCLW0ZZ988su/sKN
FH0BQSecJIxocJJIdtJY3lsDNvnUrJw4yhmXg2cOt105ic5JS8cKJCJBxIhEJPR0uHWh5oqvDJGF
tAfysJr9UJbhVu1AtJUQT1M+W1/Un7gU9ecXPQ7QtLtBa3MW9XUK0rs2DKAFHOV7UqErs8fraSVY
fQs5dlBOGTjaQrQTiWZetlaPeiMYEjN3i9zHjkx3kfJY2c6Q/9DH2yi5LbVbw9hNKEJen9dLL2K4
KP2AMgwutjyTnmKZnRZQA7Mn/ZQ0sOsOPyEQLDgWLmRrFHCjgSoYZcWmqvHnQqP2M6JnEWhzSOjU
kDws7ob4HlLYvb4Ljb3cnAjZTpHm0mirKu+Z8B2YTdj5OVhRQFOMZW8zP+KL2YqYdGmWVYWbj9tB
u6W609udU02920O3o7u2dWQNflt17eAY6Cn6t7msLOAj4YxKfRDxEp6cw5dAWUjbHp1a5EijD626
D4PP9ZlcKPSaY2CzOo88o6n7ulEDo7G1e0I6J+vAmCR/xHpysmOyVyPQxgTje9xJDumUQ4kNbf0T
Ltfp+RdwGRm8obRGauELCmjJ2Ojwa5qbMmyvjHbwdBo7YxRv1hEX6jigoYsECfj3GOH6HxKp2WG2
StWkmxStcKUymIydhPX61k2Bz9j2afsQ6ng5rWQoF2+JDoEQx9fNIDgpEKrco9ezV7ddqsnH2Lao
iI/lckPFBq4ibEEHTEOFCRdDjKEvhkKFXLke6zvUmG/LSCSauggBTkAV13hiXtBg9kaWjOaIoEGn
4FARyyV9460P8OV2BitMpMyRz4P78qz8cjdWaIjVIbqeZQh/AQjzT3VEHDsU9f4tIUE1ijVRst7N
i/FC1X9CAkSiKKboxw68wj7qxX0gUkdcxEECD6p3TICOP8xZqaU1iFWYl0y+UuQPuar2zQANsViX
RN7Jbjl82MGGpUGPHI1yFy9cRFJLLTQT1qB549PnQZ8cOdwrKR5NCwhbPhvdVacfs/45NAQVd0tL
cY7Mfp+tiz4ndRTWaQHSqGuzulbyA1EkV1dvzPBZmfbrTrK0ezGpWfDn413tksA01sIgG+WiwDFH
O2kFeRj7J7sv8cJfbMu4dVqVXstycrIk69go/vs6/JKtENkDC50pQ9rsT2Cc2YpKKr0DSTPbXVCI
oSOXWKjQGbJAZiy/wVmv2kDUjL5sMXZMJJ7R1oESsvPxlYZRDf0AFg+J/jQQGbLayv+RdmXLceNK
9osYARDc8MqlNpWk0i77hWFbNsGdBHd+/Rw6YtpVFKcY9kT0feq+ygKYSCQyT57jQswwdmK0yQwk
ZEMMcZOCObr/kWrGmmctHf1J9gFQLlzcn3ShmC+o2dY4LXl1tAq7rqY3qVNa6Ld0O4t7Ft9yf5Mw
N42cXt+s9m4X8kHEXeDCMXk2kdjPa3GSh37VQGjL6aI9YOJ2rUPcWPklEBsMZZcMe82/BWf6339p
js3GeCsIuSHAdbnrYyiDUkwXDGra0TGuIWze63Vxi0GNp7EJ78zI/9bGvF4ZLlgKGRzgVcy64uGC
a+bSLGUyS0K1zh2tZJC/zmzTQFLWdzahwQod3+fMcyo14K2JhxC0239DEs582S80Scyc5JNMOvgV
t5jicOu8snkt9yaotq7v59JXVOG+bJpuwYDSb2z8mbkGsvBNzNPcQerz9FuCSAVXJIk9apXbrjq1
nDht428C+vevdyz0zPLsUyo5CEM7BZYr/9T5kVNn0laSYIMX1coVtpQYwRQuL0A+UcWZT7woAyYL
eIr4UI/soIWRjZv/KBSIzxfSi1MASvCeyK3H0RA3I+bsKrLGIbPgQJg/URGeQN6LQzuLFtkYlqrA
gCSYWr/W+m0FUEBRP1bRWgVhIRLCDgpVkMdEq2XOgtRYqV/hTCLNpc1BWq2HAo1jlPSHktU7Je33
gA1sV1xo0WOn2T1Ux5Dkz4sWWmGaIKqAzTjc6/kuxNh5sJXJTiNeZu3E6Kbmm64cM75Roxfw7U7a
Krp53/w17wPyamJNmF7c3hpUAi4PacN4L5QBvyMSbhpvNfZs6reWBIpP3PBkjVpw8Yv+sTYf+G37
oQyjEvE/A71ZTd7KSmBCRrOLtZC3tL0qhLSwsRqyiDmdhZ+oQ9c0Yw65QZTTlBASJc1jRosbweLH
nsuV7sfiYUHwAU4fD0Pgo2exriI9CTWN5hhsANiRFiD328QNsbXiNgNPTuH54aOfvYZW6JDw+bov
LVxqmIL5Y3tWNIZWFiUyVWEb4tiAMBypqFfcdeG9C+pKsCMak0jpJ40csCUXwvJB4JoolmdFjaOT
AVlguL++kqUXL1q3gFmj5IS+6rwlpjfgLtDqAeFN8nwbBkKzRy0NHlIr4C50ZZOtaPLbyDRgnAVu
NWiRLYIBiWGgv4Afqd63eTqsRMIFX8LmEvxPJfi486OaFJWWDiYeS3lcNYaDR5B/tEQ8Zi5XE+T2
pmTxja74UbFieDp7szwYXWykaFBDRrl8Do8xwtiAKDGU7mTgqfKuM0rImhqOCd7lxPqWVm69Nvu6
5McXJmd+HDYZ79p+EtcDH1FZYLSYoIafArcbnzDCYOeiFjYyG0DuVbJNOHc6X12peyx0gCnOEf4B
JSdBX2fyxrPrNR2QpEUNDpNEf6JNqN1BW6rUP1pW32gkdfwYF572jYdA3+tyqzXSARnULkxP0jJ2
sY6ZsDC3IyO88S1jK1TF7os1DMCyq2I6eKpYGiiRzC4nCCpHwcBx6rIWOnnRoYnfIx/oYtevgpdI
K/Za+E4rZqtG96ymySaKJNj8/x78AmAThObw0VCp0edXFw4ADeMRiU/IFJT0NdrvpJ5mDqvkytNo
KQTgppoYYHQ8y3+n9mcfhZpVmTRTySDS1J1Fxa5qE89IzJVIs3RDYORbpxAj4XiZzO6jnjAl0iVE
TyyhIojuwvgjzPONtoZoXPJ0TPHilalBuwxSTzMny4ZQBw/epAdS+j5Uv8HOutGJrJG4Ke1Law3m
G20o3aXCLI6VWdGjZUh6o2VF65SUBys3yMK6p/qlilIbMuZPOTreYq2MRpk5CVglwyT0uCJvawVN
M8yYrETZqaQ1iyvIdFBZQ0MBeIA5mhNaNirTJy7DStptePTzj0b5pdYeGrS6ui2zbbIWQn+TPlwz
OS3/zHvCqMkBZIfJwaGufENB5PE7uDXwtoUOnrAz+3QQP5VT45huuhJOFnb2YrVTeD8zPQgQ1fNJ
yynKvpTESdQEtdT7jq3NvS9cExd2ZrUDP/VJXjWwo6jJRsHUWszBJtJXe6ghgcZTrFwOS0nr+Uec
HZSOibAPO+xoUr+PEgxMxVMXPhIAVYDKyflmxWd+p2afvuA0bgueG9CDzW/BMUojM2NI3VBZMxsn
lX0vt1VZWZWHyGAcZK2WzAu4yTcDBIVeSSFV0HnxgR1qM21BCVfQfgMoGFgnG9Tfgo02DsODOuTE
dNjIWHJCkC23RZdp5i704/5bTPvccPQhYJ4YA0T7wArim6qEzK+rSgFhndJoc+H1uiIPCckVL5xO
J8tUHzODDaEfvCbVTq26eHBJypXQbUWUgZuj9607XSkj3YZcTnFigUaeMeGQvOsktQikLix0Y3hF
AuJoIfVVW+R1tG/SjuE5NPDYpaaQ+A1Wc9eaPpAACVGCb1SGhYtiunxiJajU3KEpO6+JavJV0yf5
Y42EBtpaaSCMjS5K9RB0UHax66KrQSpQdbrYVqmS7guEl9HWaKK5cTWSHS/Vjth10qijzYueo+jW
Y5wFgwtDe+hiwRunDCLrIwdTIsauTf4rDgq6TxkPtyg+DS5PfGEATUBzFyIULfYtxybbQRUNkQsa
+8YhcQ06fl2oCIBdqhrxbeg3orFBFqr/Srlff6NhPVhOHFTyR1PR7CkHmbFv6+VgubWl8F+Jjk19
NHMzuAOpIYkwYp/kzO608ajVY+m1MgaPHEUOmXXc2rYZUDYOoGT7tG6iwwjh5j2qpuqe1L31reyL
LrTVTEB7TVbwK0X2LDvoOlRxbzM9tzxVacPAlUmT3UBGxr8laqHI3ZBRM3BjlSi3aQOPtYdczd9V
OfiZ7UO0RXPkMJal24EJPH8o+kjcGHJgaBsXYznaWV+WE3N2XukekJDBJhJdBcQnxH412YejXZZQ
y7JVlqv0VOhtVnhNR5vgFqMG7Nh3auUxvKi+t3wot9wwMt0u4A9r8KTFuwsVcs7wdIPrzEmMpKzh
Mynk9YCywLznVpS3avclDu/QV8yiHct/gXhxYEdjdep5yfSERsQEKMflSee1pLyteVnFSHvqUD9W
bXunBx8xyA/1uNiqMDd07SZXu5sSjAdg6LFrLV8JRQuBD7Qs1EDtfqLTnzelMoWMqUBi7DQK5Mqc
rX5sOg1nkYBFag30sxDTGQMtHBKrCYE5r1dSJdErWkMnBppkhnFXpIYTVrvBf/ZZ+PdFuokVjqAf
A3o9hNjLa6oYOgTLMigcv9JQGy21/EBJ3yR2OJZ6itkr8EmMAY0ze2yMrlvJCRYuyYv0Y3Z5JUqr
MgWTHZDtK3dWqbsKNrjuYydgK53+hc8HCCKgiGCcxmUwT+5ZP3BpDV0GuFbm+aleuKqSPyl950Vm
6lmJAiKXfCV3XXghX9icVn+WAphBZGDaGzYTzABlkiFNf7p+Py5kx9D4RR6OxwBaSvNRCb/goVYN
FRo+OobKssSOoV7kW1+vW1ncuz9W5g/CTERNO3YNxqYajqtUeQ1jfhdmhqOYycYMtG0b/DUx/lSt
J5gVwGHTGGoAl1tXs6EKxw5uqYF0qSIN0guIk4drch0L/ofhIk71CboNkp25GfQdrEIUSNJo7Ul9
FwkNedSzuVYXWnpbYr4DjyUcMaRr8+gxGH3BiiCEqCIO0XsJ8AAq78OY6U7dJph96DAfATK/KB5G
2+g037AxthF+9dsGWpYJZi+PWUDNG1G1fCcCQ3i+XwQ3IuwUj2oJKIGKyoh9N647NOsTA9JIqmxF
vBIslioDZ+42LzfldUENIPcxNSLejORk+b/Ufh9W3picRPpktD+v+93C1zn3bnNWYYrqUCXhZE74
txZ0v3NvlK/aGnHv4ik98+7ZizrUUdhmk3dLE0W0LkJtJxZs5TWw8G7HrTkBmiwDLbdPzGmDqvZc
7zACQwBHLbwuPiTFLg9fkaJU4iXQdzV7Gso90jeNPLC1t9fnC+XS+mwnYyY0reynKY9AcwT5kBBI
QqJh+zl5zYvWu/7d1qzNdnTkiUjiCmtt+Imyn1obOVbW2iS96f+haYuVQcX2d/TTPvGhsKhQW2sa
w9GH8k4vlSNJhd3VwamMhBOn/pc8Qw+3po9d7N9bWmhb8fv11U4x4vKFcvkLZndYniINpTFWGwFE
4FlWRzFbKqljUtxn100tbuzZYmePL4NByoVkWGwT6jfoiWwKTT8w3tqxmjgi/bhubXlhKGITQCIY
mQ+VkmAUSYb829HLvda7Y+7l/va6ieUF/TExnc2zGzIBbb2v9DBB403Xm3YRj86YHeN2G8Wv100t
n0CoFv7vcqblntmaFP7UngKEPBxSXJK3dFPdWh/VVj3h3tQP2i55iFaWtzB/N/kGEnxwWyP7+EQa
RfuYtiFs1s+NF7nIS3cFdTCOHzrjzvQmInJIs27AcnMw7vAvjvDdG3Za5aH+PX702Un//JBZAChj
uGUHajdHv0+c1/gmETaSSrV2rSOaBphp+Ra7RWkrz9kL24uVjuzn/OFyF2bxgHSUhlLHVx6Snewc
wm5q39FUPJsfC2MNvLUwB35pbeZTeS9j3uXTnm8KF++R7XvVO+0ucvkjfaw9YZvDdu0OWXauSVBU
Re0Y+eWsgI3dLTuIl9bQuDXsqu28HFPSeN1hCr29RTZv63l1pxqBZ4CFOaGqnaux2+g/INi3v+7n
i0fq7JfMvrQQoPYfW6DFmv6r0d1qPHMsAKENMDiJzXVTy151Zmv2YUOriAsKLiBHO2TH26msd4pO
9c54ljeYKDJs5oSb5kNxH6LDGqZibZmzr0zUjteGgGnFxLQ/GqdAc7hSNnbU/hSdZq+s9HPtEk51
ttJZ8CiiLLT0AuYGBYBSHUrOe2nuUvBSUe2ZG6cQjHNh6V23+jn/mYwCOwEgJoCI84KpMqp4b0oY
9ZvYHobq0TLALJKfKPier1taDPVnlqZfchYbdb2sNKnBUgCIclhsRKvYxFwJA8tGplkwPGnBsjq7
vQAJrmMUulDpqaXbW8UmwpSpIH8Pgpt27T8zv9lSztYSV70yxibM9Oh+KG7mn+LK7fhKQrf8bf5Y
mR94vddEn2TYsXinD79qfooyN+BrdG9rZman2SrMbKAUHwZpTr0nVfhDabPyLYujn7Rl4p8c7s+i
Zuc5TWqLxyCtRKvrlzF4PHw2qgNgHtedbTqan+6iiY4e7RYVImuTn5x9IN2sLC4GBOgkEMzTCgO8
PUO4FiAWd+7MyvTvz6yEPTidigRxENP+btpYWzVzUhRo9TReWc/i9cbxrsMhBcprPnmWJyk4G6eI
a5h4r6qO0jh++m0aVuX3igjd67u3Zm2Wbo5aIzDRB4/oZX3DfDz9yqIK7aKl9QbAjwHPR6i4p5yv
wY+WN/TPMmfHFzp1eEkHWKYcnoqU2mHD7WzcJipzrq9w+kNz/6CA1nMLaScQ4FPoP/tymtk2dRbi
aGWWb4PT2svz0B5UxYvpYBNQYaYW+r8s2V03u7SxlEzVBg3tdjYfOSlDLYiphPPX/R1PAUd8Cug+
SL+LYrBltDaFuwDmYtAz/GNudoHlWa22pIU5iHaDV+7OBKtSTnY+O+ndSxhu0sbJ4n/wnXObs5PX
FgBaJAlsBoDHmdo+kwkgeXdIS4j5YMmV7Pd3b/bzhzQtDCwArIawcvkhgbCZJD3y2uHhi04cVm8r
ZR9ngR2xIwV0jYNrwHIB8V65zRbzkgkQ87+G52e/K31DKWC49bMjkV8j61tevJQYEVGS0bVKnA+m
7IcaLSGjQMVcuhDjwDwi21YCEjTQoPGLyCUZ2xiKtuLd06KvbcrMu+uyCjBeAO8ewVum+o+Z8R71
KzaWkiMg7TEhgoE7/RNqWkpp+HKADUXU0h44tJcq0bU2qBcab2iyO2DU1/TN6eL5OTM6C0xtCoKC
PoDW4mDmLxEkFEzRuEUGcucwB55fd1qUbqLyS0HCG3R3WDzeavQFHSybma2b6YOL4bmj9LN/csOz
HzYLXMQImr4l2A2G4milvKnNrm3RbP6hAQWbdV5Q3JrpoV3jg1v80OhUoH2Ilsmn1noWoeASQWXT
GfoMGLp6p1rBrsqKteUtpaZoF0J2DlQXSBVnlzYA/ynQfjjUrRxANZM4o956tWk6es2RnarPmshd
dMEfhlGs2F66yc9Nz2KY1kFGik8xrDHaQ1iWe4zzrbjy8i7+Wd0shmSdivZ9jI/H6x4a6RpCSIzu
Fv2nkHG2i7OQgaEqokboIDultGs33lXb5le4Qz/3KHfZLrOck/pk2byzE6fZDY/Xr561RU7n+ezG
K7I66BIfiwxjSBvxyEuMyuuGNUjC4sV6tsbZCTWBATer6WK1AP4cN1b+yHH1xMeocSXZNfEKtmRt
VfNzV3PQME5bmlC36m4N42j0H9c3bsUB53y6UeR3vJjSYyV/7tn9ahK5+PfRGgA4EJIXiKWXH4ZV
4HuwxmkJ2X0tMeO3u/77F2OmpqMuTDizoDpx+feNtM3NpEKMqDFv0cV4MdPoSS+eDa3YSSO5afvq
+3WL01/8dP2cWZz5QJkapOQqLBrD3sjxnD2Vyk7PP/x65YG0+PXPDM2+fsdJEEOSDAwy1n0Dximt
gZTc2qzp4mp0Fe9JUP0AuTXbv7gblUhjJQJQh+stTfo9QfsfxOXvZCiBICcr32spB8YExTRGAWQk
8GKX30tr0IbKU4AVhLWrtDeLugbfrMIhF70CyGikvpgVofPRayX30wBP/ek1nriyBn9gAj2gifgn
2GUCyPu13vbiNv4xOFdSFHVehGCZQPDLt5Z6J6VX5z+J9UyN/T9435mh2as5UKwy6MtpZdCiNmp3
kOAA+K5Sh48rWom/Z93mjg76OHTs0bKfqBEvP1UKqE8wTGS7SmYLhxyMg+EACDTY4Q7oTjve67fd
5i46fDn5Lnea96fqpnGTG31bbjIbW+5AI3DlSHyWNLWQWP35Tdp0lZ/HefD/SmZUIGq9f1e84MB2
9U3+kLyx2+JmvIvewv3oPcTE1k/lTeAOAZLzlet0sVDJDHA9gPMFY+/zinQsCwj8ctCDgu5QO7Bt
7wq3K2zA4j30vU4Ajm7FCpPAAgoPyz6zqV4ue0j8VhoTP+33YHTosX8jp+FE3kv3CwC/LqB5tnTF
QbvBru/0FY9bEIy4ND5LjzrOIs4hmoKyf77TtrnnD068VZxu0530LZ6xx+TO2qwpXC8+Qc7XPEuN
Ajxv/SKGWWU3uqWn2/khjm3uVD+O5bN2b9mKa9yaLnGBfFwJUotdh3PbsyhVD2VHBob9Zvd0M9qv
5n2/+f5o2M3GcOmBnMg9d9hWcwc7fntqNsjQozU3Wwph5z9hlk61GViZDR8/AcxhFC5We4+j3W8U
5/fRyzbpe7E1D8zj7vUAs7zvE2gAWH4T7fbZ5+5bbaiCFvtu2hFcq0K9v7Hbd7YBmdcmdIqbaADs
MyqddONDOGsljVzKF9iZ9flXrxJemhas+6pma62noqN8fYFLFjSM3AIdYUJjaT6cXyhJCHfuQdqU
RM5YJODd3ly3sLiFGuAXIFcFyOvToDLNki4KCUygoE/dcocgXX+H59z8yF4L+2ewD54HW+wbJ3m1
1jZw6YI9tz3zG62ibKQ+bPO4hfIyGAldgdKBsgY8+j8WCQ8B9AnCk/NRaaOVMi5HGGKNPf7gNnij
7tNvgR07+gPagdIJndbJv6BAguHQ7WpUWsqOQLr1n/mZo3RlGKYgf8YeD7b+o3+Pb4HTZxCbRpvc
Bt7xG8TknPT+Y+XTLr0VwYmAFWvgkMAI7mUkjuo28sFTiO2lr2aCXvhPwzy28XOsvka6K+JDu9Y5
Wbzzzk1OkeLszjND1gEEBZOQRYkf2h21zfvMzW6KfbwDs4PBbHoHIsPWiezwqX+NvAD39Qs6VteX
Pl33s3QA1KMM6C/UaKdBgsuf4csqFX0JNGxvvABNzFOQdGxRU7QsBIjy3lrLTBc+MCrbBjD+YLAA
X+PMnqoOVmZQcGqSMm23AM8CS+dHLR5CyZoU00JIsMBGgs426l36J+W4JCzCViOVdDDLuLGK4Ru0
t1eyqcXVnJmYfcQsbJFq6zBBq9Ku89Gtu/t22F7/RAtn30KCRMClhEMJ4qHLT2SUTcTCAkZGhlJo
EHsNlhNvgOG4bmep9ApDE6sR3gwY+JndjwFNWaU0tXQ6euiRHgIM02pb5tuBAkHovZXcFuLpus2l
b4T+Go4dBj2hFTVbWwCcShS3mBiqrHST+cU+MeVa3J7+xszFsaw/NmZp1qgLI0ti2IgL6aTEw/Mb
BDUYN2cbWbsjBgRHV9QbEfx9Xw+C2mDpnmaB8GCZXbkFz4oQlBwSopB3vv8z7J/y5tf17Vt0DbCG
UHwzoKfmtXnS50M2tK106uK55JARZT/MJMIN+3rdzpKfA9r8n51ZWBZZqKdpDTt54cTsTmvu6Brt
ygKUmWGWCUwEkCqcUL4z71PMMOl9Mnlfmj+MkQ8a5Dh/lSObxhu1YDcE47iVpMiOORV7ydkX3g2J
m41B+nh9tb8byJ88BlPFoP3lgKfMt5VqGfMpIKNOm/RBYlfcrF67XAQnM+mLH4OWQaU16gozRYdd
j13QSll3IhYGLk0lLh0EtGyHP55vs9jsE7tEXnLsraozoSprBDkwxOMp4AFa40rRQ7anhp4YOOBe
dHAESzvpwH9lE3A1nbJe0z/Ab8zf6gHTlKQfINDMO1q4QgubB4xlUDiwhEATRARErUb3eTOVrPxi
sGy1bMNNHg/5rw4zxYENBV7iBeA1OtGsxMu5pI16UJvGClfulAVU54QdnUjxcaGCbmD2xuyUehws
OUigOhXHyl+wxR5GKzYjH3eVRaF0zQ7Ipb4H+i9S1k+QFLeFGr3hwoAeQWILQNUy+RVEKuB17nZF
TtFNa1c4ChZcGlow4EFAeRj+Nu+2JtBVJ6WObwxpuZsOyIg87w+9+XbdlRau1wsr0wE+u+XD0coa
ncAKr4ruTsOQjLChU8bA7GOE455kVfwYE74NTD91ir47XTe/sEicKSiHoGZCPmdzKtHygFg4t4Bg
HhMqt0TJjn4Q/MM1iE9tYUoY43Lgi7tcpd4HqVFgXM4RjXlfkNYdAHUEmbRYKRQs3VAYskLHDGA/
C7Oes5A6lrRrMb2EeMcHw+NNgu7UgDnc0mzLJxkgaRyDXHXUBNQlkC/LPLXJgufre7oQc1F8QqqE
mxgzD3MejRLK32VdTHEK+VLb/JLgJdYwoOL/+v/ZmV1bMgcPHjMlcgsMsHGjPBLdf40S69DxUTjX
bU0faBbwsBjc+RgjgY7jHMAs/L4AEx7cVOYoF7KnqIjtiG9asP0Ea5ocS/t3bmu2Ls0XeIsOsKXw
A4eao6hvSXBMTGV/fU2LdtBfQkI/0erM1xS1QA+NEDpyQqFaD4OK1FlXKvqLG42wR0PPXq7bW0hl
wAmJ5iLiKAL1fGIk6+NwTKdLg6cB2vDdY9qtFcoWjvOFiWnJZ9GkrbWSD9BThMQQho0Y3XA6YOq8
+ofQOPHS4B9oiiKUX5oJQovmw3ScNfldYnq5958i5ef13VrgPMMfPjMycwNM3emYd8N2Qb166ruA
rqSP3zOyp/SFJVvd6oHdACTqrgEJ0JpvLJRhYBxvHgKSGpCOzVY4CiXJ4gQrHI3KNrVdBwm3LriL
UQwVbtWKlQtx6RagyKvBMKSSab75ckPTtlTqQU4uX3R7P9K2tO+/AlNxkwftUQO7Ghm1vc7WpH+W
PFIF4wY4zUGngnB5abbwAyU2Kqwy6qttreZ34BT9+8iP++2PiVlimLRRyozJVXQSPrQkfcSIHmbR
Rve6tyw5Pr4WRXRCPoaRlMuVoHYVj2aTIRZKDsD1uFGLESq+w4oZc8kv8AJCNqBrAAnMd6w0UZFV
tVw6jaBlDkk0fDBb+nqHedVY6ptW6MbGasv+yWqK9q5IkthN1NLHf6TgR9ohwVimbRJRqRgKrUvT
rnuZu0SXyuBIjLGcdCVhtwoKoF4yqsW2qDDMY/uE9Ee/NceDFvnQNRzVCAwL3C/fap9jCkvQFPRj
Rh0eu0qOD1zriucq4uOhBdbNbetitGzUTUxh52ON/ysriihy8FxIdRs8ye0PpidB62H4Mt8pGeXQ
DRP+yerABOqA97jbJFoPKrlCa7es7Hlkq5WF9q4QJ9mycENo6e+VzN/HuaLuTUX3aDGyTVZAr2ns
Cg6YGh/uuUrGraYr2lEv8dqyRdLkqceyGHMbvQFKm7TX2G4Yq/F1kAZN7c6MMOsLViFM8mAGw7eH
KEs8Sxftc5/0dNuUafxFCUKKIdrQAOZI8QF8uu5YixnFNIA0Ff31iUzv0rNUrlRZYuJhOBGaHkO/
LO6aTtZ7DOBor4C2+ZEts6Z3C6W37iD6GmV2D+zyyjFauqtAO4c6DFILEEDOgiFYXCOSKfgVdUTs
fGgdrXtiljdUK/ng0j1/bmcWEbCBbOgnRRMLHCbmuMkxOz2iDt89ta21srVra5qFhgwow7aOkb8Q
zJ42HLrXGI5PvfLvlVoAhqOYCjXw2AJwbPYFm4DXDCIReGbXws0zV+q3hWbZJt39tatQXFl4mKoA
NQLLPlsQb8NMJ40snALdslqM8PAMp/irYBm0vr52KfJON9XoSlD6HPsuzU7//uzSj6ssVWUEs43e
eUX6zIZhmzQrRqbffpkAgrF/CuMW6MEBhZsZqRNWDS0B/UarC1QRxH0cNCu+t2ZilrzQXGKsN4CJ
NEVDf/DFA15eK5OlC3uFmUgKmk88RyZOwcu9kiUxW8izgK6EFI9ZpXwL/ASFsuLhuit8vs+xW2dm
Zse1CRNp1BbMoM9QJPd5DVhkeAv58YR7rH1Lje11e5+P7WQPS+LACwK0P/s6aYm+e6qDZ6ge4OJ5
fR+Nplf32kGtfdeE+ts/mIO4DaqnGNJBefhyF6PRKI2GgjrDB38eHRNPLw1XLdDuYOK2+PtcDIs7
szbzi7LtewURtXCkcj9CkkBVP6r4ttY3Apyb2drE6dKnoxAIn9B/3AT+8nJtWhyqo+hGWDN+aqbH
zW3f/UqiZ975btl89Nra3M3St8Nz1QBbF0rsn8KTxnowIQaoCoVh7+m5X4ACX+vtJo7QajYHQMSa
79c/39IhAIicg6kYFLQAXl8uEfX8nOdmAVbNHGMY0DsFUf1WBTHFSoBfWtnUMJnwJQaGuWZ2rGEw
Q5y1zMkqSJ/fVD4Y/ntPSDA0rMHQlk39R701n+dGNY7qY4J5eFO+5wRXZPgyGMIu/N2wxsC3ZOp8
lncKY2fhNgcpHu04xl61urbVfkebD6k96OEPQ/euf6fPFyRQkAA7g0wM5GroVFxaaqKmNmmOMd4W
jGkRqV0W7gxqc//1up3PSe2lndmKooo3JqNYEZvG0pv4h1VA9ZRGmzjhX3TIkRZxvBLr10zOXMPM
Oj0aR5icOPyl7wrxWA2BA87TWP8h2r+H4E8rRJULgDHVAsL5cieHoLISpLEgMUCnIkFeDpruNnzQ
4zV+r0XnwCsOen2MTrXhS0Oj3w4qSWGoSt709FZJNhJ64xn3SvCj/MNXOzM1u2MyEMuYPYOpAbO7
sWqraeMlySEA1wegifoa6ebS7QxWjf9WNnNGFjJBuJy2kJSbWPg3QdetJVCLXnFmY+aI0O1LQ62Z
dm/4mhmPA3Vy0dvWcKijgxw3cQe5CRvj33W0UyBLa4QvHX806tNgxMAnP1/f34V+A5zm7NfMfBRk
+nlONPwa2TqNvAHVoQ3JBLsF+KEwbjiimUo2yFZF5jWrE4KTo8zzLZQeMBeJt+akynPpSIpRxoFV
DRmuWPVLzMCcUnZ3CgpTFo23A2ZUxgyzYPJrxhPMsPjp2qdYtI9uog6+PLRc5r2pFoSRXaiMmdMA
y8ZYi/drYmfNCzFaW0vZTtHQ+0v9b5oh3zWyEh0WwFZT8QWFXJCcThXU2epzNokdWlh92711meH6
qnQHK3WQHr76HE/MHOLckCS3ht4L9PgdbESeb9RHma5O+C0F4fOfMjtmUBtgfVJjIzJuF4HwCP+J
JIeUa2LkC0Mfl2ueHbDaSkkRdjBUYhoqiV8ZJq9IYVf5s9E2rpJtS4wsTQ9isdbiX3jjTqYBzkRN
A9CfORqUkzpuUTjMwB4DudUCfLofjDyk1It63YujezHcpf9AUH9hc4oFZ9foqOFkNSVsliCmKj01
HFjiGlHagVU37L+0vOgerx/opdj8Z5UowF5abEcJFQQKi0PfOLlf4uY2b7PwKeUobYxrpaLF8DEV
EEGlzTQ0l2c1vQSKv3lDCP62sGwxOoQ86FpiF+azZXwH+X+SA1Kpvef+fZOtnN5ln/3P9Jy2F4Oc
egylXsidlP2mUzES1bgpw/B8vBYjyUKYslR4DyRdoB83Z7YyJWZGpQpLaQ4t4A0GKdTgFtrTNmWH
JHJNsBK0K4tbPihnNmeeY46QiKI5bBrIWGNzkxBwz4DiNdoo+o1RbkdoOCtuSL9dd5+FgjTWeWZ3
9kHD1lKahMJulraO5HtZ3+kGAqFTd0dQwxOldvGYFPmmUW3f+PuBVlgH3ApwFYY8l81uI4paOCjM
UQpOcvnSdNFD2HVOJ14TZe3umf7S/Oo5tzR519nJrPs2IX0HS7mfuIUQLkObuFAy7/p+LjkpqiXY
UTZps85r3jltezAAUyxIgY6KGaEsaQWIOZmmfY3pmi7WojUQsU/zAlDWnDuqVcqUKmhugqVo6lcw
UM0LJ1XKB19rnOsLW9o/fmZq5p+sUJMAuoBg31FS6UJLF3SDVmS4haFvr1taoGwAM9eZqZlLmnom
2jaFqTy7qdSvKj8ZKE9CMqr4EY8uG78S+kr9ndq+5fEjxXjmGlHHUkw9+wG/EcxnvgICPqMCnSDS
hPwjTQ/EOlINpDXqKQ3XkIfTts3d8tzUPHyXvlZxSG040Eb9FYvXOAvt3GhReIXjgNr+f0j7st7G
eabZXyRAovZbLZbt2Nn3G2EmmdG+U+uvP6Uc4I3NECae+e4GCDBtUk2yl+qqAUqml7eXZ/H7wUB+
fn4Q4iWB+uL6YOjaZypdZbUjgasznqBFdkxz0QHnuc23Ndyn59ZCpZlTdC2QwpbVPqkg+NiBn9j+
c3lNPCtAGuHEoUOuAzF2bkVKDSnrMN3pxqW+g/TCU1/HXjP8g8wNZAi+zTBRk2rF4BzTYAZR5BWt
tM0CE8mkb0F8LkDJc74SJO80zCuAHAGQHHZFCWa+vlzQtEc0TULN9ka5QKc6Mm9TMPJ6ejuBu2To
WkE8wcmI0LFDkxiwGFRG2fJGWfdGXBRx5epVIt2rfWG6BTDMAidcnYxxe5CsoXINCArm09lxjKVR
MTijIjEummej9+TkAKazLny3gJDGSDIU8QStBg4KHq1I1UARDPNVmAVeXejkTDfVAGbBZuWohuSK
OkRO3g9Ov5josuiuPepbmyx+Apx2pks7tQcu1Yx8nSYBXdALiUYw3I1eaIz+YpiPcqUAV5SDejzb
pGgm1KXtZqBwuezVHB+AVooGprhVUwRv9PlPXjLUE3IJDOSSiTAZgCrLhzBh079FagPGc4E1Xrxs
oLwLJAQ6pyB4Yi4G8CFGHVnNmcVNG/0e1cYZybOh35nLVhn9sYdCl+BR4Vy0CM8x14SiHcqSLDwf
FKrgLlhA553r1EsiULdgvB/Urdah0RLB+jhvJRwA8CZtbXKi/nS+m/M05iB0xfLKrvPqEPFqCh3E
z4Le/eevhnkaTDtg2hrNMzbtMIdSAksd1jTRQCeTE8a7aHwkGTJMujVx0//fzK1OdOLXldIusrlu
4RQ9VYCuKvZ1OtzE4VO5jsD9S1KF1QFVBfAYZEpYzcGibjC2J2NUMBq93AKwjzop0HgdgaqE0+m7
pTpWom4l78uZ+Gw4AzgKP9obEen1Kc5HwI5aj6q5W+Z/yvlxlEWSbBxvRMn62w5zvUeFDXEDBZeS
bm0Hew/qJrR1HWVx81pI/L7mvewFiHcK3SfMgyNHZb0xmtpWS2DLVG4n7VaaXIJyBEncng6Obm9M
xavqTWthRl4NLBGVIu+swzlhGs2Vtb+ybsWJ16BpnhrFPH05KZU/subd1Ddk2NY2ZDMLZ+mDfBKc
i/W2+rHiE5OMo6LTPZWdga9orJjuxX4A6YLg7eJ+wBMTzA0WG+o86gNMSE18aPR2I0XNZmiTo57l
L0M8C5DOvJztdBfZQUliYFjXothFsxk/2/jGzCGtGkc3qCjua7V/kCJrY6PsS7VXzA07lw8+LxU/
s86ECHZl07kGt5kbd7us8Zt0Arv5vdR/htGzFR+q+kGx/FZ9rDVBu5GXM55ZZg5KIhFSzhYst03q
Sa3hLDQ+6EZ60xrVU1fnm3m8h8ZaIEWDl6UPs/qsDLngOhdu/nrCTlw4Uw2o6NbY/Kz5zMM7sJx7
1HaL9GZo3HzYlQuy9ZdORO3GvYsMtMJxFaFlzAYu8xzJU6nBaqx4JX0wu9tw3KSlwJE5L79uflth
J0OzNOwrSYcVXUOE1CNW2SzKlujvpHPa8fGyI3FiMZSNZChRAmcE1iLm1CTmXGLEDFeRbUHjKQuM
+nm2pYdWLjFabBxSnTi5LsK0CoyyxRxMiiv/X1QVEsvV8KSHVylKDqBSI/LBjBLHKAX+wkkRVrJu
cEwBp4i4mjktBlBWEei5EXEqdzUlIMTdzULEG8c7zowwB0MvjCKkKows0y1FHSe33WZGRCuKm0SL
YXw/kQBVNOvVjvU7BodiN4eOcGaJc5si/ARwD1WML+G+8wNWNoAzZ2jVuXruavkz+HatxZ/1FOVa
0cfh7ttJpMusxyaA9FcyTNXhzTL8acYHM3rQqSCn4vmciXMLwngEEZj1OV+QBTYfEloIlSog7ats
ZytPcfVqTZOj049F9VvcGZePFm9dCN0tgLYNNM6+xg5P7qi5MfIoHWERQ3iOBJpLSYOA7RJ6gGr/
30yxNQv0HDIA0FZT0uhmU7aVyIsKzdKlskR9DP6qkELZ2oo/YhnOIPse1lOkgy6CtvlnCSnN31at
SK8j6eqHDlrtuj9XeXQFKYn8kC+LeTBmyJoHQKPFu6w3q8qxpkSjt0NZKL2fLHEzeLJaDIKIg3OL
ggadAD4Jzny0m5iLrdYxUQmRD3D0ox2LgrHR3eoAeufQcVIrUKu2b5e/Nu/AAEK5ygQiStVs5vRH
BsCRdQd7MYWoTOWr9tuEANKQb63kH4RXAD6ACgqgtRjzY7MMSWurXl3XtjSt8jKRePaJWR/bqF48
4Dyus7xKtlj8++Ul8tJoE6LCq2wxkpsfGVucq9DOS6Pa1UEq9WyV8nwPynflYUkmorjqkNO30VCz
LdEK/W+j9/YvSPsNfjf0mOKb0PPZaWWnvyJhicBNRwvr3kozHRP4lTaOntEMcey3g5G96LE0eYWh
dl4K+uS/0aKi3qEomNYTHBxeLGxiGAZUrZg0BHiECcXDGgObY7bCmqo3oh2JnXu6cVeTO0JAhzDt
O81HS/LyPnJc88zmesROLgbNXNpBswBtksBPsoCFrJh/rXVVPc8hsQKcHdr5ly3yuo9nJpmQf5rH
aDK11WTry9Wm0oJiCdYerGKChZg6Sb2zIxDEehSUF/VdbT9f/gH8Ja/alpi6QfjInEY8tkBG5pAK
kuVjXXkdvbco+nKLj150CWe4bI0Xo2K5/zPHBhhZ0mR1qOCrpnLsqmRb2dfzsOsbVyrA2QTBm9B4
ruUtKpOF8QkmKZF9Tg/pzD7z2FSQu4ReIJYbLbs0g4DPSw01Gtmdk6dY3U76ax2lApucqODMJDl3
qjFBvErWHSbkLh7+yAsmFv9e3lbOE3pmgnmo62HIl0nGrsYQRayAz5CVjY72ql1siwW0Ufiy/mWL
nEvVAuYQtyoU3zB5xOyjNCr2uKhAri32HtSdMgC7dvs7CQNT+M14ppD/g+sA0megOmA81G4LLZyj
EUPh0jsQtfoClEbmq9CVATTdvbwszhsKFTsM4kEQGcLpPwB5VMc8TTcB21igi1keEJv6afoxiNg/
eLcbBoGQS+BuQ9jDckopg2yABU4BFWmvm6idmBrUXLRcA89Lh9FtZ+5kEjuTLZcHQ7KgaVWk/Zh7
IOYpBCVYnntCdhp1ZZSNMJvBXEBDFIdWOafwnaa8rqLqkJcq1ElEVJqcrwjNewBGAbDAXfN1MZxc
rZBytKiyZDUaqU4OcSiZPKBxame/1VEQX/AOg4JCGKg3vqZmmcMwlGVcacmqEtg4kFWt59SRu307
oQM3BUUV7/DwXfYaXtKLWinm8CD6jAlrFhFoSW1bNwrGkXX5r5wFCGkdpU+cvHCHKdtk9ltVPUfq
c1oKZqO+OolM9ebUMCv6MtV9JlMVhjUJyoMQAeokL7Vv9fAXyQenGTdJuLebQF+2CVhttNvWfE2i
t6W67kR6pNyH7GQP2BthonMx9AZ+iiRhAAfOOyoAEhWeLv9KTTB4tFtSHDDcDrniCAS/wPOW0z/c
tMiUMSKNUjJ6JMylZKohxNpUgLpDyLWn+k0cG45cvQk+Nu8JAa7PWMU9EYOwxF/EpKQIjRWdjm4E
plXIr7AIrNWR200679t0AMdwL1ga5/ic3RfrM35yfLqcavKgyjXmB6e7bvmoklcKtMOcod+7iL4l
9xYEGyYOLDR9gT89NwaGjqiFxiqQQUtXOaEpaZ6hlK+Vbb5KGE/573cuTitGqaBtBc10VkdLTqDy
bVUg+5ms4sWq6bAlidVC1a8GE0k4t7vL349z39mIz6GlhWtIJ2yNNY6GxGpsQKDlFINKfZMBzaUQ
zPtRTTTIytlH7OKqJ6OD9sNmM7IEY052LLeNq6h1ELelXw7DbkrMLe1FU5KcMi5gGhAEXrGnoJRd
V33iH2DWQ9OxgykrpdvCnILYFFG28zYO6Go0PvE8gimY8YowluTGUMvGTSnS5CHqPs1Y6qE6bP65
/IV4jyPkXY2VKgWS0hgDPl9MgzJRXbdjAzwPkM9yfwWQiG8P4a6WzQCkDNcZafZKVm+U0Pq8bPvn
44HEFBJrGMgEZcCPNnxjq2B2qBAAyL16LeWWr1Rv9nRvkmcCCldH7xHjNCJif977gZF4jLiC6Aj+
wuY6aG70aWwujUvC2afh4lc03ynFsDGa9jgaMVKAzikk1SsKPSjnOBVU4Ti3y+o56OQAg6qqbIjV
9iVVG1Vu3Ho0oN4MYgdXHYdrdENiX0ulAjIDveJf3mmeO53YZDMBCOniJAxKg5jVAyb8XUZgUOZg
WbhshncGTazoS88X0wHMxVlgBEcyQ7JOPNiBPE4fjaJv9aXdgv5lc9kU9zNCfmKdW1pHa1ncT9La
ubbo6AJXI3FLYDi1QfMiQEqhz+NlMvC0feMVw3OGhGMYouD/aJ5ZqjUBdhc1MN/1k+kXBTp+WgIG
vVoDSCfBzCdekJspkmanSaPfpp4eQqv9LfgRnNcRc0EqWB4AyUABm7klMIy0ABuhNy4E6W4NPR1R
0Jk2mB79pcxkn4Zq0AMx3sd25ODOEuTvvI+N6YVVtxhgSEzHnV8cJWg+rNY2QXqiGcexm+7raLmX
IrAYLvbb5YXy3PfE1NcddnLhznNtARRkwRStIXw3l8VNOhixa7SaCALAu9stdAPRJ8e+gnrpfFVk
ppaKoQK8WOjDI7x5GzX94/JqvhTJmUASLUfkcsDJGgQp3bmNgurJMmekRrdh12ie3Fwt82efbfNc
dcruNabGlRE9zfUunB4a5TO1IZyTH6V6U0AiqQy0GahWv44Cvd6M6u7yj/v5VQkkuJGXQV9cX1lw
zn9bN+mRVg2Q5VOgca8sTg9Kg5l8pPb9P9gBAyaoNNB0QXhwbmeyB3VA6wyq3znEa1G7T0f0eNS9
BhHFf7CEJeHSh8a4wuIrYwzXhmOSQ9JpKR263ENcew5vpuLXZTM/HQeKeV9l9bU/D93u8wXZk66N
Voici4654WLsH4KwYSjSG+R9HpwEVPAVQCx/JJBdL4FzLEbxYain/AoZq3SsWoIZPQBGo3nsBO2C
nwdvLR2jE4Uhr7Wky3wlBaxM04LJaLc1QwRtfaD3pmtUIq153t6BFQ7hKOBJSNGZvYtrqmZ5ibrc
tCoIfZL89fK3WS/j8wOHZWAwFGtZRRBYjI2ZxeCKKTBoWOieiqH7AtRz8RV40JxU22n9n8vW+Kv5
trb+/eS2UpQwUfMM1pJR9xcwnBi56V02sZ7CHwv6X+T0A1Ko5lZj6BRlmlHadv0m1oMZlJBTESQG
4BPIhmvRlBDHE4gKhBKoA5A8QIvkfFEWmPvtYVJRIe4ax1420iJ7mSZ6VTlWAE/CeAioaNZ2EeNv
4TRWc9Qj7M31wjOqyTUtCdXD1CVz+jKnxuNQPYNHwcvCO0y4fMxyfYVhETCCeQ3U5C/vMQdcgBWf
/BhyvuRuRLEmXGNw276TFty41I+ixMvwGjnUein76moA6MBeJD8fj9M0C24UzmYgIUSZA+8QJgXZ
SR0Qe2lxWk0gZo2sR+RtkUt6EKlmXS4Kpn6GpEQD2g0QO9O2CEKK85VWtZIkaMuB5G3WwPIpUTjQ
It82ZvShG/1N1mSmgM+JQ4KJvFDTdCAfNfTQ2COv2G1pjSa4lMoDeV8cy0v8j7fUQw3ez9x40/rE
wfTV9ml0dOdONL/KUeYAWRVkZ0GvgPYY/O18wZolxToZV/LB2elaJ7oubxeY9XQ/OkK3/lmFCkwQ
XxeP28yRRJHr6jfM4QV7PsY+1wIguDeZ3Y4Q9ktqBQQQOdYH1bH21i5zX6rXapdtRHBdnhMDRAsO
SZwHpHhfscjJZTSpYa8lFPssPYBkewt0SIDiHFi1AS3fpoLnQmiNufri3IwWw8bSGt/YR3vJiW9y
LwGU4eZNuypFmRQnd8XBOFnceoJOFmfaeaMoAxY337VejRqcMzlm7plB6ohAL5xmyrmt9WU+sWUo
KY7qF0Xmvvd/T1dZ0L82r6h5wUGmG1EYxhkAODfHeKii9WggrUujrxCo+WVeQatmXyFDd2oneqBB
+3Qn4pjisJKf22RymhIw3FGpYNO6K7ZgQwIJ+ezGB9vZqIXTgLFa20zBGyblNmXwLLhs10Lxj0MB
OBEKYMhlfjAWjSDc6eYWtpUP+zP7tQmPxKXg50Z1YNlXO+Hn5Fx5oAz5tsd4qp70clavn1M7IuW+
wdSWm2KvGzcKlsghN0BSufnRckXaO5yX+8wu47J0nG0Mp8Bu79YbK3V+3+sBxtr/cX1o+UMoBpPm
7A0HQc06VmxwoHV7EvR/iqMKznHJgcSU2/rDr2T3K973V7Owk7zu28/v+G2X8SG7VFXoRYP6tH3N
fqHKAEXlA7jEfMWdfKjKPt2JhnK4BoFuUDAABCQA2+vQqaqXZHWcUVoOQO1e0VKkOqlyb+wTG4yz
DAuIo8sEz8Xsaq596PwbZTe7N/evoRduJi9yzGuyOyZPf8Bu8jZ64FHZBPFV4mnX9uOTiEifExaA
wgKDVZgfRtGMLdiNiZ5YKSE4KdVjPd/nZTCLvIeTZaDsh2gPYkXgD2OTwEW3sibM9NYFX4U3geMG
0mRaeIwG0VPINQTYAWq2K7sXW0mVqlSpslIDOW8MNYJkuzjkTXP0OzA8VKPTeaA+dExvue1lQVLI
fToQYiLTBfcsGp3MOYy1pm+6GfjpaTNY2/o2QtjhGzdSkMiCRXLXeGJp/fvJw5GABEkpJlhq/EFz
K9dyMClx+fbkmgBQbUWHqxiVWS/XUxN9PkAuCd+rGZ5iOXdCddskO0sUuXDNgNAEmSCGJEw2lmhL
FKxBg9BCq+RglPek2S6JO4tmXLnPECpKOM1g2Vo52c9Xk1mF1oWmgafvY/JGyBZkgelHjrGzDnHu
LD7dx8716FTb8GjuRENHvNOFvAMU2DKqMzYryWrPcT01JjzStHrQD1jbntqbZBRp3vEX+W2H1WQt
FgWg1gl25j36doPq1kDHuUqAO/J+DGx/0Z1Y8rFKPwahnGsD2+QNIrTEV3OJva3Bf2astQSyUsac
b3VfJrGSVXAc49j9su4jJF2HxLe8+cPctNv4l7o46nvrR4/yFnxHHwmg3P/iusg4VhQ+WDxM5hdk
kVYAuIVfUCy7cbozQ6jg6L4FwME/HJETO8wVPheNNVcx7ISFuon7Dp0246lPixKka4JGMe+JR1/j
f0tirpYk09XU6mFqltqjoYSbUbe9qqlcogzPrfGRt/WmVgQJFTc+PbXKnBqJluoytLC6AE7cQliF
/JkVp2mQL1YgutxVsY+2AqUEQ5w70vmXt5fzCgPfCfkNTI+sjWkmp2kR85dpGcKRwIoCADAG2f77
BwRfBvQhwLSK4hfLmVOg/YS8Ce3uUomdGXh78y3NH4R8k7x9RCUKOh/rw7COH54fiZpEgFT0SecW
uaNs6httF270o/xJ/cEHbgPYOO/y1vGeojOLzJczydzbXQmLGHL04CW3463dOT32cNuqgl3kfafT
1TFpxbBqB1arraShGLF3R9T1Li+Hc4GerYYJAMnQLbSIYKG2d3qXO1KHIQHRlq3uxNxbZ0aYalRR
T0bf2nHnyoFxF3u9jxmM3B+9hzkwPy+vh/95VNBMAe+5+gVzQy1Fl8ttlUJr7ANfRXKWwsFDNDlt
YByXN4ExwlsYQjs85cjYQf127n1TAqxDpOdQCQrsG9lfrsKN7YJ/Lf0FzHkgHPfiusOJOcb1GrVW
R70ooZ0zqF4HMIViiT4Vp/aKOPV7RYzHZaFWLsCPQX6o8cY7LYCcbAruJEcJLA96ydRX79aUpHaq
Q/JXfxTsp2iBjDdO0dgYSwnrIAZZS0vXv4eN7IIB1ZMfqk/Qlv+5bJCTVp6tlnFMaerlqamxoaN9
m+Q+pDSIiunA0ClVAZiVZwkEAYBX6BieQw3t3FPUacJtL1dQ8SquWopGNkqgn1Xi0XB7eUlfGHH2
sJ1aYnySSKRZJAJLxjGVnHFvBLp/c3sj1069nZwoyJ09QJC9E/q9qKHM6fKCmOpklYyDLm1rEmrD
dnU3OGBIc8ObLBj8v73piGCCPEc9NcU4KmiZSD7Gdedq7+UhvqFb6SjddYLNFH01xh9pX8RJW2E9
Nl6xUXEK8OQ2AAIDsC4CaPGCO+ydubJirOkii4ihwE4lStasC1o2nUsj1Kow2+1Pu3b7Fm+qV/tI
HuP7+SpFkSD7nc2C0I5Xwzr7AcxigXHsWnvED7BAkxy1r011bUjOXH1A2bgs0Cj70LSPpbtGE1fV
IURMnntL8BoR/lf93gTmQLbF0gPYuW7CMd3Nd0agXFnBdGXs5M9iB/IrH/wSzuSHG2XfOsnGDECg
EEw3tvNs7gz/8kniXUYnH8RY2/knaVpTtL08z/gtC0aGB+NOqwTw0q+qzo+juoIxIbO0TrYyPpy1
SbMkctu5A8oSCGGCwumvY8QwUYyqqLZNvH673MpCgT1e4Rc0ht+GmU9dSopudhMML1Bb3snIdWV3
wXFt1js+qR2RzvJ67i8tlPmsklyVWVvAHlWIM6Jz0YYOUVqk1oJvtv5HFwyxoE9Lmrs+s/DN5Blz
ym4XXmnJfu1Vo0+taxs1/rjsIxxoJ268751kW66AeqXpUGFl79G+a5w/eEFwahcXQa8nQ7nPEt0T
ohWuIcmJV1aVpAyRgRX26basvVZD32dT6K4iOXXx1xSZW1+LSxvKhFMW6P51na6e0jtUBtPd74je
CvbwJy7mfA+Zt1GHrFmvK7CRHmS3/xM+5lfSe+oY1+o/tEXPvhbzNnZU7TSqYPMotIqm50K5zoWA
Z4Gvm8wbmBsajf7/jm2Ap3bJvvSKAJAeCo/Idt2mdcYtedHuL2/iVzXn54daR8kB4IGmD/Oh9CbP
qGFiafaDsTev1Bcb1ePOuR1Qi9EceVO7L7g53RylXXkre8rbP5SbsLffP4D5imOTZkmZ4CsqK0ni
oY/8GOqsqeCAcy9ltABlMLBgRu5LLfXE/TEAYEoLaoHuBAJ2pC6OLZyDWXfqx06uNBhYDThfWfhB
bE+53FtYiBGgL+amnzEg69fJreTlfh6Mu8i7/On4UdOJQWbn+tRKw9iGQR0BhjOPzssbcbqHeVtt
ReRNfDc5scWegAalvBZigm7ly+Bn83s/c2R3crQdRcfeMRwMmt6Gtx/1feRTNK+yg+rKojiR8xFB
WQ3+V/QBMIzwVW07+YhZ1oZ5QyBwbaB57aDt6g06pCQvbysnlMDwCMj3wHqMSgRbLNPMDBILtoYW
UdN6khG02SsguctQOHV/E4vmgXlLAjgKDXnIov0cFWlyzVjaGEA0I5eXB4M2TzM+qahhy0mkV40o
MBCB1R7DlMw7OtK4WZDQrKRKXjh5eVd4keF08jOhrxSSDNMBc3CL/ffyTnLegFOr7KNaLNlAul5F
o7H6rHP9hbTEh2bT63+2AqjU9w4yMQlYRMqqygFQHBPItmpkTw0NuZixvWyG4xbrxKSyQrVXDDWz
hU0aKmk5xNhCVDI3zWBiOCSza6csq5umta37UGuaxyRvdIFhzsMN4ByCPKA2AN1gRRvpEIe9hYlJ
N5F3keX39m2L8DY9Ntl7R0EVfHd5nZzU5cwc8wxpEZZvaiv/FgS4etnPpNpPIb6QdZ4CN71sjOP9
NnTKgTuDZwJxxNwq0Kqr+2JtXy7NbigyaPuK4D2cV/XMArMcM8/1OqZQ5mlrzH+Wmdul91pxrLrJ
u7wU3r6dLoWJyeMRb0KWwpAh33Vj5ZRR7S/NlVIVGHH9hzL32aoYn6+NFow2EFV3+0Vqboo4m/xe
aqK7erHv5JISwdp4Bxn9ZdR3oMy2vqDnseNc9Fo96zA32HdlsWuTT2GDgLd9qCzjCgRnM3BnzPYN
TTYVM4HOUFfdJroz9tsxw6jwwyAiHOHoogMQdGKJ2bspjBWM98DSHIRB8XfZ0KvfC5oypq/faw/R
bR1oEap+l72Dd3ucGmV2MCQhZswzGLXSbYHrSb41B0/rvTm+j0VaM7xD9W0LBcbzr2X1Q4pxPdii
00My7i1Rn5yX8ONeX0OclYUQ04fnBqLSXKCeiXt9uaksV/aL4xhMCFR1ZEt4+KGl5NgeEphG0Pzg
ueGpXSaFmaN4QkEYdpOoxfjESwp+U1n6JyP/eyrZxGyscrsuRjyVSDeDDPwfRV7tVUukQsBzCDAP
rvBwgMMxmHO+h6Fdgodcw1pM+W+Vb8fifoHM4NA6Cxri8u/L3sf1+VNrzC1IYk2hWQJrGOow3uc+
068yM5cokLLhAsoOVfUneOctVSLd1cuuOpgYPtxhVqjzZSivu1M+dLs4LQxvbKnl06z+vPwTeZ1S
gOUxubsq1IC4kHGqpFLLuTAgfbdkxB/oS4/ku4+Jl0KmcGw+iGk7zdC7U43RL3k4UnXWnLFBxat/
W6zbPG53kqLt0TW60eXQq+3WufwDuXt4+gMZ74PM1zo2ih9oHKdNejsG0RZqQIFG3XCrPRS7co9B
8TTARNNlw7zjfGqXSdDG2IT+WIqeQJW9UO1Y/ENB9GzjV/snQXWlpVqmabguCE6VCswgHTwz3qfp
bThg2l3QNeWd4dPVMH5f1oOUEswKgS3ofW7XuvmzLuJf4L35pzYYbzd6axmbGjsG+YY0e1RRv8k8
Mt9f/i68jhGGDcBYivEyG0MezIeJ6rGYii+NQfI8RiYownYt2CUqVBT1wOj2GuAEjajowVvbqVHm
a3W22lihvipEDk959qjnyJaPQgop7hWPq33VI4b+C6b2zp1CA5YlmRcFYZOHg7d4N12QmD6+ll8f
Q7AjOfboaPeitiXPOUxEuqv2ErI39mFJzH4oiAXnGOvMTxp04LrheSkNQU+Fd/eemmFOslVYoZw1
8I+YBkvl4Uw7w7KAt392ZBlar6qoXsspVNmnBhlPAW9cN8pfDjlTd8owxIZBMSQTh0JNvbGSTTeH
IlcFghS7EfHPivaUcRgSY4BblbGnoXyX9G9ZH7STgB2QF7udLo9xFomY1SJncJZkyu8HizizVQad
2T62oAUAkkjw+Xi107PtZM43AALUCiF27KoPnraH5M2ranvhQ7dZ3HmH/uKmm73LZ33dJKa0A9JW
iLxjDhGzpOxrjcaYnnQhLBq59GdOx99lrglM/Ezz4PXqWnJQQBKL0v75iVsUO+ubEb3uTDpodPbU
OXsFKvoplfJ3JVTcJAcmmKaCBIxzicEsLjCIdBA0j766gie3v571clMbaHvX7Ras6pkSDPZGIy5o
QAz0qhrM46O2dHk3f7okbGKwWpUxmasi+jlfqtbPUknWtr6t3uvEawvwI4mQ1VwbwMrhawHxBOKo
cxvQQFzsqsa6ciO6akhAhnpb138uL4RTgcNKTqwwhyulVpvTEVYSUOArM+CM4Glvwumm0yxXCSE8
U7Stpw0jwib9EcMQojDy59E7/wHM0QtrxUCGCRgGzeZXAyjqaUk+JLXeyn3jtGAdurzgn6/PuTnG
SfVCGcYhxHrLOKDDczK90OR56LeXrXDmNlYzKsZNIU+8sn+cf7ywiAul6rO1eZB9LrL1WZDZ183M
UbvoMGgfQ4MmHjQUnF5N9hpAZFaRJU7ZdKNjG3Hq1NNnbSnHBCMJGi0Ft/nP1+Psx1lMelWakGmN
Qmz5uDhNcrVYQQ9CSR1dCDn1oGB2eS/4fowuH24EcHmzeChi0y6M1q0orRnjXorXShWIxUSsJ9zb
x/g2wzjypCkjogCYSYcXWt/0S+rN2sbKLXfG/MgCeQcRlEy0MMZzZ6qETTzAolwsLrWiHGJA0Iui
k0ifT2SI8dkoNmpN6dYdNJ8y/RpYEadORZELd/8wYrTKu0JamC2wIrevE6UDACWEnFOXvYzpdTSn
Xhf+WpJABwirM/47owj8EPhZaNQY0Hhi5XDyuu+NcMVrJPrGaqxg7ALNPs69aGqMu38oiK/AeFB5
sXTyGUVZpspgR+9mFzLW8aKg2JT5l/2ce5GdWGG+UmFpEFoDCMtt9PpQdnO+iaj0ZlKEmoT0d1WU
itr0nDBilYDWwSECEiwMADImJ2pno1Fh1M6SPmjvNOYh1mzHCkGcpoCZWnVa88FoPTn1SfweNeDO
rExB5LSaOI8rzn8C8xJOapznaYyfYDaFJ8f6JtPuZ226bfv/XNVdneX7IzKGKjUkw7QClow+3FT9
W6MDDSInu7KP9iTNdpc/JveKPLG2/v0kqLCIlho9YCHu0CArf0rbvT7Gd0s7Qts0dVQrCS7bEzkP
816UxTKkSQt7eTdtClO9raH6rlm5n9D0eqqEM6O8z3aym+wTYFGSmyYkPkBXhOx/emy7v435OYlI
vvnhxfc+WkxNBFFuAgZa2KE2ee+yNHbatJSulGg8kKIAUgr1ML+0wJ4s14AYUTL8lWgtEmcQrZZJ
l7oEF7OyrraVNsTyapO4PVKVyRRBZLmfEWB5XDIoLIJ0/9xtUJoqCFTMOjeuUebYTNmdUmeO0b7E
IrAb10FPLDHP3SiZdrmApN21yTOVsY+bsl8V+aDaajnRKKJo5O7gOrYEAeS14Me8dZo05hQM+PiO
0PMqEwU0eCiXLuRo5KOgfCkytf795OilbVbLNcZO3dpUHiwyvqUQWixHY9fqtiAY5D4MJ6ti7pQu
lcqSUGyiFtl3kDnCWGb/G1SfghXxT8GJHeY2SbWoDL8Qe2XkqyA7A4smiWuvhG80+SO1oEF6u1gu
dDUu3yqirWRulcyMp75qsZWNqjmUQLMxb3snGytvLHVRn4pTccENjcfcWAf51n+ef7imqGrQ38Ca
nk5/8hpoCxLdWFO0o0XyGpYFphW7/m8K5d3MBnDRkp04BWNsE4I6Nn+BjKMg8FztsU/Tye9hUWyD
ZJb12AMnWUaYDEOxxNJAKBwbkDjeSIYHIey6G/9hx8Fvg2k0lLgwq854FHTEdHUqATIoZcyFyaXp
a9XsLXXr4UkR9cR/FmXw9p4YY9wqH6TKGiYgQormSh2uZAPMpYex8CrzKTHAZ/4SJ6KQjYOxPbfJ
fGQkpdQE5ReOjLIvk5uCYiNrj6YPmepAHEirjpG8zVK/a52QHmcLajT7mN6bid8aV0lU/8MJPtkC
lnxfkiBdoOb4OZ0evY9Z92mQLKinUBDlrLcp60og4MLgmoHaPjh3zl1bqaNKTSqYSc0+mIzyTbGW
f4hvTk0w154dqUbYk3Vj087ptCvoBfuLdKtkz6H86/K1wHulTk0xTmrY1DKpgoPRdooTF3ed1Gxq
80qHiFpXCXaOd8We2mJ8lHZxWIAEBKC9qnVljKBKKK5p/7kkvzqlhaQFIlVoKzMLyibbSjoJpy7r
gBtOYxBRhFe1Wgo+Ee/NPTXDrKVNcmh2Lh2S+vI4tY+G1L12YEfN6caQJwehtxCQtYZHP/3ue2HM
aVtUrZRTCot9OblxtbX/YHHq9Vw7+0RyF0izD+XmH5yDQFgKZB5fYyTnrk4Rh9J+BcjKET2kAMpL
5ujn9NpWHqloNICfwJwYY6KYOo/KCHVJZIA1+ncQqI4LyW1qlHrrzRAB7jD4mvL8/6j7siXJbSTb
X5HpHRqS4Hpt1A9cghEZuW+1vMAyq7JIgBtIAty+/h5WS6qoUHTGdM/LvWaSqUq5eGBzONz9nNME
d22HfNAzlL7OUoqcvJxBbvXXgI/OdlYv5RR0GLDrQtj882Tf5wUu5MQmuMFkwsYu9O2b3vv0/jyf
tXt04KXn5d7Yw263gPy2BA/bXdOFrbWRLbg80HAhXRmCKs5EZPC+6ZNn8mDER8cF4qFE1DMsS+h1
G8PF4k7pcO5Fc9JlgjBrJf9BovQ48ifjYjQk0wAIgYCnV5CioEp/fH8gJzBwOPgHRo4C+zHolBdM
Cp2XwQ2TCHE+BEHakcvKvh44hH0/BFbaq2u/+QK5mfdtn3QGB6aPQn0C/QYyILcV0VJF2kFLJn8k
OZVhZ0RusJXEc87cdafiGeRJHIjLgRbSO+5hcWQtjGyBRSIfZ9SPg9DjGyZHsJG1QOFt/XN03idT
6wcWj29XFEJKCIDD4uClykrc5nYulpABt1lDApritdHL0AAf5vtTe3J/oskVNKkmWHeOU1GiA4me
MwEh2pDLfror2FWd7d43cXJ3/jBx3Ni3Ujc1eoW+tmAezj0ZQ3DuzHKdGcVxGwZwoCMp11E46Nft
iibO5n1+DsZ1eokgcARIdGCBbe1oGxqZWUJhBlbKIv+EP6dm5287Dx1vbLmqHZqO7l0NIWgEvs2Z
KtbJE3Bg+sh5L11VLXxA2F6azxKCDwHIpUeud5p9ouPnvl2276/Zyf1/YG+d8IOHYZubII4c1gkN
lpQuU2qNRiIbK0T/3U3WuulaMeClGb9v9twwj/x0NQ0TNVazVkCeCXsdyjYP0byxaehnc6iS0ZLn
3osnt44NfSewzCGtd9zAq3O7CtSCmeXWvIGyxZO5yCtuytT3l2thPnFz3k4ZPoY3A7LCFBBTAflg
oCzr9yxt3PFMTHDytKCZGATtdKXaWFfmYObtic9aOP7a5DilpaXvp/xctetkTPqXib8RxQ0SD9Il
hwmqw9G5xuNFgDIdfQ/nSr3rcv0tpDowtIZcB2MhYNavgslDiOGyiLMJnjMPZbFs6/xcRvj0Mv45
bSjj/WzK8qHrYqzLOKgtUFT++EGZ5y6Ff+EAfhg5cgC1qxZjVhiPBwLMwaTh2GdhUV5wpiJRJ8pL
rPX5C2z9+8firOGj418zAuFeE4YHQyWMZSFUmaS9HcDZ3U0Avm9pe916Z0Lwc1N65AP8oSl8QWC0
tmIwkIcsS71+ODO0k0agYAlkPf5Fo+DP60brspr8dd3qwt9OHO2UaCSG0s6ZCOLklj8wc+RYWsud
IcoNM4Hhhlq+dmify9Z2RLFhbDpj7OS2PzB2FPOZgfIa9EOvXUt1OJfXEhQvc/bSN8sZd3nO0OpO
D86Xm5kd3kgwxOtbMaagzQk91OD4mRrmuTU6ckmOxAVQCGwEAzICVVY95Ma8qdr+4f1dftoMGMwg
JI3S5TEFXiubvOoXuCWT8nCkM/LYDxBP+o823A8rR46iLmSXIYkOjh/lbCG89Ti3PBV1cOaZfPIm
A3fRn4M5chWae2Wm/QA+Fu/+JU+hjp04fAtlyrDN4uXc6/Xc3B05CB9strZuYC5rrnMLvDFDKHhx
ZurOjenorCJZkwfuhKmrkJmMOzRliJAv1QsvIYCnjALJlLYaaULLRT++vzdOnl8gpYBrBx0saIB+
3uldC/0FNwCVSOXsER1PZhdTFdM8MtBm876pk6HPgamjUfYlStu1hCmT6kuazZGw76cK8vOGzl6H
rtzRDNpMkllnZvfkEh7YPXJRtlFMgyjAZWJhd2ggskH3nE3jmUTmyTU8sHLkm2gRjIyuo/PtWJX3
EtSe5txEytnILkiyfPP+ZJ70UAfmjjzUogcdmBUGVWbJgETwIFPaf7bdc+oc5+wcuSizHAe/NTAs
C9XzaY0aW47kc/GgG3EuYjyZKPprTH/rmK8Br2Hch60gf+LjDtwVtABAXEfLyCCi9wBk1GQ8NlC1
fn8uTwC58QI/MHwUTk3ELd2lgmHeg6pCfOtZkG38yQgVXFlbkLSSD8Mwh8HgxyOCVTkwaBdz9GHm
oTV495Pd3s6Vca6y8/6WAmnUz2ezVp7dg+MfCALxpIa949+pBh3B5bPrfi4ggvv+LJw+nmjYBeEw
NCKOW7WoOUOZooQT6iAqDEryoZlCTvuwNndT/TKjoSL491VEMO8e6MhBfw6K1uDII0wFsyxIC6zE
sHXo5UmvPvX0rXXPpG9PZ1gO7Bx5AKJnIXooAqC+v5P1ruJRT0AMtYUA5GymprWb5NdOP7Xl3XyW
4v50igxvASA0Vun549Y+W5NcjSM2F3hDnG6/6GRVnaXNtWwuAhULD0otIMUFs/L767l67r+9EX7Y
PUZp1tnSzkOBQS8m9HTRpcWmcwf2ZO3mwMTRuZkB/yxLEyb8mscEo5De1kUka4lVEDSa9cadNxAk
/V+O7OhceHUtjXLAtnGIh6XTz0tXpu9P3uk7469F+47DPQgAHZfr3uhXV9RcdVWNxsJHD9f/+0ZO
n7gfRo7uXnS6gvBgxjhQ4wttsusRZnYWDXssmDvdq+JiIWdc3blNcXTiytGoam3BZM0YSmzlBWvq
z++P6vSN8WNUR4fNpQxNGT6C2rYrw7q7qlmTaveKgyf9PzH0I3Q5igSFm4/MpnCPtjfempUAY3ft
JwMYNBvf/vC+rZOu+MCDHN3utt9ayl23HG23pctDVjwDXRhrf6Oz2NDjmZ1xcg4PzK0f52D7ubI3
halgLqveWn5tQ5LCv6md+P1BndwMB1aO7vY+EG4pKawMxbJzHP3V1NaZaP39gaDs+PNASgNyGjWH
CQ4Ud47ohKCfi9yW7eb9oZw8rz7S6KBbA8W5dbSv/WCwlKgyJOqn5orYwGJUxrPbeffvmzntzA/s
HG1ulctCMwq/QMcPKGWZNBF8Q02A7rLEAE5db10W5to4s9VP32AHdo/2nzWTvtfLeomgpaob2gu2
0BCPx3iVmgM5S5IHL32df5ECqP/WC2vIcHkeOqHfH//J5Tz4GEf7krKlpqNaI5JSX0hb7ns0dVXT
FFrknJL1OqK/XV8Hpo42ZxU4csTrC9ja6ito8dFyhced3PTjB7Dcn/GKZ4Z1TA9a9AWroeCG49Zt
spxHsBVAU8g+4xlPOhEfIc8qi7G+xX8+DLY9ucIbsUnbObX7N3TqyKaKuRE76qkzzomanbxdDqwd
rRWEpwrlTVgrY/xsdU/usLeC55HlaMDd13IzK33mDJ4zeLRiRc+I3TTr8GoRZm4EtRSzs8Kuua5o
4rgJPZcOOum/fowwOHIuTp6jDdgCgAElhXBGpmER6vH9DX+6VeTAxlGIw3q0+9QTBmWUxl3AxyDs
S0h6N5U1xGY5XbejuDFU/6WjI9qz7eWpZ8uOrN2rHb/hnZlHXVeKpCkpi+oBja3jDCi6CBg5c2WY
1okD44GAfG3cAz/CscZDyYgyKg8N8SVFWb/PUgM1Pads5NYSBrpriot8UKkti0iujBpi3KH19lwS
6ITSxHdZRR8iNgEQLd8d2cHNlckqIHpdkzlqI88L7cj7iP+gUcy7dnoQEH4yXlVk3JPLOlVPtojK
O3I5p++v2qnbALC1vz7EunEOPoQCt6QlCaYCyqXhNJrQno6gtHLGGZ6y4h5sjXVBDqwwoOidvMXW
EMZyQVA3KqV9nbXFf1SDO7BzFOeAI0VI4eEgI4u7paxJWq8Hw8a5JPxp7+StVQVUZ8Hv/vNwQHzU
oK0NwwFV7+AuIchJQOqB6kxiTneG+x8oA8ITrho3YJBBNea4PpSN3sQKGzulBOEEMH+NBg4PzYv5
45RfjfU2QI8yAXSmds6clJNu48Dw0e7IeAANdDRsRLPXpmQa0/EcHOjkfXJg4SgaKfPKQSiFqZx8
hMDLRrosLrxtY5/bgicvycBGQxcmcNVz+nnNPKCyp2bE1qjze6dNOBouDESldsKHc1f/yd1+YOpo
1thkDUZdr6baO8BUQrc3wioTZ+6Qc1aOZq7KAJEP1lwd4ZcBGgM4uj3rc8C3kxcVmpvB1Aiqwr/1
AecjesUAYVqprlCs4JeziBqQJNH+JigTUZRhS8/c/CdQ63CLEPwEYQ2INaCF8/NCQYi+qAoPJlUd
FlfO/XzrPvbX1i3bGLHxsQtnBHW77BuCuvc94alDfWD3OLKxuqIW5vc30rLzQa2Bxllxa2V7bcaz
uHvf1ndc8HHIdmjs6K7ktVsMCIRxV6ZBmCVeBj0KO1pC97a6qFK5D5bwgxGWT+0miwsV2iwiZ54b
p87D4Sc4dslKUe7a2D7LtNFiPwNJrB/9LnbNl/fHerJweGjp6OQ5VVBbYwZLltjDJetZx9TYOw46
S+i2czdtBVm6c0nfk4i8Q6tHh9D3h8waCGa4D5urBWH+gyFCcH6g+JF/UE/sfq9oWEY8fmFJdq66
Tc9tpqPDaS0FNwaxAkbDfMMe3VvxoY+9hCeowqUZFvROxH5sR93OuW9j8llBRSDtP0rsbhn1W4RN
4COJxG5LP3Ub447s+bl30inXDlaoVUAP2iS2fRRhl+68FKICMNKbrhmfovnstXXKQR1GWUfr3tWV
Ko0Zl0e9Cimix61K2Vmgwsnn3qGVo3XuSodDbhVWAPo1QOHilVcSoiD5V6rRS1GSTWAmrfG0GOkY
bJzZSL7v7v/6Mv2f7K25/eeZ7f/x3/j7l0bOHc9ydfTXf9zIt/qX2/Lly1v/3+sP/vWNP//YP9K3
5vql+vs3/fQz+OV/GI9f1MtPf0lqxdV8p9+6+f6t16X6/vvxMdfv/J9+8Ze377/lcZZvv//6pYGo
7/rbMt7Uv/7xpd3X33+F8snBKV9//x9fXAfw+6/PL4p/eal/ifB5/vZjby+9+v1X0/ptFU/GZYtG
XQBJXNz849ufX4G+moXUw6rfuIKp66ZT+e+/2uZvAQSQgabx1j4YvPt+/aVv0JDxx5eMtSgL1XUw
4ONLf47+p0X6sWi/1Lq6bTja1fDTP6djEfA6AajrwC9nIph1jWPqSiWJlY0TshEBBHmBXeP2HVMv
DCIPnor7ejsbqTc9oE4vgu3NppL3Ab+xaJYw8Ls4dN3LckNBSEeCNvS7x7p9pvLZmZ/y8clYrvP2
Vqs2FmkAlWgxpeg8mf07t/nie5BTvvTYvWM+/Pv78LGp8M+7W/CKfwH+o/mmjr/r/8U9uHbp/def
q/y3PXjV1Oqtfsu65qcduP7QP3egZfxGHfTJGQZiPvCdrBvtjx3o/2ajtR9VFGRNfCC3DrYg/W2l
HQygJLPShtnrOfixBUECC96+FfLiWkDO/jtbEN+PQOZHDLA+urDBQSOHUAcc/oD9/xzoEIdYjoYg
J16hgwEMbtMZ6CwdlN2HOXijEN8rOX224ROsRIOUApkCMZRuONWlApOPaQFgKuepT4ZKWkZSZ757
2feqX5BomxWPl3I2Hm1cRWDzRn7vawEVtSDqqyooLx1LAeEPMctqFahc9Yvt7s2zJ2tKbRKAZndW
Tux7DFrymuUlcOPZONzYtS1kOM0M6iS2KeYn9DtCIgzczgyVmRYtBr62/U0zLP0S2aOkT1VFhjaE
RNXkRMayCBHOU/d5Nh33yqaZD/qB3uufqN0GPLIxAyA1YzYzQ1s2BA/eailDMK9USIaajkQ1MSPG
VlBC7xpcaUgLlQ20aeyuubBbwkVE8oZX8eJz/5OaVFOHAVWNChkk8gC/GoldodkMcF04reLCN6TU
1+WsLD/12ibf0g6NQNAQhfry1p6t7LFcaHbBDQ1aib4svSLyClpdF+7aK5Rjuj+RUjkf+p5aoLzV
c7P3lgm1T6kbKISqQMg2kUGTmGgZxBtfzFJF0qjcBnNjDbeGL1snbGxoI7Uoq1phns0zAkGHTR46
03uRhdrzMQhpz8W3Qjv21eRMxU022PTVqTXVaVX5jgr9Rgdu3ICXsLuas8q8sPhggaal1OY2qEzo
DvrBdNfYg68TgAirnQXqkzwcxhys5xw4itu6mTZtgDI51jkvLn1i8w+tKYNn11KGk2hm0AsP6G07
LPEkxFhKBQHxygnuvYKUz9jgZR7qwWVT4pNigL4Aq0EE3DNHBrHqiq67LgCTul1Ut+wtufhTHPBm
AH4Im8/fEU+az5VVmtj+eFdDtXR0syRz2lYkGeszCWGn7MUAYAZyGv1oPtkugVQcHhBL3E+gs9iU
bTY1YTHYUDeenQy92HIOiEAyxes+GcYCKpIFMIerrCB9HmU17ZawaAp1X2SKXY0Cgq1RFtjoIa/9
vBojq+HlrqrdEul4T7iI4vQCfQ3i6+K2D2pPRr4HNGaIPYSEib/knkA3emdPIGFrSAeJpB4WHAJX
Ela4G6/9mngiMVtb3dig0SaJnMahi9vJ4G+5teTNbjHkcAWxwewCWVtz61lElKHbqBoAr2LuqovG
phKFLw9AU9BaiDoK6gy80eAWE064aHo1s9GIs6CFWtHo9w4Yj6D2HM7cBml2lffGXcUNo95JSqaV
x2fEJq4Nh6NfAUXuR1VB9TSEFx3+KJf/Eab8dP3+Ffocx0j/8uL5KV5aI6kH1b29qasX+f/FFYWH
27++oh7euleO59I/Q67vcdXaFv7H9UR/w81k4ewBwYT7Zs2n/nU9+SakERA5QY7d8fE0+zNAcn+D
+h2IpsDagLQThPZ+3E7Wb8DvoKADHipoSq/x1p9X508rdDpAMpGdO76esNSU+iDsB2l/YHyv7xzk
7DjveeBluADcTgwXPC9IMiAZdEG8rHmhjanBjjuWIcSP0R49T59pAF+cW6q7QVMyu+Qjt1+h0L1E
geD+rszn/EMulmXj6MW+VELwChAqz/toiqZPZcnqfO8A5HwbWKq8HJuefxszG0+fkju7YFHk2mFF
d4/j316bQoxhwUd9C1EmdQWKRfncLyQDbDgXyehoJ7YmjySF4n3SBRZ5Egp69lIZAKeacyXRt971
4QJJlDvfme0Hu5NoMSeFeG0gr4b+CvTUULrU20lW6m6cx2U/KdfZTiq3LpfcXJKmX6qN48JZNv14
BQ7S28wyk2zy7kvIbIOMyHyA0/QjRCY0nNWkMQ2UvQR+jiauxkwmpllo8zmPFml9ZWOFz55xpKUg
v1l6F12FhJtTqI0wcQVSN7+waHmDbizkxO+Jg4aMPHPGW42reFMFYxaERjaOH+pumC/r2s/w6bV6
80dpp7wsq625oFheIk4IjXmcX02RGw+2rkB2MNuPzVKPnwoWUDRW2iQdzSwec3otoPCSglGtvmNV
Y10tjS+fxtqYE8/V7tZryPAIOaUq7FyZ6dAySiA/29EFsU+vnxWd4FnGvJySDLf7TaDzL7qtElNU
TVghxA9LCJ5FxKcirD3Fvuh8yNOqpeqOUhmEdZmRVDI9xFLaNw5hdmw16tbr1UcykDHMWxqNs4Wo
YrJ3wBrHaCyKRyfX11Cve84kXPY8GVFW6FeP8nunoByEkcWVwSx54c9I86tqyTfUFk3SOMteDdO+
JXlE4CtL2b3mFqj+Mp0VCeBTT4Pl5wC/ZDq/JG1PgDxqJT5Eb3Y6tmq3ib3C3/mtB8iaJ4q9mfvj
nvmYHUDzkR52qzbiM/TdjEGCx1p0seB1MrZfrdaHEEYABk1qZdPOQ7HStvGpe9on7dSQtHPH2FdQ
JAArGrtodJ5M9VBcQb1ERzzwRez2fuoLwL0RGvlfTIQ4m6a10RjY554fD6YJscDRDm03S10f+o6z
N0NJciZ4kZdDJMAZYnYkMexhU+bQ1FMWKIfX3r+2mbatxdsLawjeus7ckcnXINVRe6AypnCisxlm
KJpd5WDpSDon2wwW7uxhFPvB0kW8IFyJJQWd2mgXewqumYvvQIqJGBunM5HdozXdAQZIr/tGXveD
b99NCKeg/dV+AbbzyRvG5gZ1C6BZDB6VIIkI56FyMOf2kngeeZlkV1z2Lhf3nSF0KGZqxJ4NmTLA
F8D+iT610EPHNWqTgNnhIHQvi7LdPajL7bSYDS8cHBIVimU3SmFEUuSfrLIy0qE0x2eNFriNblr9
oC3nSvkEc5UTIPjrC6+HJm9Nv4mK7zo751duNtnPRb1YsSxvVB+0sT9zEXa+ncd0HL/UM+Nh1hrg
jQTJV6w7n++Dlmwon6dQ2eRj0ELbs+6KJTa6/JEtSMIp3qRgF916YEHtY7/h3iW4oeSzPePGF033
pczFnVM7+pYDApsHEAum5g5h/3PjgV2KZwJ7UskHlvOv9ey9eLq9doZSXnscHP/uylpdNWybl1xc
OFLZ2Oou+EjLYnhuSVVdQc4TGtneKhO1QHWDTWXxhaKp45JnlRGOU7l860RTxDUtR1TswFhWcK9P
dYHeQbDBGnMoasEiadrkQkmz3PQCpW+RlzhPrRwj26qXtJtXToBROJspD+ANA5bHs5t7aTXPY1Qs
mZsYFX1dRhtwppGhpdiupzQDZGg/I4DbBwOBShBYGT/zxnYKcIAq83pwq+6mZ2DZyoo7ZkHzKilL
5Mcze7kqISXEAr+m6NRz868uAee6OQTiI0Cp87XX9d1bUFTO24RluyjATG0OAtGdP06vjiD+yyxR
seoctsdAFi8uMyvO2mzn4ypKhtYxdx1YoR5QWfyqlOkBHN/SmCizfm7UMtxLqyqf+7kCP5C77PIO
xI1ZZtV3pBlMyJWKwOpDsbgfyeQM0IsBOwqef7NXP7HKBoODWAgFjQS7BvP0lzFHNrPnqopaAmFx
Iy8zCNV6rfUic97LSBOrf+Z+7mYYKsvRpQhORfCTlB5aMeu2va8X1yVRP5bET/uZ2BBlncgnClzO
JcKPwo9BJOw92gawZiGvpf7kEWJt8TaqbxXRwy4IiubSgkZL3NuCgOqBV1Yd0mzoLqnos3HlkrOe
gPIZbwduwQ3wSg+v2vBHP2T1wLYQgJLPFuCkjzakvWVUyBz61n1ZA0ypGkZeWs31/QA94QdCfYi6
yrwHuZHwQ2uExE3pasDmgfsOmYlSGOqKdtgEznSDdvjlamh7fZEXpUzBFlw8NSuouOXYYrpq9oGc
6AVfuukF85HjAnbb5m1eZBO2c66/ZfimOS55T5+8ecrQxJ5Z8JBDJjh8Jb0t6rSB3mU09fVwb2kn
aVc4Hg0MHmcseIBITtgL47rt2D1BHWNHGxbp9Y2ig/LJnUv2jXeju5kp2fb9nJbOV9+vY2IAcmkP
ccGXV8PaDMwr4jzntgB5BptvVij6pV9oFQ2oRtvm8OIPZKrCCo4isjiRr2u4uKd4Cd6it0chebAw
8ETlHuTPdPPSDozEc6YBV3XYldPqNEAdUQC+F4OwbUjJkjlPtqnHGGEEvQLG075DM3i2qb089C26
JGjU6O8GYbpPHY5TBec/tQ8C0IPEF3Zwm2d1/8I77URc45phpdUmeinw+hHC3+WOC5U7iugvU7Lb
qGB031yvf51Lb3kqWz1icqoulYa2vzqzk4M1pe5xg3ZVpDsEaX1r7p1mKR+covA2nKEq301uOjaL
Tr3cfPWE8Yynvo673gFCP+jsbSZaePWGTZ9KxrfG3KYWziU4Dy4zv0nBbg4vGaAjaLFs45ljjaHR
hDf/HpdQ/TaIGVHKAij4Ykm0BzA+Qi2vFNnXti9ePOJ3N1ZlJkJOziVF5/W9I8H1Z9tWfmuihvup
7YZhX5Ohecrckt6MWvVbt5zruHcnM5LjZKd4QosvQx2wZOiRPlgKSp/GrASLCK1b/xutSiBQLAcw
R0sinEW3SOzYVQQq+LBwh5s5uzAKDWBulTqjhwer7W4r5vJEkLy8zZouv1gaq9tOvfLDALmEG8Mf
dJUAKyETz9IkNjOmE3RHOLva4nd6mb0PDs2D63Fpke5xGnRE8cFsnjzf7ZuoqXpthE4+BxJunFMC
ohMoP6IW6CAlSsTncS62lCjgptgDEkzcX1qKVl0Xp0ItbQrpF6gEg0GR7UQ5mN8Ku++3ssr3Hqfq
oss43Zcya8O24/O2yGdw9ndS7xbtWR9a36wAdVvQVw25v6CMHO4WKKm2vR/6C+eJ9roSCug21EmH
0mGXgKEXAuG9yILE4gwKajZA44m92JSF3uAVOKU2QXBmzVkfft/nvJnl527ieJg7Ks143XwcFVTG
w2XmoFjBxkfzoqF4iCgKnSqYZTO2+prtKxy0GliJzjbw8shp0iEvMCbWOAYVGNoCAhJNMqPRxfPA
GGjMtY+cskO3sm8VoNz9hH5WuegPY9cCwO5TjuIFxBIcgL218VhnhWXBEB/GcBElNWP0pTJMnOE/
m6ovkjxv2oRJ6j3ObmasWaesuJ8ErVJ01ngbsB00sTFD6AMIPUKx8pUVDdKnkZx5K5F0LObHcvTA
hkBFdQP/n21EhkCuVx1UPsuK3zDSom8vc7oXS0w40EQUzTeL9MsLBJpBCpUBfjo17eOA9F0WAqI/
gi8DgYatEM1ZwrQii7X0muRbZ5ndy8rBnUShkXZtd7q7ELUsHy08A+CY8KjDBWJHFcUHGMvM/ozZ
0bs2L9w4R+YzanoybqT0nEsGEnUJ0d+49BUpokBzZ+uYw7LTFYPLq9GEcTNrbm2nXAO5LrMgUp1A
qELJcGHicr5olbukJamM2O8ash+Jn0VkdJeN7n1jz3DzJYA50F0t8nYrHJskuWhrApYqXX3sZ+ns
hPQXtLX2AW4QcwbLWDVv8b9woRodHi1pPxbmB3ccliLGg/XeaIPXCvs3tNDBHwyohCno0SZEtWXk
IieGx1eLZ1E+GXA9yp5vcj+jIAEZSegWhOwHN5b9w5LT+7GzL/xeOIlyzVs8GD7r4CsF75Il+nTQ
Y7DjFUeMa/KQG+N9gxdfONAxuAhyNPZMzOY77I8iUmpUH/FBP7EBjSNCNR/IyIOwaIV6cQv7bRT5
fqi5C+m8MTSrZYO2iqupnUgomKzC3su/UQcnghgSTETawoMhGJzEE9WHyZfe5WTr56AnVlJoCcBy
xa6WvBiiYtTVdQemE3ig0t8u8+SzGO9i58pT8FUzc9DoT4wnCbwDpBexW1xEi7ExeQzRIUX6Gy3g
BFFvvwh6aes65bVZ75HGjmhXbKaldh66pSIbwpolbU3n08By/yMcYbEdefG5Nmo3B/2pyO1IcJM8
G/W8JNJqnBRL38TM6p2tYsXjOOCFCNfGEV4ECm8FPOiBYZH1fcMYmUJzYWMROpZXpllgCIEy4+BF
mdGw2GSuSPGDbbIEkLQQy5fZz1ScE2XnYS10LAbJIGeH5G3Res+U1+Dq8hwmdnYg9KsYTCNyTAXO
LhydhMppkyGbHA7WRK49bwjurQAlA2gL+lctHka+Vle8qMobB1mbPQXsaNPO2t24yk4cp/PD0Wtl
PFG8jmg/X7HZK8PAQYDZguelDb4I7bsIfuohrMo+mYi1p7y14sJtg3j22yftkAewuK7IJqfFFdR/
Usodt3hUYr86WI42CNAKMrjDtrUzHyPEhTRm18w07YvBmZcbcyo/L7YxRB4dvK0a8ADF4wUaeBXK
F2jbtkiX7Sa8lz2J32GBb9FBhB6acycjJFesRGRVyl0zlg6QYqAWBemdgvWhN1+4AsmZMVufhdP6
ST3ySCy0i+WgWRQgr5Rg9SgiYuSA/QFEL74PwpWmXO5MXT+0ZrsDnTRob5w5iKlw4IRtU27MzL7E
fRsywh4K65VY45CCA23eQEySv04ZskRIc12Ug/cZgOS9QrjemiZE0zpcxk1hPuCu6G90qeVF5TVI
U9QW3lijvWfMWnYeq7eWyzIoNbLN0KnbFvqQM9Kv1RjMW10MqKqMbtiZJhxOVte7HPk+UPM7Q2oa
pXPXuTZPS8bmTTD+X/bOozlupM3zX6Vjz4MOIOGPC1O+6EmRuiAokoJNeP/p9we9brojZt7t42zs
TVI3yWIVMvPJv62XgDTsb5NrDrddXqqwLc4rbWCFX1bZPo+G1afn95ozjx/qCEB7WWNBbUL3PMls
p7fZpZLtZ03bV6ii9fLiLVNgmdP1VHbNq66V7b3s7Kc+MqWHRpI5dnL7fWk4400BXuCvpnIYjKY7
ckWn3t0m/ywy2tgvjNjaVZnVe0QaLeEgxb3bpjZ7qaL94Pr2g/TgnGFeimNd6B1hcWuQN1HkxUAw
BmN0KPOa9RQnpQ9BhsOqMU0/mV3STjmevTFWj5rFH6pETc9Cxrc5hUm6G8OhtBLwL03jIDMs9VoX
MoK1zZ7nSL9ROwLLnHYgOKoB4qHKiSu9tcxbX1rykao5uYpt1pvvsZ66fp6Uj7WY33sdCTLMWevl
peQ9isnwSWs4Oi0DxWj79thYM6aeMkL1qikPwmpOcYMyOrKM3K/0+BBT+LVXc5EGGelwtCE1B6uq
Fuge9U3j4Lk1pHNVGazdcQkyqhv9XM3PU1l+G1otOyiWmu4ss00vmiN5bIZwYke5EZEFA8dzUh70
mac8kZG7X3rnnsFDDa3BXdj6B19qNoxL457mRWcbqbhgDixQjxHwZ8JQ9uUsyQeJZ5Y35gscWezQ
7D3Wq1epznLbNPqhIXGLm5Cb7puBTPDE7R/MkXT5lcQftuz+QfZQZ2nxqousOa6EfUI5wO+12kVV
6nurpJZOV6yfTsScnEb01Kxv7cQ4scnvnFUaur8CWMB8pu1esYzX3hTxd9cdY5/uHl8XxaUekw+b
Q9EbdN43m5HsVZO88dTSkHJvYt4aiVSas7Pou51RFy0pLOZAp5AOZpD6dTIXQYwj6snIJVW6xnxG
2OZwcCzTbl309ya3TjLqL1r03aahzdPn9KuQVQqryBNojICVfR1qbc2MbpplfzYHyw5aR8/Pa2Ld
zyMflzu1YdQljE4StUu/riFhMxy1eQaRuJahiHapJZ9Syz1qOZRfVXDvI1EXbpP6Gu70xInqz1ai
/zQRSFySRTO8JjH1nZJY7WUYSMhxuu9qM74qRh+4caYHZtt82k057uquL/yBu2Ao1kwGyVS7iWdM
5Q/O2YyJPvcnXW8PeTm/zSt8KCVjZdA2X60hQs1CBTRJz86Lj6GbX0VmWh5uZw5fmeiHrI2zazol
60VrhPm0xmzuimHwtBjflCF7r8SoH9zxOtBqfGjq+COv5BoujTpfpoXisiGbKTbRI8aWznPt8aKl
6nkaOExmIpqXvG28tbZupLSuybCEbpKvvHs1x/Qk1h3RVupbCtfgzAIyso66g75If1a+uirseP6b
+Q61Rzhp7V7kP5f1ZVDfxkoEKWfjmhc0Iun512KWO6cuGCD7Mruz1q4IhlztPKuXIxBW8q3LCuUY
K+h5nfVis5s/qYqxUpCuFJ/JICwyUHX1ZIt2vQfO1INsk9wmakuxcK2UJ8bR6DKxslKlfLSz6KZX
rGk/iia9FjYUZt3NzxM5D72ZnJM4Zu8fFIXSKdhCKINXYcgDIeZdWK1KcjbyrLjy9s87AkwO0WDw
QqukfGrdmZ2qtobXQXk13XEnljlsC9vyVF2OviWjLQZdax8NCZg2OeIUa+sxZyXuGUk+LCUNozw+
qy2JuMP4ieHsxtB4KLkefbrwMKJqEGcX6lmp6E/frL31moVS1AAcVqgUIvcyrQoMNVlP1mo6fpQW
+m611f0wR9o5mc0hrLTa+LYwKHmNM408gfCpXdK1Hp0b6zWOKkI2oq7ecZ0qGLTr7l6MmXJMYQwa
zyhK0Fur5+h2jK/OLKBzscHP8wfJHfHOro35LWexcwHJMDs/LrF5sFIeworSuv2Q5kctS8OeE9eM
ucDab/Umn2z5ysEaTvGULNcVpmhXjxq6idzrU5sGZRAVYHHB/MvzPtwNtr5b3OyxHbKVgPxY0luY
nrNIAfuaHobebAI9mjiV2+65ZGpKF+bmtm0oTzBt+zSP0Balg3BvTO2PmcJM32KUWNRO2Wd2Y55b
i5MKEKw9G0sZxtNAnUQFgNDYLAS3Mc4NwKzOqZdWFbVhq6VyMpYQza1ZTqZnrWKhamq0K22D/+rr
TB39OVfHFdxkYlMZQeeISumuAKQ/q7pEIxw1bLwak1+4dlp324+qFRaJQuu5wTGJWCY+LE7fBgxr
T/ag6IdeobdJUbQ09mqNuYforimYkwmlYlu5145qKyj/zGVdl2bCzkq3md9omf1sz5zT0+C6Pir5
8jjCn0uShKwkCaQ9lNdIq9iYOIPwgTW9s88Wrs5aky8BP869y8DefxA5WjHdOZ3iqxVaKxvzCHnH
lfpuIH5XaPWKMNIe3U5PvgmT+sDRZZsnHHXYjUaTHcXsRuRc8yMWbXzsOZe/+HCbcCwd7L024lBP
5pn6TSk69TNhtiFWKSqSr6rB0+Qi5kfJMtT0obv5h9kZ6iUpbPW9TVdrb5X99FrZ8/ySgz37RaVX
O9rFilNiAe43KVbbGKzrjfZi7QokZO6zlkFzYCO8jdz0Wa59dKFSp7xPuN38GNUON7DLPSEwXaUO
lkFPXvqsMnP0x+N6UzYyvxZ9n++0uWv8TDPT60LM7etgr+5pIgcA6ffUMdUWhFF0kbiWMw0eci3f
qYO9M1L4g0QFS+rMRjkmXWbf8EAMO82FT+ADU6tHxr76PKTSfBPVQkh3YsbTy+xm2WmQxL6qeWTc
LohayBlyJ/XkVqtxNnNtfZwz5hGr0MiqlGVPWMpMArBdMA8XVWzt+8JxiJNsnW+TMbefo9kNgYyc
aldF1hJOrbruxjUzPEIuOBanNSDXRXswcqc6ClF3r6Uwl4trqtW5StfosxVAJ2BAZaxZ4IitwVMt
y8/JBsg2UlsP6rV77hVNZbtR4vVzSLEPKakW7YFK9XM1v2RdrrzTExdxM7L6g5DqcE+nXRw46wwn
V6bFnpCZzLc6tz13UTdzhDFc5N20LZ5mQaolZ78bmYuY8RoR3aXROB1UoRlEnA+2v8xmyYRgFx81
b8BpJVnoAMTQz749Vj38ZJ4/tNzww/8wWMitdEBv12y0PTm65TlaOxNccyU0Oo6doFBiarVbo737
61LB/3FCi01+8N8ILd7Ref52+Cq+yvf/+O1/dx9fZYei9bf38vO3pzbterSqn++/EZua/FGOsX3b
v8kxFON3R6MIw0XjR8cPwjxkF3/TY1DD97uJGsJCqEEmMPFM/1JkKPbvFuYc7BGuaVJqseku/iEY
VAz1d9OxTIMWAxRtOG3/iiLjj3JByxSOKYjW1DREIfRn/Nl0hG5rTiWhFmoOFrbr7EoVRVCuUVMe
2pJgumcDZVv1I86NucZYq+jt+EPHW1OFmbCT5N/ZJf5kokOfS2kICl5+afYwXFB/lrhbYskdt+xJ
GrQx1jrN0EawE7VsdcDEpaLVZ+ycPtlVphwHWMHVdDvw6JV5KkjtKioV8mVWYXlR69r/xt3wS53y
L3El7VA4m2k/RtYCGMCo8KdXF7uyYM4kXK7qMzGvfi2HRpyweSYF9yPiGAAJWVtJ5tNzKgwKXUxi
i++yknDYnWnrin2vsQjVf/e6/mgMsMzt4SJq13VUuoIEGug/ij6F3uilYqWnlvy7aglXGI/5ouTu
YMH4b2ycjZ5CrCoUPFfR5mWeuHkcc3ZrUrWgIyPLwVANoAzy4paNFhjW0mVPqPzsb9qYFzMUUpul
YFvtaEKR1ZG2qIX/13eQ/ztB1/9jkmQNPxLr+7/eiI5d8fVb9fO36/sf5PR//7p/7jQItTb34Nab
Br20RWb8fadhEwK1plRtix5Hdafy0/6u/TKN3w2N1nUbuo1Ot/8sjuc/IVamp2ErhrEwtWp/Zaf5
o+eL3WoLpLDQRSO2Z2mrf3ZUVFMl1j5WPMktBiT0fW7rDS9UHa+vUvPejrO9M7tJWNX1v3NWmn/c
5X798M2Wu8Xw6fwq6p/WrSoUV4oJmiaOW7xmE1IRpCdbQ1ZXR8euUQuYgsnqTzKJx3tlAF0hLkPb
F+rUnTru4glUVd79gkgQO1t5ce4n/lE11ddxQSeUJEmjnnl3kWvQ742mJecY1+T8MU1KNQeRWhme
7FRcQa3Zf2tVkS6ek8n+IJdUfKb0ic0QEfqY7NKRMdJQUrZYp1hqANN2uURR4t7LRabf+9UglylW
YLaRDk3zy6YpsZTCfFdURg0vg7BE2QLTR5ZqwxbUUkv4k5op8+qY0z/Cxf+/CvN/aZyK7LP/9aq8
2ewlrMmPr8+q/KMg8+9f+y9Jpm7gdWSV2ZwfWxLx3xYmXgKsABbiS4rtsQ24/Lx/aDLF7wRH4lkx
t/OZxcx6+YdjQP19O7SxTyKlpBziLw0A9i+b77/ONJtzlnI5XOssclVY6EP/eHaoi9UIQJvCV+xq
dOC0E+2SLeIrrW+Qjr9mpAfRsEHllel817r6NUmUo2VN1vtKb8Ke4+7TjNE+IgO/Myzwf6+zzOqg
S9vjjo2C333TievfSSoVnUi715Yu0M3mjkX7Wpuo8KqpT36aJeg5d11ABSrtTK7xc0cm/k9dnz1Z
F11ExLibPvbkT96u27Ry7JZcPuaJmdeIAUwkLtIHXfBcVO0PVUMeR8fKcSQ5ttltPINqaXNPwU0l
doujrNeEy/U1lSUMgwHimKjIrvvyuajal0au1x5RnzYl8R5yEaWKssus0pcp6oahKvVwsbs8mKvK
ujUhqq92vOzVMj8SIUzme3Qc2uK5j3V33xnCT1PjQ+95A6O2Rd2GZfe2q5ov14VoIBXS58JO0VZf
X/oGA7ZdfSap9tk4yqEmyxYuXH6zR7rFnVR7wgyh74bYQWlaGo+6hpBqGLhsSxqJinn61iJfXOL1
qcnrLz1Rxguqg6e8st9WaZ9MifBCz8RnOUsufHoSzItyX6bRuSrd0ZvbePGgTRldGHJuoM6J0YtK
gPk6Dab6K2oJYK9/Vmq7S3u7+5KaogZNlMBld8115Yu1QiZPuoWsSjc6NbQHU3h92wTmLMpPW4Li
W1NmPySieErahwJrrBcVEQhL2sBmzQ63Xrd7opvvvd+8/EYGAYwcMmt5qVLrYQpR9/p6tdae6WC4
VNL2pmtFf0vqgxGMC9frVALARBodc11NAIYY4kPSFhYkax7qVW/7TqMQ+kF2r5+qhbafmXm8WTOI
e3LtJhQIkzylxByhNsyW85R8X1KeaOjdwqsn+45LeIh4xzkrjkL7Nz4sCjeMUBOrIItO7VkF0ghk
RRRSVcsfKQL8SVu7A9GcB5L1bmxIqwEfhKeJcb80JgfSEB2mLAYhmm2IQ4sgf8n+PoAxqqJCOFxi
6OxBvdq1dPxRthG/1hhZb8Lp3uxEqVIPBAsHDK3Vwz6a75PKvs86mBuOAFRMBq7q4bxE+p7HPGjV
RpDWlD1Zhr6wPormB2odJI3VagWxqRhvSoK/wa6McG6UR2iIsScUepiF5+b0YcOesswUeWdWt0US
vVVF50Uu0tdyl63fhlwEbpKEbiTBywYRdIqd3JjJet8VxnKIHC26zdoD4wkug2E9LmUaqm6L1ldW
X0prFKbH5xHaKM103f0e2yo63D7QTAVVTfpmjimbVAxKz4cCSaDmRsh5j5NZgGAY83Kw7KU+mCZp
VDqQ2b6a6ziQXVPs9VF7RAMWDq5KvkFyKGdLJS7I/mms+tUVVXyTZ+u7uUT2TVKbCI2qGyePObER
HPlWTHXpFO/mzD1FI1pFoR/UTIUBlAALw9oo3pyh3gVKQzqaE5XYIsn03dkNcjzAOGSAtKfho0Ee
ORhKTh4lvdhuUxE/zOdTSc3hT/XHIhI9cIaOu4/6NbbpaUiSu4SXcciXCnpyfnf7pETyVviYkNVb
jGCBoSnnKJn8fqN43IFqvpYlE3N/0hVtr7jzd61B2+OIlWh13emB0RueFUGeD7qP3DeI83Gy9ZJN
tEwPq0qq7wrUGEHRzcle3dTva7Y8wN/wsebKwcLN7vGv6bmsxJ4G4okY4A5xM229QEUbHDQFWL3W
72qORlO3vy9Snmc1Tm9IcctC25QTbXTLm5bapO7Ml7hABEvV34cbq15uVFDSmuegqlSSRAZmAVfX
VuYh7rs7mk5TnmY2+noYn1Ra2em992vre1xrpZdge7ra1t5eldc5sSGt5vXQQKgnave+9UL2zfg0
kzfgLPM3pXJHYML5bRnGK4w62trCq9K4CdZEca+xPWHhMkrlBDkTrOkmTR7LMuibKQ3Nsiw/EFcq
kKnwSK2c3tMVnaTjrvc22rvApm+Ed/2nNur9mYu0IOdNfHTzTLdRTEP6kl111EHf0yaXOyuzvpUW
bVbVHN1Z45NixsZpwL8ER7+kp6i2bG8tqE93pgT4PbF2aurGweLG5XF2bT7FBAxfQZJUGhyFltXc
ooDhu/0oTJRrENxvdFs0nm2/oXCAbU5h8LdQ214dXV90NhrB9CbV6jtN6c5wdT/juiF6yRrBkl3j
lGY8z3B8aQBuSJZMPX7UKTqitHZ7X1GT59jutX1jWR8L4p6du/ke1M0BERucqMMvW4RGrekx37wS
elQrz3TAdeFQasqvUT/IzK3WaXvSXCOpXyD3+2sX5cOdqSojfRiyubE2jwbjunITS3wbdFWq9/Hk
JD+jzdXRW0t51/yyeiRY8/cuKdWviTYnki4pXCFa1607uTlFaorpju7mHmnWVf/hbo6SgmOEkSJH
tordBDk9+oDNgWLb5fAtdnCltI1inBodTV2jgfZ3G9I2b5gbOeJ9EJcbEKdumFwnsuIhXyNx6yhK
CovvBJkoFzKAWvMwpH29c1NEPJ6eVN1P16lcXx0wXBmwl++Wkc2YJjvzZEgJki5bcV715V1xo/4z
d/OYPUY2T+4A2slGwbY7I3Oylikg7Gm6p9IjCckWxPEwTxHmAMfQjs3S25C+zSanQ1V2VWmPOyOS
QrNmNuot/rXkFLOq2ddb1AKmTJur2lmzXxYFhpp305n9KHY5nDbTfYiZ8VaKZLidM8fMw7axmhSe
sG3vp9lVTl3drzTfgUxrawJDk1nGdLO5FT0lRzTqrml8UoBFXfKbYbyrLMJbF6Um2Q1Far32czzf
Jnnz3kPPBvgnpx+TKRRuOqLa9/GyUWBkn2VBAev7YGX1ehJ21DykAyMdlzHzLW8ELhB2xa6ALVv3
MbbNs51QaFZWNyhfUX52Oz0KLM4wt3sftRl+qZcfGFp9ZbECeOOzvZA4WYriWPZj/5ySL1XwFpvO
9D2TxZmeMA7qYjriUcpuh0GayOFjJP2kLvm1+euNxReK3D8ShcCiqF4qYCw2FXGq+6n0phYbZJcF
oMXVvV1Vw7ku1tAouodB72FmTC10Op7bglNiTQaScbLiE3EnvNpsF89LNL4QbzX4eq5vxYmJRACB
w7Qs411Vuecq1spdg+joViE2s5LOASPWc5Png8ts1TzO0xTmo3XvJudJsAjXiLIu0EuvK0v1xugS
hLVuvZPOfNc0hES1V4LXmUOnKGhSZvyU3B6/05Xq2VTwk0AUGWI5oqj2atXe1UWd7iMlfSBhzfDw
WqIvAtiXafSyrj3OgbpH5LVY8mTPA5qAgUamOUY9aolob+Rq6JjJi261zcXGRO9RCwDBPJTLK5eK
Vw7pc2bVkL4kAgvnZ2OZ7q0tcvQ9Vcejz//7rpQIjmakOh7UBZD3ErRW/4H+bT0N7tOcxxdkbzt0
gF3ozt0EGaV6emqGyfBLHYeycsU3lHffZrdMfApREFK6Afe6O7A+tGJcaWTV3EbOdLJ7G7q+idIv
dyJTLHKza9Nvh0v/oiWNctGdnN6UdA2HiUahLL6a3bOODgwxw3hV+/yyGOtJX4fSXyvIB0G4smti
FHL709Jwy7CrMig191RoC+ej2sM3fRUDgrlpnokeJtjdUNezVige01jtTw6P0dC7Zdi2Sb7LJfIH
SIOTMTJ7c3YpMUosFnFYk16Ydu3MwcC3UOaCud/S/LK0brqCH2+stwTVw9iXvEy338Umnt08RRLX
Lg1asb+O+P1P4wzwVRo4//87YOBMFsL4h/yAf37R3xEB7ffNoKm7jqOCBv0Kff8nIoC5UPDP2hag
Al/wL0RA/32zTuqgz2QLWCD//0IENBABigVcHZsmBKDxl5A6rv4bHvafMQEQQcMEvLJIpbe4tP8J
EyiyKJOrRfa3UJv2wdw2W2Xo4mPTZlgjVi6/VREkZFx68VKpmLS64sU268+4Kr6Pi34SQ//OhOyG
JsYU4gTqnid61KFn8YYjE9HRtTCUwOay1YvuPU7nabfYnArasqBeQCGiNNNtnHHr08voZbLHILaY
TstO3iu0KBwSZ1H8idvMsqlwKTC6FcN8J9Ul9cdxk7sr2tVpU/HYTqfK0U6QivGpVZLnOe2/xK9T
CafnTSmWlRvfGAXR0Nke9AQpHBgOPCuJfmjudIB+vSnR4892/opFlhUl4zPeQz3o5XDUarS2o5tf
IkIX/MGqH4Qq5L7MiiGwh7k4TGtxw/1YHCOlONt2dcHEdbYBi64pmOfAsATX4qAzxL6/uFW1a/Ls
NlOWIoRliEJSN+6koisng6N4aJdDNirmntC/cu9mMnTybm9XtoaCktDnOubKKqyXnmCwtXX9lpuf
l2EqJ6NswlunP8YxeYn1yDKvHlR3CZuhPnD5Zvpqj+nMuV/rR0eNL6Oqh046XCaOtbnBWiPhK2UG
/JnVT0WO3KRs7Ge323KZI/1lsd3KBw4osCBpeywXz2IWpOJEyoFy3/K6GAaxXkifsa+jFNF5MRNi
nhaC11739Tal5GUijklTMzF167FMokcJWFJK4pyMfNV98gOCsoN4MY02zLDj2tKW5FsXSLXzo8I9
H//RoTGJOS6cXZpn+5LwhSA2cpwCeXeum/hMswHW0Ex3PYU7NgNe9app3C/ysu89ZSQwEgaYifiL
CHxqs+soXMecUbrhIk3rxT7Kho/RABzbpjGtWzgqhA0FlO+NBuFmhU5TFT1axTU5ZM2Y+SrzG1lF
33HS7hG8drtlKC+o31+ULr+T1nDLPBnk3fiEFcuLjCIgzQAsgTFK9H3YZdo+rbPVSzGEBJPh/GgK
uZ+dHLi3FCgYtBLT3pSmXjZUp8lWD5HWP8yjOKq6ddGr+YgTDY32wk0lHxAZ14ae7Xh+XqLSvmH4
49YzWA+aQ1goZb4XJW3isGybQz7rtR9xvyXLKaY8aptgBzeQPWK4TEjqeeLHusx3cV2F9hJ9m5B+
8lb0Pxow7XpNPgyhvCxl2Zz02AiW0fhYbfu97fpzLNDaqUQlYEZ7EhuhPVjpIyjhcba1iw4vryOD
zJfmIH7x3stmvqXDxNJu27Le2/l87yqom53FvVTF/Jw02X3ciDCt9MdGxPc1/DlDIpkLrSc2Yt21
yieREcgT5doONH1vqWvmG/RC6RWyikRn6Ine142OX/XmvkWoXUf9ta/rw5qB2JOejPBCPWjZuJnn
0EzV1afdF8fM+RQFh6raVY+TxvAbYR1hFIyDth3GnVOySWy+KnNTBBRTWyKiMgjqIWTONmy5q+cX
XY3PUVwFRKfwBrc8U6IUT/wl9/PBDpdu8KdVvPGIRlyvxY20DRlmDeEeBPRdGkU5cRvZRWgYb5tM
K49Wa+6saniiN+cZ/evtqCEPa+dun1fIPnu1l0GkqeZ+cpkd1zp5dpSJWTj1m9z9xglPt3B1HQmJ
CJwxPcjzlAeu9eKWz4nzzES4+guSlFpLENRM+v2Y9mz+K1MC93A5i5e8bfe9GwWds3xUTNG9gQnG
XRpjl5JzfehQcYQabouNAjLn9EbNZsp9jZJhNrXOumVfJbhbheXC11m6uMjWADrl2bTLO9tksSFj
Y5Vg2EPM31sIe/WjOQxvqW0+GMUKgoIfXbfuhDF8GzZNSKQDEkVx63pwx0dwuZtk0TO/XsfPrtJp
64il7ulVdj/M43e5KUumjpt12zrP7VTeuzU+rSVC8mWZ8n3CnOQZsr2vGnUnV9AeYbLl2sv4bRr4
W2fEaKrKih4cxeXiUgL14AecVOqLmnH2eK+/WZu4ZZyTl84of1ixdYFp/VgMcRfL4pXt/NhG6pFY
/dUrhk0QN7yo7XAQ5OD70dAeGQlZzUhDmKHFrqgRa3F2MIVaqLMbfaxQnM0n7mQ/FEvBjZtwg1/t
Cftwf12E81EQzB6AQwHktPpLaUk7SKyC0q2svp0ng5MJFbcWuz8nzcFIKOTALq8NDNRpHGa2NV6q
Jv4+T+qrkxWn1ZD7tkKgxuGG49S1PwipOVdDfZvq0MxrqdSo4bAhuewMnh2X30ota3ZWnN6l+vIi
VeVr1BJgxak/Gov20C+EureWfYhc+36y86uBL18WzTtw74NYsbA4SMOJPMLijb2w7+YzDtrUc7ZY
z4k8FGWTK8kZm6cN3jsQijOBakCHiU87E3d8nM9sXO0lz+tDrjNqj5GDfLIeHuypHvmA1JXlzpax
WEjth/lrjrXHPspokFE2JX59w9FBxWr9y02ihi2KHtl3zNWi2qXKcl+0wERT5zQ7o8rvqKQ8ydq5
T6vc5NGlc9Ydwf9WAylXOsU/ui2ZdHSVW93IPzrhnPAqEyNYrtmViSZns9H4DF0bkZOZ+f3aYfua
lrBK2tSr0+ohreWrpnNJQyt3GMeSlCI3r0MyhEJHG9G8Mnb1w0UUBZxG91Nx9UO1NoWX4DGX1Rwq
rXMenWQ9ylqytiZ1bxjjGOgxgb2DGLRrWr9ZSM6GlZsQErQlH4+9qd7kvbunTqMJqBYkFk9b2R66
3SSpmdh0ayi4j2YMsKjl6/fUcn4smux9Ox4cj3bT28UmvQyNdhXxOVlaxrem5KSeMj6S/L0TRnLW
l/kM35T4wh0fdBxMHrnye712BM89Tet1qV/IhzB8Q6l1zx3Q082VHPflL42dNN9J2CiCPp2uRbmq
4WgBHOR6t5cYDn1jRJ7erNmz6cjj0pQfzcjtp3XTK0k/mq/JqffbPj1YejnttD4xQKfyJyVVLwIb
zZ6NbAij0cAmMiP7iytk3Eh1wU/QQu9aAzLJKZDT9aZxaST5UkvHrpFpp2VExZJE8bdp0xKuS6Pv
MTkJAB/si5IAkV1icpdDIYfOMkGkbxg6v7fjd0AXpS3etRo/DIJ88teX/oZ97jzq44WdfGFLTK+2
U77bKLu4oRsY6TeBY7owb/VZMKi4mZW+5+Kbp2SfZjPe4o7Uj0U3QhqhnnuxPFhD+jaty1XIlLCv
7N0e7N5rbXIbUAyOoUhg58y+08EdUwDxpmYUiDBHquUWPxTbX7U+WCH7Ij6EfLmdOHHRS24GDpxE
kep143SrCJ30qEa/7+dNewvgMNHw1xuApM5MwSC65Uc5zZhE+rMU+gmgH3xo0D9r29DO9jw9rrXz
3BlO2CrOz2k1XN/aNKFFvcPZvUusmnwIU1ZoEHWWlmKHyOyhP5yKTI8yn+nTwdPeqRWbzjK9LX3s
D4aNpsmdLkurRh6baev19Rik1rL5SaOHaSF0qhmQT7tt9p7Pw0XTgOf1TbS6iunGQo7hd7g+fT3Z
MMa4POQq2oG8Ge55+riDR+Kzb6rnKCqPGQmlGUHsNbCwbyCIRSoRgd82TyVZVGG+6IT5L6+KjRdB
0XGaAmA8iai94Lt8woR76+TrQ1cOZ55hkqHV6YlOn1/SzR8dIvlexR4VK/NJz4rD/6HuTLbcNtI9
/y69hw+AQGBY9IYEyWROSo2WvMGRLRvzEJiB/X2yfrH+Qa6um4RQZMu7u6iqU8eygojxG/7DJIcH
C3fNECjGrm+x+8ZI+DAlBFQgXV/6DP41bJY/AWY/5QXB8FxlcDoS700o2xzMcw9HpEwx7GJDTmDa
USuTPiCDdp+mwZ3UKIlU3rltwr8CEXUnoE2HjFcl0ajEBw16Pioffk1dMB0ZOOdOSw+y9s6aVbiP
utvmp7xNu/s0sp9hpmUHZm/HXXQM0+SJMj7dFQ96WrTgYbl1dNiaegZUwnKdHqiDvpABPMhVeiQX
DviAR0zc3U0d/b2Ka/V+ilr90AYoxwhoOLMcPwbKQtyBqpSKva99R+CK6xoBrod8qiPvq44OU5E1
2jGG0EWYgtKEjGlCth5btWlhuFCxP7oWbHx9mD43WQX/VJcvkQViGqQUbSyTLJTSkWhzBAziT64q
HuLAFYegFA5ll/SrqDiNFkpAeywIjmPtDUvzizCwl7saF+RjotG31BIg3Ri3vPQz6qNxFCDFNaj4
bR0lvxtmND9YnbzPpcClU3EljkI7WWVYnxArAZpsk446of4sovwliuTXVtYCuHoCa8CCSleXRw00
fLmMOAC5cdQund1naADEWy1/CTzCWlMH3S0/m0CCSfxC2usRVbFEegXR8/Sb3SPok8cfOa5/IKz5
hm41+UWdm0Tl9TevAv6rzdF7u/hjEtmvtqjzYy3yo0VsTQYLCXwa0+HQYk1+TNPZ+C0yygJFgSo6
2IY5sRHRo5jSKns0PeOrES0u7gb/Vh7bOnWX6H279FoAZsy0RVwfJI7u25NGAuFRnk+MfW7FfmU/
0uT/nERwzIgVMmj+hYHIS1x8mBG3IA2hjFs78IIdOrHhHiL0N3yvZ3SoA4iEgTgHVvtS9Sl3cwW+
nRZc1KfvbPHGKzAmVdRvdqYDHHpqzlU13SPJcW/rlLPRtUBHAMoZpdQHT6cVZ5j15yKMqJrgnIJS
BBBlWzNjXnTrbat/HgcVnM3KOhYkuXMuznYBsxi3m1/HHqWjQM2flINeqIBfye2N0u0zKKH6GDgC
rQC5Lz3n5BU5RdDhbZEGMBja+Hkuy4e40Z+AhD21hGCRXXyERv0hr+R7BDY+GYNx10RRu5NGAzvE
gu49faCMgNyP17w40FCITEyiIHPIDpn5JShbY9c1c73gHT8nyTM91Y91LpGFi5oUyuH0rZ5pkTSk
phYRWDAsaTxl7LTq4FDKyNgHs23uZTXusxompS6KewRSIJ+jercLOcc7gbZKaw47LfhDmL8OXIj9
rN7G/RSd+jD7/JDb3hMt9ae+Bzo+glLQ++BNVPfZWbrBfcE4dT6JPdpZfzaOeqx0lwYxdPWlKaFL
SsodDHgHrIQdf8bYUdFeqr4CpsMsMy0wge2PbUVMQl933zWwEwB4n/MWfEHn7GRQvhu7DtJOjLKl
HKP3k3C0B33oWr9Fg/io+p5Y39GfJ8f6gLcspV7Krjl/YDcB+rhL5yWkPGSi/CZnM6S6Oj9DWkTP
ixJ/V1d3OJY8V1C+jaC/s+vmA8CB+lhMX2UivzrKcc7p+FeSjeeESkJe6G9U1c3PErQm1K1vBr/o
VwuWl667nws1l3ddm34rA77C7af+eUK6cAfCb29i2OTDFAFxFyfmIVtUaisvMI5Oin4UHV7SLPAP
tm3th7LTTgZ1PkE9fY9MBNqRRWz+VUdDyJQtqBmzDU4mcg1PvXS1e9k4yYPdCjTIDMoAg5mmvhVo
877p5D8Qpf3/w4n+T6stOxahAyqxLpVf6MfCul5n/j//lS1QdNCh/E/zWhBw8y/6d+3ZMHApcV2b
G3QBnv8/NJrh/SIMAUrTBCGJxrINiv1faDQbyLnE0cRGtM+4lFCW3i+uYxoG4qZC2tiYip9BiQJE
fV141nWJRuEyPtg3x0P95RKMZtWpMuI+JvUvR2/Xdt1A5cC+V0ndUyywx+Oruvy/BApfKzZvDUed
m5lGb8QA53o5XGsry5VeNPsJ6dahKnlR+0VgoqaTSgHOvGUXsdTNX9XVv38e2nyeQCJYLMi+y/HS
RkhPSZ4sR+O/hsFon1BM6170jGbV1DTYRwTl1J49lJeOHmnv3fXvXf7+9fgLo8By+AUOCMLV+Dmg
VrdCncKOKvusdKXti0T+nHcfQF/EJXUIfsjAg0sHlL4apQaQYaKs4pvVUNACb8pjV9jVPtfj6XD9
gzYmlDgLOD4CTIItzZZ9bQFTV03iimqC420Bbmk9bT7kUuFgP5XZnRHz8uB8Ig/toM0Lua48XR9+
5U7096fSp8FoBqaiBId/Ob7lonKoJKUqhb4Nam7QluhNu0JQcuWwQXpCgEjB+ON2VlXylFsRqsas
cYd+saai96M9wKROUyv9OA8lxIGwR4PBzzstfEFEaPoWB53zh16BPfy7+Yby6X8Q41w1eb4vE6A0
E54Fsye91VlLPDrMOXQpspLKO9hRjmNg14YHL3G1l3wEmD3q2lNQBAbw5qTe2SjCntncxV1TaqhC
eFFMJ5YSvIZwxfn6xF4SGv6eV4EoNjY4wiZOWf75K5nQMXZbnIqD2dcMcoNBOdUpBBlF0abHI5bQ
S8UId9TKHG9YlW7cCKbwINaYXISescBuXw9cItYLnVHMfoAky9Fp0dhRqKr4RT9+0/ufMwbnM/k2
9DpNgxYbV6e92j6BNaPBm42WP6IgeSzM2nsh08t3laqqv9kV/3G5fzj6y1AWhBopbde0xfLhr2YU
7ZBGGQ1ASdlQ6820JLyrPD38eH3dlj1zccEwigkkmQ+D2MQrdjnKHFTIDEXIao5tG+wmo1WHxCIt
QGIA7FA97+fZ6W7cAT8s2TLm4uvCTaDDfVjtY83omqSvE+n3ZTC8DEWmnnoLnrKX1nDwCqP5cP0b
Vyygv1eNaB1ctueYJpfP5UfmaTdaymbAOE8nKoJFCgosjH3DcmO/ndIvTR+OD52t2vc5p+oup3N1
0GSR3rjNt38Iu8cBKm4TNMD4eL2mpL45Ojcaazpr8x11CvWEIIRA5QhtyJzmJF1bjSY+jmk70mB1
rtOhQPWdV/X6lPy47DTF0RSm4gApjRf88ofYVVVFMEqlXylgInasB6fSQhPFQh0FzFO1A6MZnq6P
ufJiWZaBQZEkXtDxCB7L1Y62C0GLh0a2b2p0WlI3QJ8TcCiaKBPKDQlyb4NVnMJFocVzYQXngEpS
qHpHEc0oUwVJcdcPSvcBCz4LpeoHagrCh0LS3tgwG7PDUYA0ZkO/cWGhXM5Op6zCRtdA97sue2fb
aMSEIsjfZZX9pWxjCroqc6MbY/7wMMIqsLjiv0+OaVqrrWHZcRjAFdNR+VbqAcCcRhqEbFrJtfpB
j8Y/So2N4rkqQMOyzG9cNltrA4KAq4Y9IWx8dC8/2TbLaCqQvIIk3DhMM3I/Mq+s3Zhblt9kojvG
mWYcYjf1kEbChLFNrPI06WitkX7IgxwbE+Q5jOx64CVPy6o72Gg476jj5/71jbQ5VQ5kDy5HhESX
gPj1KZqmsqLWM+s+vQKaRYNWk0FTnEX4o/LTMj6r0N3nULSIFdMbDs7LPFzelyyTx7bgwZEL1epy
bCf2YmNoWKa2bbpn1HSiPaFgfV/BNd6FRkiXlZfwwygrceOrl7/52sir09PQPzJbhQZAByjt4Ari
s67ok4NG2nl9fre2P68cOBIcW4SwVvOrYGpSwel0HrmyPai6Ip4YHfcQGkZ0kqYJytWcrRs7cGtR
Xw26DsyQgvTawmHQ2EW1zrAwxi6C4g8okC82BWX6RtRCgfI7qKxUPxtDcPYIWXTyK5aUTs/lonad
06CNxHkvESL2FVfLo1wk8tMCQeRCj+WNTbS1lBLUj03YwsDrZ4CuiJ0p09F9Ky+chXmWnoLU/t0h
Zr0VMy7x9HrXgDwif9R1aLoAjS7OioZ0SVnz/KMQmbd+nIZIUhQ97aGGfqA3AU1UaE6AUugLf9SQ
3EywQT0UOgDI65vKWCbxh18CncrW3e+Mx9WukpZOvzgydb92m3qHxKDco4sBkr5Is4NTVu4breur
PSgd6zAXlPfpRQNXmZrojUjBLFG/GO9LUuXzjR+2vHXrH2bbxkKsgj1JcnA5RdHUWXECUsvvcWJD
echEv7d6C84IJ9ZgBs4x5QPKWzHYURlg4VNDVvJqrsDCEMON0Gjr6NkOlGpuYaLp9dFr50RXVj0g
KpmB2w+LCvVsu4rvkgkmMi8VPRiP/tz1GfgxHoP+9t+Dro+eyOoaNxIM7kIzQ6TWwaA5mEPyBwmZ
xKjs5OP18baOOne/beFujQXj2nra7voI9TrD8PPEJoXBkOTOzqcnrUX9TupZfCgkeO6u7jRg+W16
uj66sfW5OMXTkXOWVHT9uW48kwO5nL6wLOwzJNTq0dA1+2gN4Cg15D8OktY7DiAkhRALalgRwfjM
H5vRffBoaIqqOvZVZp/tBp9xhKyTf7AgEHyhGXI9LInq5Y5EgsBushQh88JI5Z+9l+n4feJNqwDK
HafatW/suh8fNVBukuhsCcapM6wuiYG0YEqxfUTYJQK7QgMHKHExngN4PuByjCdgOfusMcJP15fi
xyuBcZfwQAKF1H+oO6BPb1P9JF2Vkxm/Qz2x3PeucG8s+I/bjVHAbloC5iQX0HLmXiVSptIq9PWk
gUindF5cCBp7T3TpPsqs9hyk8AUByuegpoNv7ui6N+76H3fbMjoBP9GdoIK3flv6JB9Knbn1tMgj
dJWmH9Fn+5iB3UM2PNFu3PhbaymAg3qkWEztwlB9/bU48tQIm8Gl9GjD85ZF3k4ixEqonSckPLC4
ArngoAaYjD+/mhQhl7SCuo4tllfv1TyLwKxzvA5NXy+s4SkkfvObFCOL66Msf8vlbc2hNXTSRw7I
krpcjtLRSXNpqvJ9JAsHQ5Ygr1C5pP2LDOs/GcpZnOaWyGAdkmONE6MczwdFVTL5Rg4bZ5z11u/K
n69r8kRTsJXULwgscfe9/KomREbJymD49dhjHYcs/T3qg5DGdkstbIK19A++DMsRbMzAH/8Q7c92
MLe9hOikEvSzGkUyanpwIE0E6m4MtZHzmjojLUoCVK28dQRiapXiyUKGrRn0zu/dysU0vsyPWov/
t0pHMMdOAu3FKgKUZ030e/IRdGpd33Ix3v4ly8axHRdF8nWZEwuDtBayN/2x6NLjEJT9IQJG5I+G
C0VxyOF9wO9G2b2s8E8K+51dTea+jTT9lp/uj888BXODeqJJ7YWTuiojlZqNqBcEa3/I3f6uRCkd
uN8uS/SnJHfSuzwL2htX/NZVS/fAJbSg7kKsc7nBZoUMCpmk4Td13d45ooeq2an0eH1fbX0XjXN0
TSRVc30tBuNOKc2kgFG6KY7PQh+DA9+C8GRXvJULbwmfq1s2y1sXHkE0kjzwUDlAq8crtg2wyIG1
PCITOsqlVt2bOA2cSmHVb2lP4KFqRPrJVqhQXf/araudwGl5WXSS0e859asLT0Wis2SVmH5SASYo
gXsf8sEogKmW0aEPi1tHaevqWxgIBowDy+WSv1zDoR0Ta9CYXYEr3EHkHb1rWURHw+F0Xf+07yWO
1TVLxkA0ALR9Kdes9osIdBNQZMypbbTxqWoVsA4NNmcdAyxWUY0TXwWCrDh7meGBgNO9R4S5Pupu
pR3RYiwBoQx4XYYDtiQ8f7vIQJ5rRidAzGNyNxBonvSstP1exB/1IISgS9f5owkS4SGuUDmTbWju
Ct0dTgHkbAwhPLoFDdUiDVOQc5xEzjk35/pBDi5AVweMX4jK0Y3t/H1Gf5gFYeLOiPU1TTNxOeNp
nOtVGJmkBpCoHnNv6pAXxaAlzm11HgHE+t7ctEes1KxjAH71iAgpSng4Yp+p7SEYrXDnw7Sm3vd1
jzg1xhKHCAjbjd+5sTEMBCn+/TNXiwWa0EznkSMQDXnq25XZvKUcUzJUON+4Rzb2PEMhPyWYE6ov
yz9/tecxdKjTqiJZGtin97CYPmDrl35qaZ9xmc5z/PNnjOanzltPbmYRJV6O5zgIpwxL8OZ1ffCW
Dn171wSePNYdPkqWGtIb37c5lSjekJUTxNDVvBxPCwvXa21tuSeN8CmZMtAxVJVxZ0Ab+PoZc5e/
a727uLe4QhbODtTx1VhWMmjJUmfJ67z9NEcB9LloFto7nF/o2pdpFL+ko+O8eK3+bkjRdILEGt+J
QPOe40xVnysDtrQy/0y6xniqRw8eZd4gPLWP0DpmR7ZRI+6ravSQyCsjSmNVCylcr31t9NphPzjG
iJpiPtKnCYJqkChuBj0aEFoxo3+tKucTVFmTVzoK5D0GACgeGFruQneYm+Fl9OL63sNsHr9yyC/v
lUO5ZEfJFHdb4vEFIpNFb7LMzLAwD037q8zEiPOnFEbvD7LM1MlAh1ceIwfdB9jwBqBTiXMl0EUn
bb94QZbCyS47mhMQNk/Kir1fLZP6mu8U9vQ5N3NA/txe9bGSXWnuXa01f81JdDL0sCWeXLCXGwEv
MGl/GwDiv9cnaRzhIPGvNUZmoYDoVF+8KQbN3BHZ7YY5OFAHAoVaGONU7FtbQBXOAc18C2UXZzvq
9IGOw4TFRdCQb5yg8IDfvL4vNh5Rkn8uX4z/6BN81395dcRmIganUw0lRjox6PTan1XWxQfRIfPl
wvFCbheU6vUxt7Y9YQGnDJs/wrXV0yKTQoOBzJh6QYYgUGLbiSaa8B6K1I1tvzkUok5Q5Sx2/7oL
gJtn4Jp9S7Gt4wYpKr05QUwrP88zi3P9qzbvb0ICkFC0OHTShcsTZqISA964RwjFSx1feK180PMI
AfTQe8RCs4O2DSUK7JE6elNoHGoxeXtAg/IeOFqxD20xwVMghQJKLo/DjCdIYHbe6frP3Fpw/AGs
BWNASWINapjdZjShAuh+EOYlwG2khCl943PRtuhvB+nw2CfOrbB84/JZQCM4KyEmRn9xdbEOnYU3
Irr5eHehdQkPvOiOdbroQ+RZgk1PJZIU1DVed9AoxvBjn7jjp2nKg/eDAla68KmyTzYd1ltRlWn+
eC2aBkUIIjpgNWQNl4uWw6VSlREgdjvHHVi/HsTXLpuMIfNtYMG/piTvuIOgoafBS8qS50gIgPKU
9uLPBfhDNLOL/DGMbZgnEJv1Z1Q9UZh3nOZLZEnvLYynGJ1XYpPfldY4H8cqtr51YqrtG3O88VbS
yMEz05RUHsT3QtSrgwzOrWqKfKTOhevL0Ymn35qqs/aji4a710jz57cRSoI6grL0OKk4LCv+ajhe
HoR985kVbXSQ4s6owPHriKIHkf2CYdJi+cWRvr53N06zSSRKOsV9ZROBXA5az26vMG7EkUHFITXa
ssEGxQNpDJT8xlArqcmlf0i6RFUDCBRRt/Ud2/HqA0G/Yikd84HgYFAansAcBi6vhTMAdxSaGfhO
ifCUN8xkcrn7APWlOGpqSvBmwIn5+odvVJW+526kb8CYQWFdfnjSYHETyIyYq/AU9wsMHpwD5vsq
LnDU0ocCtgbQUxB8wFtlcqtma2xNvKU7OjMB/AFJwMvxByeRZhtRRBWQcL7lRhe/n61Zolc7pFA6
pXibti7l7BR2p4tl2PtqrmhTtYs5QmQPO+TPRzDTNolLo083Lt6tnY/84HeMDRiG9VacRww30C7G
ESpXBn5eyZNVjyf8faL7LEymG4+Xscz1KpBiAfDKpc0BD3sNQoPASoljonoyNkHl0yMzQbLiNhXr
OfJMsRh8sygB+1jtp1oDBNlY/Y3uxhKq/fALlv4KQA1dp694uRqmhFcMRQAjwOVwI1JvImnQm3c/
vecEcT6PGfrhIBlWz5ntYJnVZIOJzI5tvC0nE7uhEFpZ1rfjEYxX4aP+XZ8LtLzPHTKiN17ujS1P
yYKGOxEITL41dovGUJT1MGTwyKD0Fszj7Bd6SekmyNOjheWWT5EBUSwYElXkaC/XP35rxws+njxM
0KwjTrmcY0wjHT3uKMfFgJN3mcrsh07vF2saIz+2vTvdLUV5ao6jixAjTgPUlXBCCEgkk8FedCoz
4LGxfOdWQ3VjajaecBIGkw4MdWyQNKv1j71+BtUvTH9y4KNEs2m81EQlZ9SP2IsCZsI0z7fqAVuD
0sQA8MjOJ6xfDYp0C9AnG9+1EF+Vuk6fRVfMxxij27usm52Hqb2xy7/nu+ttTnTrIFwqOGrrbZ5Y
3uLzyojeICDaAq4/msDoKWMhAhI5kVi6ibjUQmc4zQhhLAyV8UPq1V+zBT2uSTxPru+KjZtG4AFE
lLAIlf5QDs4wZ+9KFFTAPcdYRDp2d9L66mNT1Tjm5Zh/XB9u49Yl+cV1m9yQGVj359KQ8pbA9tWP
DYyTkkqSEXWEkLbXuTcemK3VtQG66kSEVCzXEJ0K85msVegWwPVM9/o0Dzuc0nC3L7U3qZ5hq5Ch
DHD98zZvUjDBFH48hiWWuDxjkjOehV4mfDrU7QO6jnRkojbZD6OBo0QPiaMcUA9Lao0yOBL25wqu
wo3HY/PDpe6irmnTHlxDCZNCNaj88xvmalDHdpazP+aps9ONHJrGokw5e1+uf/fmkIChFugLHBh3
1TRJjLgccYLhYp2j9rkg1CRqqgGvYBLpg5uZol07wD26PurmjcZttoBRkfP+oRFa1lZcp0bA5k1F
cFYZfFA4a/aDCqb55CpoHWlfugcUC9GGDaAXHmewelheFXgDT6h16BgbHQbo19DFWKDrP2/raBFc
sAKA9QhgV9dLm81khHCJfOi+6cGuxR+xi/2kJ2PtAfEr79blsuyt9eUCLA6hFUohdIdX97uQTgO8
Ep9DFsHFF4fCg50Y6RGrgOoUiOpP7B7H+xRBzjdVWjZnjMO9fdW7BVYHctgtdFxi0eF8fRa2TjzH
D4VmGk5k3svWeRV0ymroCtJvy5+BRSIVBkCtySa/dURxY763NuH3ZsCCxLTo/l+OFHoN3s6gAX2l
hc6jY2GS3Ifz4gc70siDy/uAF9UtVNHWoGCFLNYY9Je1DikSUNBxaLWWD9VvOGB0e5pb7PM8wzAB
apQfAEF9+PkJBVmHZgolRPSqV8s8Gn2WFHUCsCF0sv2gLAMCj0KQoonnG7f1BqoNbDDtQgmFlKRI
rIL0WEShRBwOd6RUF7/ZIToJUvceuiTs9l7Vca/lXnyIyG1PiFuY+5Hq9GNRTPrRlV3LLkfQFcx9
da4Iow/FbCC131P8nsroxs27FVsRvtJ8x1cAVYfVYUvCJkzTpkXUQZsceu7h16Iz6vuorhUUtzS9
7+Tc74wyQi7VpNZ1fU02eih0MWhOI/XN877u0SGEWXRhifhH6E5YwLcl8ItG7yFRNdWJ8iXUtBwN
Unec/sHp8oBZsgUh0iCsdLnno4GymgwyBo6QUqt1N4Q4jMwFaUr7T4ZCRQ9BZQHsQ18Fzxbua1Gg
2OlNgBOOq/eotkXmdHAVMlvXp/P7M7m+yqhXsvOoqdHZFavPcjMIFSOFyxIX7GcDVh3492Y+eHje
RW6hnnA6T+7VqP6gY2cSNEkURfB+OWWzCXKxw4JP009e08DoLQSZS4DPZFbriM66OgikbHgIeS1O
oZ3r8M+DAY1XZd34iq2rAaVpslsIB+Tcq8Mz1Vo2h2hILv388RghwXMQhaXulaPqfRc2PVEBmj/X
p24rAgEG61JUoBbJDbG6HoQ2dWnRDEwdzt8PKTfXLg8ApIxOGft1q0++yKxPXW6Hp7LEOaovUbW7
/hs2rnwupwUICAqYPu16U9JOC1KHnVJpSFQYIKTfVK7zJR4h218faasl/XqodSMYA7++Q5DF8uFq
IJFtYPXq4Iy16+UAkarx5heMA7XH2ZAtkLB0uCtyL0ChDxf3G79kI4e2gBtxJdPzAy2zmneq2d6Y
BKaFHWsPzhjPOqrq419pMbhHOy3bE/JY3V7PJyoOtqbtR88zb5zQrQIPBUm2G21q4Ejr5lKZT5EW
p4blR+WApHDrwB0xSg1yYiv9ghBgJ/segTFitcNAYfecCQHHFeW2/QQ95MbibG0DgCZL3wkiAK/V
5SFW8YhSBGB0BM8wM3VNLT0nEbbTQy1u9c03Qp/vNL2ltWbS2l3tuGLIJjo07Lhk8cTSgS4czAbN
jutrvPlBdO7+NYq1OtBN6EzFYNaWj3gC14aMuGxlj+Wg0m4u5XLDrW5A6j5o4i3AFlBIq7EcXKcb
5F6QkyomfIQpAe1B9aS7BgD8uelTbizcKs96iDKai4QIotXUl+MObCX+hRG+WwgqXP/8zcNG6QSS
G61tvGDWt/JYN2pcHhsMbWygUeD2IlFRMTBrdTTtvP4jDiYLmc5ifhrKqlyM3aJTMrTmjZt1OUs/
TI4NEYXOIdWiNUYrTGrPqJVu+UVpo3sZD62feqF1TmevQAYAsP31L98ejwGpFNDWXGPQ5AQwpy6X
c5VUcLhzlTyJDrfmiKed5yOVt0J5c+sDqRJIgvmlCrha/UrIQKoR7lKlv1gC32hZjL+F2oC3Moxl
Ghv5jLqBTN1DHCbqaagj7xiPTfopqofozT/4eHg/4H6Wfsd61dHeQZa/bDhbMz4bXoDfd5Mp5Su8
k44ycrrsxj7bOmaUAm0TkxiOs7lKJrWpLyv0JoWv4991n2fFgOcqshROrG69lt8D2PVOMhdvKdjH
lCPWiStC+uGgGTVIQmq/Bx1+Eb1fDMuiTNa7vggb3y6pTKMF7/nIs5j7rMuNPWB37VhjrgfrfwgP
ZooRumyr6owGXP7oWnAdXQTgj7gNaj7dd9RZ8N6+GyI5IVs/oPdgZeVJyTzaF6Nwj5HmqDcZrMlj
FBcmoBTnVn1tI0BFZHMhWi99UbKPy7t4thC969B+R6o/j33E0T3fjCL7hBQaFs9ZS3E5jaZz3c3t
jUtz6+wQE8M6dWk9gJ66HBmCkudiEGWBHnWaE0okzUtoa4vmUhKQJej6je269aWYVjm6oB8onHVE
LCp9lhHAYog/HWo7fS2Qz4keQcG058Ya0ueuRvEa2c36+efPyauBvwdmrxJdZIad2LTQ/I4aZ9qb
8YhkW4n4swQ1htS6sO+uj7dM3HrrLmU0/uPQcF6nu5FMaI7pIC0AAad/ubJw75G7ITKfJ5S/kLl+
ytlN+1g54XFIvFttxq3ckNUk5ZUIxCIas3oNtLrW8pQI3p+TztvpQRl/CQiH78vMG88RBpH7tjGx
+xnx5h6s1rzDXFd9DVDi3jU5HqS67LtFt9hB0wPtRcc2cXfmJbvr47S4MVcbmHX8YwybXopD6Z9f
fLkLEyNh+0+Ysc+WmdzZffFNjIrcxZHNSS0o9Mpxh10wIfmJFJp5dFs6EFCq9cfGtOvdgI7X06Aq
8ayHiCn3xL7vr6/m5uNKqMxMcu/zQ5db8dX2MRpNGQgtmn6h8OVGMzazDmWOUxKi6MehrmYUaJX7
axam9lFoFINtx87e6EFU33hct65feiNQgR0iD3A8lz8kj2Q9YVBNM2hsrI8BmTt0EkpKiLToH69/
9NYWfj3UEta9+maZtkY7SphnlkHSjj5aus+11Dq7cxDe251tn7re+jK3un6MJ2qYNx6aLZDekrET
00AWwRJoNX7cJ7onoxIwVhqa/mBOyIsPOjRrS5bnDsrKu9A1m0c02QrCnWQ6hXoRnSt3TvdjEch3
hPXfcjN5z/617sFnSigRo/VgDVH9SA8IMfvMBh2f2AEqPQJv9iFtH6NuNr4ghOv6s94jZ1cuwtoy
LU+j1wPSMcPiMaAzekQdwT2iYS0eJW3oe9mZ6thlZnfARHDYX1+ILcwAy+dSwOXEItSw2n1Mg1UY
HdBInqzubRRB7oWo54A5DoM9cgTisa86597MJ/WEnWp1RMBoeJjj1t7jmzO/KR2M5ukvYfeNeovf
IdfySQ22+SbsquIk7KQwkHWd/pxT2zzI3rnVWdnatPA9jCVK4T1fg1ipDA2GmSPl2Qb89CmPsLDW
7fREz6O+8cBspPWk9Fy7SxHEAku62rRW3LtdTxttylPcZEG7gG7p8ueqSsodQu+FP8HPfbq+QJvf
x+VgUI/DQlMsAeOrk4I2QQ73gDaNdLLuKHqZfxoG56sBOuwfZG1ALpY1tSzQ5quRjNwhudEYqa5R
qtRt6z7wevMldcStyGDrm5bollYoTRowNJffBPlCwcvlTh7arDqbeYEgVW8EB9MZtBv7e3MofOFo
E1A3JUm8HGpWFM/AzbFmVgnazlbZ0WkIhOLIVTdi943tQexKkxXOgyTwWcU7+SSpOQb0JOombM+Y
YoUnaZT1HvArXGv8yPeTdrPXtfF9Ei4tRRcO/4JmuPw+z2pCt6g807cH1ztUoZWBwpIjNuDerULr
d3bZKu4gx+TOZBsuOOrVBzaoinjBRFuj9+riNNlgKLEhbQ46xhNPWizqwwj/+5jNU/6cdZq5T6JC
7SJ3EShwUbWGldKc8FWgLuuFQBgRCPF5teURXyH3EZSg+7YG1QwcWpR/VmYbPsxYnZzo5ISnuKl+
u36wtiIDADE0y2iC0jRYo6UMHJ7+hlrAMirvYkgNu0prwsc6Qz+9DyoCZTxLdk6D4CXm2igqj3r6
aCG1uA8qGEL6kLQ+njjiqekLVFk9u/x0/SduLC6QQorLAkAXsj2rBxlx4mTQSzZvV0bafRShBWZB
979LI0T8rg+1PHirtb0YavUgUkszFiIvqHVc1Q6Ws1iuRHpw44rZePbpAdN2XuQrlm17uVuzAU+b
ljIWwAeEukIn7U+N6rAwg312iDHHwM+rSN55hajOYHDzGyd0az6px9KupGLPm7eaT72b6E9PKB+M
dR0zqXGCuG/7hzbUzen6dG6ORISOUhQtMFLZyw81WgGSZIHxRGVYvkcXcTjVXUQtW4jh75X7KVvK
/2nqX0uZ7j+7Te6/Fl+/fX0t8rX8+b81vTRp/oJwARELwcpi47wUCf7tMs3t9y8ZL1f8wgOMfQQa
Y4R53x2nm7Jro//9vyzjF5ZkaWXw0PAPfspU8jt0578PDmJaFOtAT4AhofKLPMlqpfOpjqvCcsNf
DTssBm9XzU2/OK7R3nAKBPdVGBY7DW8U9TtS8HANULo0s2I8Qgbo4k99bA/ItKL97iok9nIjKFA8
bc2ANzFU45BM515rF5X3WiD5Cpu/7VyvXjRARGjC/k2bBnsT21QOvn0Zt1G1D0On1EeQ451C5z6J
hozfFaIsw++ilAQq99SEiQCq6qk8MPv7fCTYx4OVUpDzVgx56GIVgA+L860uU6P8aBnB8usK6h78
hXZd6gw9RmGfZ6gM4lLvYK2Th2R6yP0Hzns0XZ0GvVEVtLqBt9NcdM6JyklpySOxHJCvJwjaSfWt
xhykG45zO5TjQmTrAoSVQTn3/P1KxVrfP7pjVjAJKSI7/D8rKRNGUwStfDZgV52fUCs1WtopG9Hn
BDeIDDB/JO66mM+OElOq31/txpe/F/e1lNrlLbYsOQkl8FQX/xG5cKEvD3edtgDlk6H+NIt6DJ0z
wK9gHu5Rpe1t6auotNvoYIYIHg3nskPVe36vtenQJndGHkj7ljbOZd2D5AUTbAIPzFIswg6qopc/
J1WmBalGVe+rZhDqd9TayzS9Q1jfVMmxDfRRy5HJQWO6f6ToL4fI52ZdVvD6rKx+BmAqRyICAcQM
dgskttWsxDJqTW8cg48N5sjs0DHRwzHySVkmfkBlj8uK9UOUV9FbzUQRpn8c464I4xsR3wq6zvIQ
ncNAWUpOKHAALbucj5niedJVwJOdMkWQ47mvG9Q+TsC8Ytt6i4x2HNiYUXIs6FFD/1ElnCzVQ5j3
48m1hgkOf7f8D2JYHrOVd5VsjTfkOZPQ3uQjZme/l6LtwvRpLAORPoGkNey312fzsnjGR9gwTGny
SwGm4f9Sdl5LciNJs34imEGLW5TqakW2YI+4gbE5HCAhEyohnv58Waixs2yakfbvxXLYJKsgMiMj
PDzcYap9OClpy7sQF+TyZeYtIhrqK8ZbqoM7Tk20nDKnbx11Gxk19Nwm/vVX09TgCf0Q04Aj6Cvb
rHDqKggOPz5B/EjckXGa9IuPdceSvI4KFhGEot5veYfQuPSXBxTR7DO3YXbZ3plGr6L2oV69vnYe
JTgjGzPDZpCAgZBpBgdr7BtLr4vUyDoSp8wKEGFuxoqh3pM/Mj3U7SaVNXwmxlgL+LptrYFG7NSq
or9gSuazfJY1wuTBycXrtMYH0hsNrXJUsr3Q55e4u7fo+Teejh9oDHKZy7wEfHLkyJHwhzr5yBVV
faiDgwFrhF8SY/Z5+SaTN/zNTs3FgB5xEGYdKsvtqEMMqkwLf4aUgf4U1fr6o80hF9zX7DJVjRCI
zCp+GOJQpm9vrvU94/9G+MG3C2rtwUWDw82+JQJ7q+Wud+ZkknGDp0H7TizHxeVY92jspZja95kt
94yM+dbeksJEYSjuokqr8g8UOlKcl3SyfOxPpYD9caplkDLkJQvEB42vdMD1Yy+DtOXlze1QzvIv
ZQ0lP3SWmuf9h1mEQ27dl7mtYwXdy0Z7VKwGu4E4v6qBvzrJUl916CaS+2LIWRkvrhp0cMXMV18n
eNVkvNSyZ63uG8AKRP3shWF267iUk9lT+Y9+6UWMI+I5ZB62AOXng8Frun5UOuCRibnwFtjnARzl
uarMfjq0uNkoaiis6Qb7Fa6ifrmC7mde/jGoCWp2XASTlSeoa9f6hqdhjPzxjomQnhhTJ3bKI/31
3riMk/+4NUCNKMfBEFw4Ch+DbeYnZr+ueJ8xXCVAg5A5iRBbucY8o+203aqvipVFM+Egyi9N3U5c
3fWvOEL09FAcDNGNJ8jCOmdwGrvjLQ5T0E0v6OdDvt6PZUcIP0WZrXcZpEzLP3kVbJc2ngvCuPuS
W7MnUhGjJCUb72Ug3RzWZ3PO+/R5mnNv9u/bYF1Ma409W7bBeOds57jt9F7xwGxpyhdsvwEd0usb
5oBe7RZOOp31mIe5jtmeq4wFpEpUinXQLV7bG5+lBUQqfVyqVDNkf1wPXWsGSStjI5Ugw7vWiMwJ
gp1cat4Hp3TOvXYBcl3DLnXzFHCvzrPRDu7TMez6b6ZnTGxca/CYM7t3rHWUBkrsQ9v7YGxumkQH
bGjXej5VnlU7/hEGoN6OnjRW+3c9zx+reX2qIgHL9CTOZYy9/3SqwoszQF1a+4V+QZtiMqDmNRX4
B5EFcq7WSe61ztk2pmGSp26BEGq//nqtfThQuQKWmqUHs01Tr7eP5xhyyshtttMLaitF4P0xmfPs
LUcjsireCrBMoRYErzvA9h0VT4nbbRBU4OiHX1/HB2IJ6CB9TyBhTgLUuziTPhwHEgST6OwVL4EP
VxtTmEQthYBfwzalyAcSZ7EkrlvliH0zwMCFhFaeWR4OF87E+bRiJSN+J3v18ZwPEa3keGckBpUQ
++fMexV4nIpFdF/AkSeWwYrGC7/gSpH0EcZGypPPHENhw8k1mP08fYvKKJDLabZxmDW+LSYa2NUD
bumjA+V5alSLplJSKs7Zaq4HPE7aLsnd4MEIcfg8d2ne9OL/JHLCMmMswdX9MTisdFQ+Ptu8GIcu
852eZdYbTaVt4SLDwYqmGWu8H32kSPriDstn5nl/gyz+tL74YlIMYDEWOLnjh4RtXZquaIpVvkAd
8WX9mV0aEMdVEhn8ct31Ts1wfnN2MqWWN/QJvLK5+c3y0m5+/5tuAPsABmqpF/q+pJAfn8FUhk1f
4Mb50mQjvKhHZ3ufWV6zKW7KYSCOnsKi6Xi71+wB76h6UvdZk4CQxAVdCgy/rCLTsbIwTJIyMQqS
4WzwdCR2pXe5p+2DGSoIs/4MdSTBDWvKZq8LmQaWxjC/CsNoxvzTkCC8YRzMoGD8+BzSxcQx1a6V
PuEn1Jnbd88I9YndBUtjdBBd3FR0CPGEem9KExnc5ZYKqVR42BgJ2d4ROAVafSy2cmzADFxnIP40
8cNr3M0VOft73606u+ijCY2Re+XNjkhOhWXqaG3ZEJh8RB4RdIiOturX5ks9rx3B3apx3Hm/Hj14
1+M1B+unLQb+rMCzl4t1G49S625ddZl4NK0ESYQ/DM8ri8daK9/PD0np2ZwDQ55yj0fPGahp7jtZ
rUg3DgsjvAhchUmiohhqvUQNjfbynOMpVI7+MmCa5hvyi/aj44hbhX7ZR+rJgktYPRgD7ZEGv04W
JlwUPCMW6xBky474Iviz1R7YYKepYbybQhqdQi5FoNrPhZWhhzv32Q87eAd33rxk/BV7K1UNdhd/
8/oPLIohFkrNYUcxSbKkH3DiLCkfTdotSM6qzCKXUYPbOfh9QNSbETHqfJ3S1BPnNEkgo9/8Qmtc
r6i+BrGmOp/9koOshN3FF1hewsFw4CTWh6Q1G4wq7tw5s7vuuAqeVXZ0qnpJsVmsK7co1Z8zJq5L
ejcCPA3jDp0yTH0PmPqSCJjYb6zFESBxmP5tk+CSNlvDwjMy8qah6RcCz5n4vdVqoIph2p417jsi
D3tk8C5bYx38leNzWAtHDmacZJUKkV5Ajwz6N/OcS2ti+GLkmElXJOK2im2EbqL+yS2HdQ5uuyjS
CVNeu2uQ3lRhjZsSRH4liB1vmO2sqr018JZEXq2szZzsFss1x8SYra/S9c5v0kLIxypZ5mh5Yces
uDDtq8RNIuzVS1/ovJE2+SpQUaaGrM7Wtp/MYBh4nvhvVJ7a58ppuE/yI2Qb9otwcBTAVKvTGfq1
rLi+b8vPdF5Sb3mM6wX6U66HAGKwut6NgsXgkWy566/D1k/RE3Yqk5swdDgZvehjjdSWrYWMUpM9
b0ktiAE5lcMdzU/eNNMlAqqdMq7dNQr8SeImUOztX1/DhyIRHBPRKw+CRQQYDxX4Q4aAMHSDHLCh
nkx7LOenzGz84mGpyeLfjNqhyDjWyKuT4P/6ay90t/9JgvlexPGRoEN4DNr9T9ruoVxNg+Zl+sIM
/rou7zhs1PA8FHV2O+Cg541Y1gSgV4URl8jjcbjkaRbxBss85XkdFTRuSprBVnne76q1grZ6dlPY
++aJVezkX6nodCxYYXjJ5lOk3I736JjSigjcnfA4uJ00KUIMVVYU5u0n315DgU6BpXcqHdkF1CWp
R7c/Jt1o62x2oubNcHe5pCupymZymOtl9UsfkdThX6UjQmkYUde9YLtq2/R727HFAtaq+xyvnK6O
elc7/5BK58EhX8PVcikka7NLfnM+X5rQ//uYGVNE5A3aDv+nNTY/YADRbCJi7zrZ05yEI7lVWGSe
vsrO78O/CWV5Sosir5LuS656ar5dnS5z/o2saeTIvuaJqFNEq9xlYmB4YO84ErfZfScDvZ9+vSw+
cLdJJliD0LY1VS7ivz9eb+5XkyeioXvORIIM8cliRCDKQcJsORuHyZ2nrH+w2qyPzB2CqG3QHAjR
xeLdRUUCbfZLlBkd/qaTXAkCh6otg1AerXSikLjpbc/hkrOVwRaBp9bKVA9MyLJVzzimdyy4Njez
fDrZEmsF65hmgR5TYKy6xa1UcKKhGlc6eDiZv6kJLwSNH94TG4GmsBYYAqqh8/cjXGL57TSlfjnS
t1h9q/uaz8zsTt9E14+EAaex+NIYIy3cVk61WGy97hp3tbq9IAyHr/jBY96KoYunkQPL7Nm/khqY
v9DImXnlvbnAvy/AJEYNAuXbB7tGludoLI7W7E4Q5Ds2R+wXJmH3DsMJv2I+Y0gBA89+giJofqxU
3/Kwh9rQSYrlGIVwv7eBgbfYnbUKriSVcs66fS+AvKbbWU4LCqOmUXT4wFkTyUmyY4bRmiUWfYkZ
jeJplsxYyxsQl0gZx4CkzLLjto9GC28vjzQETno8L4t+y3JI1su9D8Iyj4T0yq9/g119rNooyJF8
pzeJ9I3tBR/R+LyfBS3KMXqi/6KU/BOEBSfVNWOCwYt1KsuhnuVKb6PZdnUE+PUe+BiR9egfSwBs
QNeMP1WNTcsRvBRV+ERwKNc3ZMv1EYA9VMASsBkC5hspIzgq/s/fqzvAsGLRiWMQ50Muz6yVLyYX
oyXTZfbgzUW9BXh/shu9zfvZIQwGJdOgv8UKP0CFWvQVsFDfsWb8M3b449ovIZrN3bSuT8pi6XOP
Q1s5YnetYji3Mru5bSq4TwZqg90svc9tSeWIA2aeLQyZN62bB925gQ9gwZHsSY//BPIJp+l34vkf
YPvQtimi6ZRztRjCgFT/eKl9ayLEgc/yZ+TOZjamLzL9VmbXWfidvJzPYmqjfO/ZI3yXk9mJlLdX
2DS+s98Ey58Wim3r0VsgBv0/RtJ/vBidjQ0NLY0npnAFa9NEEI216Xh9wHf1IdpCT309ifXt1wvl
g40HpSZ0OFTXmA/xWKo/FfNROqdrx/jk0xy0xnCuO6Xh5bqe24SRmcHT8CiuWqMKdYqfNcXTNbVN
e8RCSIKjPiHrmkK0faE4WmLlsq+IYyVbn6H60Jo10GurJR3Fo5Vm67Dug7lqyM/cZio88e+vb8rT
EfaHCMwYFAcP7xZZfg0H/Pg0I3fJVk/l6umKOEeyifxPo9UuYXYQwYpq/40CrIXNVReQJtMb2Lb9
IHe+Weq0JGVkgLsZOqzgjFhRHpYN5yxw3PMqcU40dqDOvoMTNdrlINMO3l82ZlgwAvCyDGDOFeOZ
uRe/cE7ugKv68EUxTIAP+JaT2RNaMtQybqY7Ix2g1eUXOjUoq6ywlMFeUdJOZ1ymTVk6J98QzM7G
SY1OTH0oiwyK7+3YqsF4QbAd+dX36+tYF6URt3XEZgWMERNNhyrRtRockf20ZPQJZbUL7g6CWLGa
r1h5OeuRrv1IL46hGWlIYvQ9rl36+lr8X5bpRDkdMqgcyyJ0a+OcoujGwBDO1BQdu0BhOfO7GfGf
ojftWLhHANcoef68Nn3mKlYXAasnVTt6h2ryefteZkmkEzcp9DMMLCQez70ovN8Gs5+/Xm8KrR2s
EQkgkR9XEbmLyGljyKcrVAtz2yReF2Po8/34iAHlu17hcBVocfDS418v44ue7g/LWM8PoQKrO4zM
wH1MJLLBzXNrbRU86VQXr3lJPgQG7KRjPu68CeGIaM/lYCxy14Ls8AKRk2eNHIyobajdriWwYU8a
Fx1JGPlhIg3dpsCjQPc8rlXT0kSspaT3OiQGhzpVY47IwOVbryurckvdw+nScai8mwURzApBSHMY
c38/WEuAFTRQAFFDxKWos8r4TYT8KVz7IHxo6NOWpk2P4OePb2Mu/cLupRw/X0MUVZ/LK78m7g6o
QPteMPY0nH38MVgtCDrU8xOCCr+ts35kc7h65hbZKPgiTHVAHfnYUUysufTSpZxfq3owUg+uX8V3
TMVYEqqjkPX464XwE+IKF5i7YZxMdwEj8N8f730yPD9tkjF9zdxEOM4OuT3q4thaAAlJwZosUl8n
zNWTeOiHpKXXT6wr511hAgV1cSZpSP1uc/5U9dGU5BHo/Irex89HVj+Xw9I0VfaKwquOJAuz9+RR
BT1C0skt4Zlogs1P0hh5Jvgq6YRjvZwzHGtu8eBly6RPXqAgHqO/eoAYvTD029sCZZU61foW5L2d
y9OKtIP93E54uVc7DMN0O3lL6FpyUXZh7yOb+nTt2wmHMWjI0VXFkkBak8ooznqFs25UYRHSxhJ+
Y3DfRjWjkNjHBtLb96ijsrXbALks+6YeUZYttFPKBU7qIp0fWm5lcXnhaOiaft4w0l+/7o+5AJue
pjm8B4uMIEK/4ce3PQ6WMCP6IC/XAr7qgkEdG4Hv4xEEYEFkDDkJvdt//b00E/jk/x9woD0S5shY
obISeeDDfIh4JoYjrHZlHwcvW40wDvK0RjIDNr/V0mcaKCVaEGkRoTa/TtGcpAdIOVnzyd4aPb5D
7WLfiKCzjHdrBNABwE5DwLVr3+raklUNtYSKq2CoumxPd5Ntu8syDBYeujSYFnNXBVnmYnU5mLrT
zFjfiINlCSpWPpYTtB56iBQhS6XJHlTykFsYjopiV0lFIIqyosOGctSN3PcrftjgVoTO2VRHq6VO
Euitx8I67z350FgwVHDMjOze/goDoGyaw+JVTvBWrInHYRy4xtgX+F+vIA93rZ2s6OAyBBUlj5NJ
iyvdI9AoZRnXXiEanH+XqE4eLH1CkG57EYyyfZEoGS2PS9fTNSZtEivrB9R4TYubRcFIWM5mzx6Z
986UCGyD4ZRrUM2D/T0bfywLMGOz650O6gSjZmVjvLoTNjj0FZuoW8oj1g4kRScRomlkHqYlHFat
WD4sZXoQCvXZl3AaiFNVPuojC24v1vXAcll+SssEozEkrmo28b5rh2kO43XrlAsfxJYv8WYDj3jb
WEhh92rugzbFkH7J0noH5JDlzhkFwGXsXlNqnNy5NduIIvJpbfJctKCqTWD20IJGWXwdMwTF3iOG
JcPzKPH2TncF44RjtpM2447B7tpeHy5BQoTZyAvpimRcintkrzXMuqHbV85BtDXsDV4pkWdoE5B+
tTY6ERoKqQFDNXJQ9eQ1kzdWMfhdp/7ZOp1pXrM8s8CfOET9he5It5+cBgJ+hxlc/rt0m/Lrxz3G
SQ6RAw1F6GpUZhQeP+5utnbNII/0zqrJhKPiUkZpk79aQRLQuK5QYL5hMCTy/AysrC6jjrHSxU6C
m6mEq4DE9iyKu2YgCu4lMOr9BCIGZD5a6WtZYoS1i9wqnR7soOr7XTa7/q3JM0AQlGlhNy1uw3Zu
Sgyu0QFGpXLs+LPsVNmF0XzK0S/sbw0JOn5C2UEK6IpCfU36YsmPjiemCk9cq3umXBLNoQVVLnfo
1pGYysa3pzPDqYhFNU4SoR2WpMGwE8McIIZgDcVs3UVRLR+NgNQhNr2U9TZWuLJOYerhL5uFEq89
r4luU08x7+DmdXBPcYE2C5a4MuRmi+ClRMvhYexcNTHl79h/w4EWt+Xs9T7UAsyeuyoamW0X1tuM
1CLeW91XP8vaN8Oyi8fSNWYrXgdXDExgpGZSKdoCGcyB+5bjyg73s+euItrlTlf15j2YlvFPpFLn
RHe32i9Jth6kZLEyKxTecK8WWAhFa9zQdnlFCZ6h3MgdAfSj9X5YExcp1jJYvpilux6H1nWRALLK
/pMSrfzMDHb3kBbpeiyWwXseQsM5Jfg2HJpc6j6u56FynBT1CWdqJPNxKdeQTvAAQol9HYyDV1N6
3l+LHWZfkn7onhajS+5T2hTnsu/QeRyZZto3orEAwqb14CN5zdG35vPZdIbxrsnF/Kmxe+uwTl1+
KHIXX+9CSfxyA2v5R4ZT8dJCe/pcueZwSzMje5wCk8kbo8tb/OW79c5cyugFdL68tdLE+xzaKzO/
OXSLuEjL8M4cc/dL6Y3dl4j21wleirFTXoeHejdKTpPar7QIrsGc8Bi6N67y6xc5YL6O2GJHn2hR
xtfUFs19hEvVzrfs4cViaGQ/yc45TUgLPNhOylTlqtbvRZc076kvwMSWxNg3qujifk2sd4tOy03Q
LMUNemXLp9U2hgc/RYvDooN5zqBs47+8LnelFGG+E13jfoZKFM4HiEg138IUggE+cCelixhhGHbB
MSyL5N+wmN8geI/vFsfbqVryKC4oCON+8IiHojBfXQLwwZiL8JOXBsGNs4qGNkbPDaSV772G1J2k
2BNzffsmbOqvY5VjO04G1dyzNMVO4ffFPrG1fjDNi9gMC+s+Bdj5OgvXuG3tLtyhRxmdPcLJU9OI
NubMrN/AdtCWWlX+NasLwZC9Xc+fW2+qYakzfxhVtIziaVLOsKumsn4noFZObPNLHnPwFBjIQeqL
GV1p/8QrZzx6q8zPBYM8xIxsLZ5oZQ5PcOSdeIXpdBqBw+NwduoXfxKtjXF6YxXFzhAqQ9oinuWM
Dkpa9X8x1FY/ZrRhD8ZUqWCP3zgTM2nB3CzwxtuU0zecx+YPNN8Yl6isb0iFv/llNUPOK+ajMQbF
bo2YfcJgRRpna2Bk9T5yk+qGGyudHV0x+UhGwQR0SW2k9m1rcyRniBZnMQqihNfahVtrW7n5tTOM
eTdFHlRiVxp/GZBVcYTuhAvB3xTlPz6Tbjd5Zrh3zbq0f0dVY9wW+aDYXO78kLrOdDuKPpdx7XvV
ngq4/Wvi7LizFs//QjurfaqS1mQuPSuGo79M/ptt9VW3xy+0uw0GL4DVSxL43ciqbAGJlAM4gE3D
4ZB5vXhoZwfRZdTp5V4WXlDHURAlWfinW03hzu67hSYiT/gWJh4uIQ3zOdnq988NzZ4D87SZOCpG
N57TAupMXIdVwg01xBIoJM+k7caTRa/oe+MshJ9IOPewHHIR8+DN24m+CaZoY/UKcO7F87yGXxOn
Sb8Uqdn2cQO3eI15CvLFinLvmM8WtEmRdOUpbULxt0v2fxMYS/bu9k5/dpMhADmZst3or3YZz5iq
sjVh/h9pBLa3whY1PhUVcL1bJPtcSPFPiFQyXnAh4x9WE9FGctMbPElwUFf9cAD3TO+qVcm7ViyP
XPi3vPerb+1qIR6X0k1s8Pu5t1pnOHThKvhXnoxuC3dA6jtA7mIRXnd02imtYm8Scp97hnfvSoZ0
A2n+DQbn3s3FjJlY6QynKbIS+Evs3b3oZPknQ6MZ5Dyv6eOqGKIb6aru1aeXQgcDRfFHI2XMhUO4
ea67Wd34uPKizNC5p2lZkhuX7873gXKN5yxUiiZgHRnlcc4LwVhLGmb5d4MUnIG5PvEB9lcRUlEW
q6WxBbEiZkY9U6Bj8iBXEjWxE1AAySLtKBXp+KnFDkeDhZcKVLaKgvgKT1xroX6qB+k8j2GveyYF
AYW22VaihUORUetklQWR4jDQJSwjnG7SaRVvQclaHvY5XHH+irdhySRXulTCcITrRc6pG+vYlKO2
BbUGWr1vsxjS9o/Ei6qZQZoLFTlaa1yJSPvDNj9HtVe739ibGm+cjQHKwK6vYL/sl1Gp9QESc9rd
dIlhSFDhVC4yZtf59WNejQMDw2nkDflhpOmXHYy+c9BiN2rd6UzqJfxuQs1IbuGUWtWd7RakeAYE
5OnYBq6sn9ypTfI/By9tBgnM0TfimaZ/Ylk7KYvSNu8AaGfPP4FJpa2IR6gnUL0mGK4IeauE6aTS
aQtG1wVd6uyYTDkHV0yR7vXAazNwfrkVuzmq7tl+RNkw28PG44+jSweiXVe5RFg7iGr4Dp27GId4
wDDS++e/5o8tw+Jh8jyZ3i4mxplxiLMb5naJU5W7wS1WVODFFIjDmE8Y1rct5h2fr7RZpIs13I/j
Qr2+bRVyJNc2pAbJeIxBpqz+X6om3f80l0mXC7NXaVCtQOSB3uiWGgtmyikUrpSyqpiwlo1DHQWe
rq2bKzsqSlzGWw+Jw+HXPZJLsSQmCi1qeuYSNZrujPZa5bs1NJgnOtGplHynUA7lurHSujsjDEfS
XjCvBs59Sfvr0tFs66WFv5EfWee6mqdjAx5QtWPJb2A965/R2NaUtys7u5lsTRrMzEl32cySo+Np
qyPkXGvmuabTzP8hiq2oQQTOVEGYWZ3NDZYNMtyXgOA7XLWaeLuaAgnPHpviC/TfU9Lx4Vt5PihL
f2yXVkld6uATztY5C5SnjHPpMr8GShbwaJoT1ffS2Z8S1XTNvwPKzF1+R13cKiDmiU6FvF1RmZ7V
zkaMVTKBDFGUfbqRytHRt3sYPNkcXli4TSDZjICG+lITwD/e1JJYBiw1qByNjTaFV1hwwyvX04+n
aUNW26nNpnQ8pwIKz9vYu7rx5ZtovD4VW0N+sKsMWCW1qQ5wsdWqit9hWKZoBwVJWHsBq8fP1zeo
tcAqbZQOKAxSrENJiBso/T1TENMKQHNi1HFE+f/6rFpE0mfz0AWGsmlHgbbzxjYeuLLtNXO/G7g0
uFlcO+RE5iFvB9xJz9GUXpZP3WnoCDsh//JGEP7JYm97TdeeWupOIQSHKmlWhi5UFukXigXdWnr3
eeGibBFXgs46k7lOxSPI/VbjR1QWugfnz5k15ycMxsac3CcpuoVskHYsl4LuQckztupw4V9PvQHs
y0CKXnrahbd9X7bOIUKxQ9DsTFZtWmlgqnW/0ILT/dqBZo6Z7URO5fAwp94cjjRMcXIhhCyDvm0r
d3Xbx2+VokaZkYfFOrik/zK/zfQP+vdmMZkXumsiQfgv/UqPlvRIsQuuYqKP2+8Sb9U4VSSWaOEQ
GJf5b6waLPPVhOkjic5RllfHkTke9TdVm/iKPF/qTUiQRlbxbGblCDVpdjr2Yd+1ufuWIVpW3gvs
gnEJoR7zn7ZYMvid7ts2lxNmSCtDfDU8ZHvR7R5MIFdDmcAM26ZrldDPfGyRKOPPSyhq6LIpoZ+o
XaKM+XZthhYDPHuy3kvxziQXS7KWo2bKwEMCgYtBaHzAu1B4dvHQsWu9v6eAxtI3ZHdAeQpv0IV+
Z8M69/7btBfm34YC9YmpSSIM/GYaI5CuPTxXS5NUX6VNKwPp52WcFzNeXIhXAnUXHY+ukGV++Q1U
J305pQGqflqqMFp2CUYdknrwgv9KfNTa9+0RdUUhqzb2knBJWAuUj/Ofgaj5SKtHHRAJBSjbRLf1
0p7dMMrtxC4iBDbYBohlcNojsarPeQdAhR9OiakbkFOdEtS2GH095lGlAGaNisX53nuNi3iNyTTC
/BRRr/Pv6w2nVm7KY7WXQPNcSxgR9rzHQaz0XrdQBoEpZ09cUdASAe71rd8AFN1GNYZP09LpQFMN
vf6LYzsB2CZM1bTvoy31RgL30peI6YfeqVLRhRo/JTQauPyuotnRxMlMEpDFAD+aNbwtE2Az/TfQ
H9Y3v1GWIOLq42edKNeJX7U9N805V3Y1M5KwBWLfNFBk2uN3oRtoFmQgjT6qRHBxUbTo17Wtl8Fl
NEaccjFNhESHIb31zVcLnNcz9iRMAu3SAmGIiny+KXI/OJRetRBO2jlnzums/FJHAqBBnfOkpUns
W/CQ525qTp+m5ZxrBJG+8n29wLd+7X/8hiXRPVGFeiPRdgrFZf7psnmCzNSL/vqyfegy61ujmehN
3HapDjf+lOjjWVS9Jg4EDeIkZBK1ppXBBrtQumgGGtBWV4i6JL8jYf+hu5xxaMCqsbtJBCbsuCUx
1FGWt8CfYdudrJ6puPpzHfnzTGfbr1j8J1D+woQ8HoDmqNuiyhQsDUVLH5bj6EKHRTsGCW7h5zeQ
uTQ5BYcCHcQct9O7nNlGvVp9ZpQzuSvrUg7f+tJqgLKdzq1csfdMtQTT0bIW3SowaSHzZJwKOuV7
oyJNH2cERXe86eY4/OKXpI9P/uXIMcr+cn5fQP6UApSLqxDEIFxt9KVrA4KupX6Ac4vOHTWdLziu
kgIdwOV47apvhxc/9500dkBwyW6vzT3VrHWQ4cllmo28AeSn6YRX7uxyaUyf837cwVwNx4urqnTL
vTIoKffT1DIk9chEAKXpPnWyOSjQa7vwp2nZabqZps4Z9pd8CNcyOqptJ1+X8bah60zhj/qQCmNe
s11L675p/+6teWoPDdMaatm3TCRxF9dMB2V3/f4FnhjO8A4R/7K8Lg2XNG3QqDoXkfJITfygFzwr
0+101M3gH5OYzb6r2ArSBwd6ElsWbraJDkrXB1h0uea84iCrTyZM2fQOzZMM1lksZproeN5vbIGe
oXoeYWfk8A3pWPd5Qp2CFBk06gu5ZXSjKQmeOpzcWMWQA/VB1XGU8olVSakKO6B29WcI5c988LUx
ZPTwE7L9lRNBra83gTSZPgWPdE1Kl6cCk/feeWxI+hiirXNDf6bFEcy/S5tqxS8CqYURiH6Gu8xH
K22Spm6HihqqOdfMf3eMbwxkR3R1ZhvC924tSoSpDl29Tlg9b2n0tUlfdxDTwrMyHBH02tvw0vli
Wo03YW3zXy1JCxfWXNLg7URUkdKHt+GB/3j7IYQcg0FvX+nu+sKwjoTSv7iF3X0tCk+T9a7pLiAM
2koHelvZeG66BSutx+ua6aStG70T3HB+OCSYVi2nMEKmYDkJ+onFQ6acmnSMrExvm9lO2AdhaepN
dn2uUO70TokYy+BC5mTQu9ecCCdeHPWBj6HW3MGXrnbb2QaUrolpC2DkdAgcc62bfe5jb0N9vm26
a+UBKfhSgPR0i8/XsC+2trm30V/hn5tc1bVMWqAjagOdUnT0P7aKNG2gy3FS59nAM9sO+eueZmBz
u3dqYrQYtsbcYgUM38SK8TRVHBvsEcfzNWAb5aS5wNw8VhL31/G+SuYZ62DMwRiWU7BxKcPF0VH3
2vJzF6ZNaCtuR9vWYq6HRh8515Cdb7F9NLORH+ZquuQOed7wu63/LHBUlKdxWp3JQuNdZ99h7q58
iSEdRpvuMmER+Q4jUgDczPagtyUXkRnyjLYf2UgX6xOAR8ABgHooL+K/t4l9AU8q7Xr98k13Bm+K
Yexz1q+9oaMpPj86K+pqjuoFFG80fGwUorAAYXTQnZdxSmcLGB/IyUxRx78QUrb34Ayhfumm13PK
d2GqLz24NFWvKff1II+gtPBVUTHrs/j6O+AD/YqulAMKQn1AW72XocuJKHrqQVXYNkXbS33//1Hz
skGf/Ti16eVaz7POYjKr0+Gjg8WoM2awFr6PoTgmYo/XSx7kDATQ4VHCP3OyLlvfsgSanGZS0eQj
hbqkQLCh9VLfzgF/AzTAKC9Dd+vKnMWxd1r97DGTQgcJtrKrRzAo7fSiNbeSVDNeed6p3ehK7Dpl
qqxA4yjRMklC7toxFw4NA3gDqpEaZ/0ylm0wtAHB5ouuJMAqDDTD5Vr0rl6pK7Mrx3Ucpd6fIwMJ
fKYu1/S1XHKYa7aooglm4V6TfxovHpIJAlN83VvUqmTjDJ7o4D9cMrYNtEmdEARz54EOBtCzOW54
NxSjF2xoW8mVwbKlSLr076fZ1v3ILdm9Ht3M8JNlut18qYYypudIwzZm68Y8bEE1WDD+BRqxL1RW
2gQ6yduyqN6dCEvVlumnrtTMunyLFEU+Kgk2SnqTGLfWNl1mY8tXPIwpI4k6eG9cOce7oGXbWr8+
OyNzZr54g1uuO27LNWdxmSFAuOayJ7bBXGdY6EWA+uv0KUmYe32vi5aSPyCQ6de7wV2mkBeYbDtD
r/xbUxYKIWzM5Iy1h5iQjcUjYpjmOu1ac47wU72UM03eaZbDlmrTU+hZPN725Jw1lMsRfrKJLQVE
D30SBtOk01jLLnWj+IrPeU5+2Rf/j7Pz6o0jWc/wXzH2vo87B8N7LiYyk0rUrm4aolanc8796/1U
V2ktjgzJNrDAgiJnpqe7wlfv94aQ7Mxn/p6LZSNfBP8rQrv1bAWpWLwVBQItoFjf5VHAl6u8utXQ
rTYIAxSLp+65neDSeHMYm/O9D5xI9KErJebYb4sFD8xuZo+z5Ul8NfWKsagWICjGoi6R+Jc8AGkz
xIF74SWGnw8N56ny1SZConbSZPS2tuPvK5KzmRTbpNPpDekUrL24RZ2V2V5e0t/Lg6U8QjcUxwGF
aKojPWcxUeurnzCHF/CCklxnUtPMNOWUKIeDgjDRWy9t+ww9Fzps0aInf6MglzpKe8+EEjzrpxiP
Zm4pXbiNqrINZEk6Q19ItupVKdcq8EqqWOpEDEoTS+u6s5wp7exP3X3B8l294dheLPh7wgD1dzYe
+c0L5EshRYOW7jEp1O4odSOKmNyhcWUxSBqOKcbRjbu1HW8Msp3N5ATluR1RzmhRxyBV6543VWI/
mP1C7HqNrYuyp3VrUeHUW40WMV9Z/xSeUnGo4/GN7SimqjoqWe4kygZclIVgRC1WXhkK94g2zMXh
tJSVW4X7Jv8YF+A91bUJJZKf0O9ZhGaNE+rBmipzc3vIzEb4TGA5FpMG6bhhBsakrrZDG8AB0501
Iaelsyy+UOQuWEef0Sj4xkKKiSv4d7nhWcxLmHH84IrDP7ePSSIG6QaO+xVqhhdr1Qy+FZNYcN2n
DTiUWJ4i1WbbJPJSoH8OpY0tyoxWd0VxLHQYYgoWJe2dQz9pNf8jAV7nfg7dJIpkxE2CBwReuvJ1
nbUVQ0EVJqME2FdZSSmiNZXj9p461CFQSFnWlIUn1lQNaT9meUgY4DbtLbo2AAmrC8p0NTm9R+mo
zpIY9okrkvWBsR3xh8EozIiEWsPus3egy6Iwh5slhgC2deKRGguNEcBQVP5+CMsDORl0gA20iHPN
bfjDfuM02tBM+d7yzFzZ9oaQZahVq10Cw4bFXTGt1KTwooImQwCmy+yzcR7hxsBRFbVfZzfiaNsS
lOcxMzOrAy9XAITcAJQeKpi7aDgWft8mHX2nrRRVkLMuwWMXjiaPMJZVnz97JU0MhAXiMFASusE5
dK4KgSlMgxXZ+r6aym4Zn7UY2ignSr80jPkG53eUb3vfLYh0uq9RkczOQx8QFhIIrHQN6zz+Orc6
NdTJy0ozfdtjapq759h0R8dHuWZEA3IkD+oVtXu7DsM+dful+YqepRrng4a2NHvgqE22hVvjATJ8
7FAkYO+ILjFOQYNWEkmPdQg4dF5HD79sgUYZ913qlc3t2ECKis9Bzkn8aYnHwboul7LKn0uG0b8c
jbbuc+4OwXhy0w7TZ8C8xQWOhzp1U03N8IdeN2314BlWWJzDkeuDRWV1S1qdM9PXFudIgpZ9BvOL
h6e5ZWydCjNc9HNd6dN6a67pSK5tasIMqkyPuiBi+YVuYgdkRfdO4Aw4nM3wv4gznW5aZ3QrkBrO
d8YdIbdYM9eQu9xTT1tv2AXmOlW3fpKvenuyu6DvwQB9dJLJyc4nDc1WUmGNqMEezhfqWHMJGWK0
AGcNh2uC9yz0kHppEeBhaJVL93BtpwUWkp9ieb6jhd3a875KUNikuwT9mctRk/XBPehMA4JfhH/1
XUiFb1Jox9noBTdGm+BSubNGQydvbaRnNT0SnF20nyunhNUSjLEz3RqGN1SnxV7IgFuTXL9KUqxg
GXvt+FjjdVFfNyCe9n2Qd5V261TjUH/xWZTrL7XuuikYp2b3y6dihe+UHREwj0T5dgMaTJBhLPtf
3ByXDw2i4seYJxGF33Ds2opoEjFERGvDYeOOybHXXHKgp8Gzqk8iy4ch3g4zdbgSq0jg0DOiSLuD
GWO6T5BkuDO71g6WCi/rLqNCgBLMmSFZCse+imi9EKtYDDooaiWXZQ0SC1O1lhuFKpRliW9uS1FS
YcH00Qdp53AgS6QqwvxvOacbwmpKSZPkb5JqDwY8WxDi7+kEUkLJNyEgR2warH6iNpfvYhibowta
JtoRqpeB0HPymWHMg3A5zJt6UW04EvKULdLQMpttbbZgm+2hUIuJP1RA2cneK1INwZtJEO6HcGwI
Q3mc7bXU/GPWG5SbSeKJI9JqwPT72qHOqkgo3grRv89sojiajYbVrfOrqnrf135YviR95oZ/TThJ
DdezPurFmz7v7epfsr0pv+2icKdOmC9NWsCBL1mmBITZyfXepBnU5c+ohbLlWIEuDv4JWW40Wwcr
DsVGncm+V7JVJRFf0oTDgXlMUt45Q1r752XuoWaGuoky97Exhihfzhjy9Kj6BofjRId/iDF1lBRD
mT26VhmufwwUHmgXXYiU4z7LMvCCo9VnGI99NnMzNbRz1eU41I1vvY6395orqD5GMN7GoFfuqO3Z
8GPcmYlrSyLE7fumxhN9Nxe6Ux+HtmlJaLdaU9s3nDirh3oOyCHiEBSllACOn50SyqKT009xfg76
BXoSJG8Pq3o9Nt9lutboD2RBdQeUWDMtozz/M+sT57n3a2oP0x++sPn09cFb9eVIaHnYH2Ae8qG5
F/e3gIgwY9uxnr6OCRjcFee66m0MivlQQJO+8dNxPA5TwETswZftv2rsRcpDh4C9PcdjPn9pbShl
O381p2Q/dUP90kS12d4tcIAOHmDKu9bx29uJkLA7BCtWuVsn1Eon0ymaB9eZ05cFgfsjq1vOU07t
GFCusD7EdatdeSHrvGNXy3hl5sZEDDGHbP0TGipWtbyu+o+UIdFNx8MnYy+sBssjhRB6oAn6/RcY
9HyD+X0M66PFXHhHC4Kbl9Wd+UILInPuTY55JVzmKTX2MQ3tZoeXIQi54Y7uOfKo9HYJbS332nHW
JEN27EcpZDCze1lL4gt2xIlb+o58BXrxHF0m8j8Se2emenMPxZpucUmcU3ZIOSDRt2uqa68gOis1
rOkuDSPjD1+vvE/DZCRfkjgbbmA+Wo9k3DHKAjc8BbWpw1/K7Rtz6jJ/34PbzztTD9sbcrGqP9nb
2BnGtcv+1Ay8QuOIecdR7wOxNPEfIech7GKm9KnUA5IpzT44O44+nyxr1j+ZhRk/h4nj7p0gS06T
toZv4xTujjeZOZ3YwZz3Wuk2D6VtsaQmWjweYNgVzdkqvOSvudKMd53fxfMxG/X2C9xXPOdgNgIA
2jHRh7s6i1hZwtqY9007hTs0Wgudai2rH/yeCIyjPphFcRiD0oJoqifj2XO96XMacBY7kBig7007
HCGG4ASNwaV277DH367RAG8wXpx3Ron77JAStBoWc3DtlEUEJ7KfpvAa7uYQHVmXqnf+sER3VYNc
41hTwb2ZomT6y6z7iAb0iJfqzkrrrj3wRax3lnBHeNJnkXhCH4OEozqaw3s+Nt91UbieUAwVX3IN
C9z3qT9iycMrTr7oD/wrYc/8jKVfGV7p2ugOH4IFMpNz70+z58VHjt9r4L4nxxp0mxRF/iSJzrkd
Q+jFUIMGqlbtNayyB1CMKjSs47oABSPc74v5cc2irL83J2j419BzauMaHC0zXpalJyxn7weT7zxH
I4yOYYcem0/ZzSaQMZUdri7Fo66bRcbGz4TUyXDLFs0NVmvHhxZd+phkawaTqBeNrjW5ga7M/p63
y3QoynDw7mc91elEVyjv7qYlorVbjjjsnM0lWZ+qvp2IRMyc7ilJA7vCMNfAErGFoAglbZfqNNiv
FrRq1b7O6RUd0ET0y5l1t9GvGQa59UTGorP+Ukb8mieMmRQ2rxbwAob+6Dl+MBRwm8VwYHJdWTgn
0x6RB8SeHe5XtgEXjGRhX2U78AxRtUBogdrympFs1ksC67qanxZND+b6Ky28rsmfMX0qMmw5/zbu
fJJSgu+tErGzef21TBjPJtMAZ3u0osKk8PWH2fNq+hVSuqe4osvU7DKMZViAYqeuWZOd2B7n6ork
chPhXeboUEOiqDZSh/b2IP5X52HFH6qWoqW3M+KCzYtsNKxF/N32gxPilensaQyi3UfdYbvuJ9cc
LP4tRV3ECQy3F9EfGnobZt2tjUge0no/sbLgr0trhL9EErdyGT44ivbOYAIJdCsdhvGZ9S5d5+OY
wo2ER6nZrRXuEnmhGlgwX8ybTfHiMNK9/CHOkcCb18XUOrx9va66+HocYGYdhp3VYdisDM1KbIra
8OS0URDkH0p5IybqhXn5yCqBq/XeNPpBtx5xpBuT5aaA/uYOJ+aRYze37txhxvYmwk2GL0DIGCzg
o9tmMfcs6QpxpI8DioRyZzREgM9Xi56Kc92Ir4BbXDlzV9vx0aEthBUOnud6nsC4A4bFutYMmyG7
i5qp4YGtGA4k+nWM/G8Nn3LbTYz0VI12Hq57elzCGCfOJzxX3oRUQu6nMPfFpSRW6eDGlAEqoOtQ
z4Dp24m3rG1qp7cKvAr0zMVzpsymLq6PoOOrZT1A4/freR9w4sX4wcqMlSJUayNxfSsmKNicGgHk
wvBaHLd55NosvjKuKBMHMIL4VkqYuMsEFOyjO+SbV06FaZ0cQhoKSR6MWRrBoB3DnmNAcaiwumrj
Y13ZDTfRNkiFqa46YlUL7SoLaR+VeM1vrpqcHg09vEnwHffmKwwKsQE7RIPmddG9Ppo4Ae7aMIJe
e86WZBy8h1pv5jl+T2u2oFNjupnDp9e44HA3am+gZXmNOxoj8zqpaf6hCPA53ei70VoCe98ndW/c
ddJeEydDpJL3c582zpVGWHB0jEy7c5PHFF4g10g8YM1LfzGfN+nZd5IhBO5IlZjVlo2qwcX96PV8
5tOx35zz6mlEAWi39OJNS7Po9cPwL3dNWc1IRq3eBVTfS/dDUAuBFvvSl3WJB8MpsIKpTGHkaLo1
yoBnDTtIP/pjChk64BfkpAW4VEhDmoxWEXk1sM+LcA93pewqAoJ0rfR2bEeUYNdz3enc3RGXVHpj
eGOKz1O+t/BwaFLOTgg8CedAmOau0qnX4S34uxj1gWvvDEgERnOMbZjCxa42R6wHSQjKsH4D/KW0
hepdW4h2/HARJ7ZCG4VbTt53wjZIOeY1aZnjbreDUxcwllM66aF3xAttqvvb3DCsIvj2wsXMcT3f
hz0jtqBkGr2lOSDhIavkQM3a+wXnFW8qP6peSmTVY1GfZsspRvRAGqMe50op7YxNdAWQMDYHKOV0
ibBGuFkCVIXt41pnmNRCis5qHCHLNGgAW2HYbO5GVRcnVXFLRTwTzrm4ixCNKu1ot0ahlvR7rRgE
7MLaWVTRo+ui42J01sHY482kdKPKhTF1Onttnuh5OUZzhURHmFOZzSJQT8TNVhsenBFnCNgZeAXx
cmUmGZqbaLUhF4mHqIy7lH7MrJFJ0pijYe0RbxeHmPJSgTVu+mdniBPu0ewcDnfXZYZwES5vtPkF
BQy5xcKSWcMo8Bde4q/Fwngt6ESqEzNkYo7nGeZlsEArFKFZFKwPEeoxoMt68w+Q/EPVflB+E4r0
8fOJ+Fody8ebQEkMV+Ad4o9/2MNH+stVYfvzg+qjK8KVEsnKLn+UFAINRH8kJpWCHv83pgIXISJc
DUQevJANchaQ31uXCkYsTTzRcEx5bPawwDXqGaTUpAmrga7th6Kz0uk41lXFXAkmoUqLE5rKGKBJ
toQarThshV76FFNOFO4u5nVM14DuDPNOQg+oBYU6baBFlHweKj8qxrdZVootTTmrJWzAbnGMWLip
3n9+1zESuSxngLHZBclwoWAEwLlQ5to0pxHa9tFjGVVYxh0pR/yyOlGKMOyPHdYTzAvADrHTwDt1
kS/KJTyo4rrwYQCzgxXXpt9kTgq1YRiGu56zQnkKXSfltUyXGVsha4zLnWxoqn6A7P4MOYwJ56B4
WZLb6tnYrOI6GhTiUxVrwghTgTRz4KTJsu80JMPLEfBK3Cl/aMWbuEONIwHxwbFBI8MkWu65sItM
9BDYPIB2S9mkTDE5wMIJ62aDOQwNSfRSmykVzU1t0gU/RFE7IQeBP6U6S/wjy6PpdLsSU4TlzoQM
A6rta1rLBp6P+WYkPEfWAgmcI0sy7Oj9oqc+KV6ZbD/rU4yzwxsLAlT2DgUpNCyp+Z0Legv0SIQN
qBjamdWupwFOblUcA2kWlfUbwXAZtG6i6OIx1LdSpKyALwSOovXgF62bVDfjxH5XHeiugGZVWubH
07zTV8wrhttoLQSBo0sDwVyRjHxbrze+Vg53FyKGpBMobmPb0P3JrjojjyClKuZpP5uimSwb+mlF
QMdVGdCrXm5S2edWF+wRWcJl9a0vPNe7heyKFnZfJnpjudmFnr0ryjxvRSOqWkJ773AO10gjTMEN
hkeHoKJoPPuAF7l5MpvYpm83ZbZo2aCHICuZ3uZ284YSGMV7kyXZTKgz7I8l0U5mAiyDTVHlCTpu
D5uaGUjo8xREb5JxqqP22oTtEF/H2NBT2NXA4nyAovHomp3yanb8hnpwCeg1vIw1c5nDVKJHGt03
1ZdSVYxvjSXNwcULSy7MqNhUzSt1M00NR5v26OMftvYnlnSfBb5dNVECqpeb+tDRQbX4pZ3s0SJE
1WPotfg4BpIISTqDaOWo1lg/C4Oe/dzD2nq7JMUMfixJD6rRxSbJEFM/qB4T3gbiqff2DHFKEeCV
C1VmaNDjrwzTX/sZZq9RIw6A7Ojr72qcUzJqaMckwOtd6JrCrrLSONdbt05k0EPcKwa2mox6Unqj
t6ubyNDqg2L/RvKB0fIVg0x2cIIaUy16f0MOGrHsOjnWBvi419OSdoWP/kG0khYQgWirRlSVkMse
v0Qtx1xnQTrhOpY4zb5Dzhu+Q3ZpTPpNY5Z0Go70wKYJXAPFDUPHmdq67NFrzXhMP1RVKVqUKP+z
HmzXHYbyJd+WkYlpyXrA3l/PyNCS1RMxkezRa+gjuqNqmc9eHOGttkv0Is5ualOzm/qQV3o0Bg89
h1DGZA8ywDKU+m4Ds2qSbiDaAlmB6e0wFvFgkP1pCQ7r/YpUMN4ro6txJOoDUpW0elP8AzYu0Y8z
WFDw6CqDRqzUyzSIPqJi2GXtIDitWoa5HZ14viMXoe7e2msdXzmqG324XuvOf8J204mQIUjdg+Rz
T1udWYS1eCVUnMGgwKTbY+rHysihKuGCHo6wEAutTUr0o2Q3pvU7NLMrL8ioM2h5Z8MQecMNlAFB
ERFWMFx3SEuH75SFrSCaKGcn1VS3ytwQxEB3Dj7bKOGze9vMoJ/uendponGXdh1q4zfGHI+kJe/V
NJu0KRTExmRqV/RzuzltEyN/Av6K8R+Ab7PN5dGH/lncJxV5xpgyu53gxyZSlIBJuY61eGtydNO/
GVx7K4aJZgb6HQsObT0GgoRVpTo70clL8DaIgp2kazXOAJsTaaVgEGUoP1gKIr4tS4jsdLQJwojs
1qUOh5UTBnBevTeNUcOvhlYfiN+pctyWpB4NnH0kyW8009x/XjzPRyknyRvqehTxRlJT5lCza+ut
el5krIlWhYGOlXMxMIAmFuwYOzeRkUEIqt2f6OxhAnKv8hTokTZimZTHwbGOxQCdSpqK1tsqQMfp
0MbHIvxrJEinL2EinL/g6UHnnjefklhyzOGTijWmk3xPluftJrP009D2U2D66a4oaImlV/XMORcH
es9Fr7F3yCaaprMrlRG15N5HwgPxJQcPQKoQrJUvFG2bzEx9QcVHtCSpjJ6AaKxL2pBaYiS1S5FL
1HYZSlKdQ1wRd1+t2MUwCSqOvvlPIiYSBUgjJRYwK3XBMnCx8S6fRkk1H2XfltacOLDksvWhhDqD
3CAVqQGJtahfFCUqadH449OEDwNPSCEGTVYLYMcpR9Foipx+Y/S48NaY5mkh2tFK+kYnSzSPM7kC
rptRTLvxihUraLWRTzPqPG/BB78ZaDL5J1PzBUfAkXojVc2nZiQEBWC8EJXNaXP6LCRfTWlYcqwh
2PYJaRR0aiXHkVzvZA670LnuWDX1+cbE0hWTUvW91SBSN+MbXQa2sXg4kvCsWuHq66tFOPCYhtau
pxBz00M0YdpEGWNgDe/tYxPX4GtzhGdJFKcs/srBWdm4F8dMi+p27mvNy++cFrkXbVynCaevWO+w
WB7yEOaNzcmq8dxPNv9ILSsxtGYMLas7Zi19JW9X9o5AtyIqf14Fqi2gNAIHBX7BuPB5WTiIR0MY
OMBQZ/m08nZr0cJ62I2+N/EhjOoWsMKuwrIP7tEVpwK/grXHO7ZOLv4X2AmOxRje2OH82RppN3ya
cEfniymaHigyl4gtGZfbWwMHbBjKVJrmzk3NrP6AxEPgdFbrC5yuW2cxciVsRAHR8YMCiiIJA9Zt
LSblkNDL0qDJhEIL8PPzxOVpAl4JxiuYC3Fo4jS3nTa+C/eL87ZFqlFZD1PCNlMxIbyZUDFJCLHl
uOvMaa0SrJXH1Epv5bj7+VX8cJYU1p2447ngXzyVSxcYT48119Y6897flFJq6mQxowGC6nauTedR
VCCKrlhINUYsK6OfX8yFJY1pYM6HxxDMGhLP2Cgu8OI0rPqmc8LxPnZmIQybR6osVpiNjqq0IbAP
cBc4//yDf3gWDv16w6LKBxY3wLheA1tm75MJE9jDvSM3XA95NtbryrptsBt8VlUtMCZDgIItknX7
zy/j8vsDLIjV3TO4CRykL10K6ayNXYRQ/564D4laxoLnD4QtWHQc+4UgRJ3lf/7JF0G0WK4Jo1md
NgQWpqAkl2dbpFsRXt6hdhdL9UnuhZx7jn7a1C1y1U2ppWhQs9QFDX4j1mPFxrHhlYbvjRoCxa/M
py6HqGl43AsHoCIwLMu5bFm4UFmwbgv1O3XCVry5flMlyiEqRRXfeIJSl+NIvc0v7pMYCd9DoCYW
cZjomuiL0BlxTa9HSusi5Hds+sV0qEjWRkq0UcNgzo362yXqG3tAAtx7+uc8cwUcbVhtaXxuBnIc
on3QkLcADB15AboaZ8zhrPwqseESnHID6BYm4UEuXGd6BBdXSI4nRXuz2ndT4ftr/NFy2r7OrvEX
sXEFYj1nQfNwWy7+MLlDYDLzmAYUOX00w2B4mD18B6ZjCbjiDd8cl6Yc2RcOzsIl7BO1GmJ/pQai
tRVq/ennd/lyOuLvYTu+6Zr4sDikhF4CLYE3EjYQePffknTkZKtxPWEZlmILf9MGErAFn9NYC4db
/fOLcF7bmzp8vMXD9j2WI9xRf7A3ZWcbBSK93KfI5thqxqar/PY+GIM8fI7mWcO1p9cWiFxvVtZ3
nmsmg9kS6aKU4V5mP/Ses9TZGUm2Dnck7KPsc6wZRKBYO7czRmwi/YGKMznbCw1sjgqRsNCaDBLj
KZW7mG4UlFixGalitClA1wjz0YnfTPAHrAX+U0XzCFuN/Rhm/UvgOgFIaCup/QptY0hUvOUwEe8E
C9FHJJWxVeMuVEGhakzoAJkuDB8Y075PUaUWPBexpPYu8gMnwbPJGr12PIKTW51fQvVLY6DhMVug
5p/1sdHqiGuJh6E4Z1IlEvmdKKxzgudj/eg5lGb1QUcH0Pc3bRPjXHvkUB/rzz9/ehdB5Tw9wltY
N3QHthpqvsu9xPNZpeHlJ/cK6a7l16eS4Xx3A0yIsojwqCkP6ERKZrYjbeQVpNjIHCuY6QI209dM
pA4QGbnwkyQnqa9d0FqrPugzLkMTxFHfDX/VSL3so7o0UbGIE30XEfh2OR8s4vIAsfX2jrNN7ZRf
0N7FVnmSLGQV3KS80WA+bRZpm1ZOLtvxCDtG/9XsuFgHPRwqXUJq3MAliN69tKscoYm3Hq22O2/V
aKqDbYaFFR20edN7/r+qA0+H4exYdJM9kY+2Gdp9VzDRM4EAlTrFnWooqmKukaUa+YEJdWPjYqBj
/gL6vVxSWQIQ+Qe+iC32rB9KtWxshGHjVN8lceqx0BScw9xP3z4/9zBcfvKCTnTeQgO/u1/FpPzw
+RYwElw8AbLbMAUulvQyX+J+8Y34VkUiTCwI4nj1Kq2lMByhk2ikKPrns+mHC+AxQwpmThmU/yzP
r3c9FyTRJcqwu8FBd1s97O28pTa/CDasWJcdDvHJ2YHb6338+eeLL/j9ruvDxKQuEX6gHDF/2BCy
ebLJfoqW25TFZX3v+wOuYXHnhpz3uehW604EyOrdLwa5SYboxefS0PACHEipDBlzF987c6zRWouq
vSVRJG6GB8+uq+U5KNp0vVbN9JKQTOtjb7Siq023Rpx8FH8jCc1UQKFNOnCG6TwMetc9ERmgP6fW
LATwobr19DfECk9vsmAMoUASYqPRYmuBQwYZuPpAV1UwIn5+Wy8rKwyhGdg2mwEnd7HXvX6sIXyn
GfeI9LYPRqxGdpC6k8zbkcPXZg2WFNnooOeSmS/OAmL+MvhxN2LtAEVucH/xkJ3Lm8295jETCW6y
3P1wFJlyCNowz9JbSUdNNlGbrOwkIvTzL//jx7Fy0ciBfOfpbM8XzzZN8FsJxtW5iYR29+WbFjkf
KWB7SWj/xQdepFZxj8GcYN4wk31HJ0jj4iO7LpyFi0Zzo8RM0mtgjpCnYtAxibaLCK4b89t4gRJp
wKh3MV96MAcIn/mJLK5Qb29x1MhA1RRwpYJUnEgXchqpHp038bIUH2F7AHmXqEYSXZ6cdehz9Lq8
Kz0NRzhakIgTLqKbUUuJLru8xxBWrhNxCIxP+MpGcJVSMiU1c4ZRKAa8pBCN9D6OWuASf5CE33IS
YFCKUzAoXRXi6/UmkTUcQiv8grqxEPEtxYjg6dkzElHWfatW2jFZdTioDd2ePfEpsIIS2YMZS02o
+1avFIcjEiKEVqclE4cPUYeCKiodEKqxHsRXYv7wyfI+dKkroGPYmQJUUf4ZcJ2F4EpRjuWJIhdH
wJcF47bu5LeaHfW7qdXaxT13BckWwXXarOSayXO6rk+4uSCMnRB9npyITLsnebPUYUUtx6lULioM
ReHGFUZq67PqIQNxbXL/jYQtYUJwFgEZbt7TeunoS3oOSQVajL20ylUnQd8MxM30mlEIblRbDF8I
EaqZbHijvAPyRaqktks7sd/kqEJHfE4Au2yqGhCt+l9Ul366w/UjnT9LojQ9/jzpd0S0OAR0FLiA
psBkyTZcS0PIrzSpSoUf0JanmmkVuDeFWU/BLU6N3fA+JZSRCCCgZmcNDrIsCYR1c3nCmbEraI2R
QhdZ+JPYNpgR/onFZ4hPibfvwd7d5jjqtVB9KTMb6aOCqkyLMNHHkHncuQZ2o9axyjOiLXb8E2BW
n6W6c1ZK9BJIIYAaaRB58ccqAW6k3731GGXulC8HhceqBj4SaoFBKkQyHLAjfsEFAJH9jqSLzH5o
dRx70O6vQ7Z+kJIjq0GG9LVA1Ec+ZZyusfMspdi0WYfhC2CGYT/THx2HR/Joi9o8YXilLc+evaIa
fcTcSMiTHYTXNMQyZ1o7bIzT1ejyQydbggosJsRO6KVxxRVyfWUz4QFdMlg5K7sGJ7c6rQD2PVpQ
60n1hVkNBZF/LfD0Hd94ftZrtCEk2KpEka1cBVQBFyyunXyEnW6kb+SwHtyZKZttE3fEw6rBDnf0
za46on4Xw1D2rUMN6Puq1kxMFfajZPbIo3pGGBQDUyoHU9NMHR0PZoIk10ONJQFwsfJiUuZYbopp
YHtEh+sMoHk5Qgp4pm04PniZFU0QvZSPcznHbLbqm8oh5i8uOkmlLJISPGUgJad65ge+9hGfytE6
BnLpUm0gpb2SE6ffPKr0DedWt+mbEjnFTBddspQMSwAd1E+4JUnJo/RVUUIqG9dw1h7yYyP9ee6p
LhA+wjdkAqHqaPp3dWHCvq0sZyxAcyXeLZsVrj+L0Yi0HGHkWRntrDP5CjSquTNBdJANFSXWtCXo
rcyzArBslkNBEyQjWuowlNCthefEAo/pLFoJ6Vqjx4bA2xsjduJ7J6ncFc2dXCiTMvRZRIu5chh3
WRXrGfzaQCPhcRdoNgrsRto+TPL9NpOT1loW/wPZ4DzdXYiKHtkyUWkGfG91xJSP5tvY3la9jrvA
Iq+Uf3KlNDdyrOG3go7EJit2AeUpJzu533SPm1ZWqVcjHHDX53FwxV+rXUK1XaUXiVoeJMioHAKU
vE0JFFsYLYzLEqe+PI+wjUuS9TloNByzIb1xAB72pdYK3xdDCvelCAZjPJsqnYRDcfyK5Tn4W4bR
Jpb5e7ChVYwP0wI1HgtyhPv8vSUP/apDU0pGsNRRqwekS+msiR31mrxNUX9BG1HbnO311DSTv4ru
iMJNsmrzmO6kPdMixUeo9OgF3FuUGfQtlH62l+tKjWoK+HEQzUjtCCfR0Ssa3r1oe1Gn09v5o5b6
ZRSNiygT5E+GtPeY5afL2g1qiTg4KFpSRqnEOMpYUMVmPJQMPrKdBLfEk6kcnDgL4z7V/EW/a5Bc
0XWp0eV8aklViT9G9Bmx/AZi0L7mKXowmbCWS5Gq6k/V0NDYEBWkLc0ApJtOmeJWSiC5OTJiLRm7
EtCs0Yh/IdAGoC6MgjKzTpoLB7BCIrDpgTt7Mxay60k0sMCM7dzfE8ERRuXBBQAcuuOg66TfHntp
WC+HbWBt+YOqElDbPQnFrADXSWMOMAHJh1/LYB81iADiPdJoS1tPOZIABoLUUaoFWRWOaqBLxZGR
LYIPo1p1GByhbVYnROVspEgVgUaYIR5n0pFN1biDLKoU3cc0LcE8wdVECIjJ7hGrjvTHckrTodAq
pZUGVP+BAbN2bjy/62lF9rhmyrCOVpJUQ5PTXLVLDSzpiMXcFG+KhqA8vG31jtSHrNw4owlstJAK
a0UTkpZXaAaF1EtnK+CqOtqVzGW5H0kFmra5kMVydZLFUyvLQ4TsYrVQTcBItlylO6NsAqrhKaWl
0jLBlQWpBHk6WdnCO3aJqx9jBLiwLSGncCdZ5MGMrlNsbZjoieaL8Fk5mpVrQSrnXCoIzsIibLTg
drYdNCLv2u/LpkqQRYWu/VLIh11tDkZ9ShoiCYYxdLM3lquLrq81RlE3vg+jsXQqsghE0F/ue4IZ
xBFA9J4luUNLN0Dakd1JEJoih1OGw4aJ05tNNb1X7dilczCCPSUhuS9oLqU/IP1tUVSnkj9lUF7w
/JsOh4rqSZ8Si7w7Jbx3pYuXvElqjkGbX9vh4PvJmrvXCqzQoqnPjH2E8i12d006bmAzu2SGEG9k
MUKGpNPTo2Er+W1W7ghaGZ+DecPOW6IcPz910d90/rMmxqLBlszIUTdZRQ+xQ1eNvRfMo3h+6CSb
BNd6bH+OHELmqj7YCJy79M+fH+8uMYrANz0SGehaOT45tpcg3eq4c5VEZX5T5DXkbGXQqlxpFtnJ
Ul4z/6cPtqAiIumgc0bngebVJRSXZ1bf+NUa36R53PgvCycFD5J/TfIqCZSNNhflscRlgWX+5x+8
wT7fwTLA4xxofZu+GV0PQiQucHpN862Wd4+vymmpffsaULJ3o5uAbFko3HS7B88/I0RuDSgV6xB3
ebm3k8UixdZlT23Nu2xz2+v1wke+iGnBMNVPP7/IS34qpFQcqQyOD3if6D9GHS8QHzyvHq2z4o1J
Ztqs8tnbVMCluj/XuXZCUFXHXoprne/57+Z+rOv6XOUzvLadieWB9q6tEq2K9vCn4BrvCoaBVRzt
sUcsvG/iIs+RRyW5VsJSdVpsjXcxlaoVHwsMqwHt5WxxNkR9+5r//mX+j+hrpdQ23T//k5+/VDV+
L1HcX/z4z/PX6uFz8bX7T/Gqv//q9Wv++b4q+O+nf3KffGmrDlvSy7969b58urq6w+f+86sfjmWf
9Mub4Wu7vP2KOqLfroHvIf7yf/vLf/u6vcv7pf76+29fiLzuxbtFSVX+pn51/dfvvwV0bf4WJYm3
V78TN+L3387t169l/rn86/IlXz93/e+/aYbxDwRetklmMiZFOjDrb/+GC7j4lWf+A1crUBoOjp7A
yZjvZdX28e+/+dY/QKKxWUXt4IB96/yqqwgi+f03J/gHHX2yXAKX6CDG3G/fvvqrR/jfj/R7AdUl
PAewzpwS74NKCQHVRUJLheEAwS3phEP40AyohvxZyO/6IcF4zuwiC2/ipUBcjxiim/zwesJ0sXlG
v13UD9/dNnVp31/KRR4pLG9SiaDMcRk6vTCcDF5DhZ7jpOQdeMZ9Y0aumR6hZcQ0cPpk0j70Bf4G
9FmqLkoOlDKw/s4RhL30Y8IUeC/Cp8gS7osMnbYPVnEmV9jy33Ramay/QOp/uGUI8uhKABJDtnZY
iF9f5jjrXjg7Vn6vmXoe7YS0Z76fEW1OHyub/M1DYSRRep5aM2p3OLOJwEuO1tUvoMz/6TKQ8vHk
EKNwwy7ulrU01TL7eX5fAJGXL601jvGJpSLNdhw6Ku8EvWN220NbRnVwm+pj3t9EMFT9l188tsvO
EVi5y8bkQDu1Ha7l4n6EaZ9iSjEFNwW9ydi4cas+61l8hyLQb2uIWOb7PqGq2v0XdWe2Wzeuresn
0oaoXrfSbOzp3k6cSm6EpOKobyiJ6p5+f7S9FhKnTrzr8gCFKqQQe2pS5OBo/gYGIjhitAPK7ryw
vASFuMZcL//940Bac0k2GK7av1lVLiEuY3Nh+ydd6TZ3KrURxG8nZPFpmi8YgDgHUusyXagmfaA9
sEUAp4BHxGmnvGuHwl7P/t0jQbqEU+nYCHjBJmbg/OZVGW5BOz+fk8Or8ZFPMkd9Q1VQpuu+HkRj
VPGWygk1DJ+sFEK4kiPNx4OT92FjwNXuxzGJ/vxY+r38dLOi+slFbntMfUK8Ajn/v+7jyl7zeYHp
cq68oWqB86ayT4/FmLqo5w9p4XfU/S+KKaFy6+KHO4J3Kv/dUzD0AI0CPInpFgefSPnrU3Suna+q
taZDPRZjeTAo/bqTIbYUVfIs9a6p4u06ctLMCI4yUE363n5506PnAXA1Nc1neAqW329TG5CpeH8Q
lQ/CkGK8oqKsrKheV/e7Y81mdZXZxTDe9jm6BhHyIuNjlpadGQ1NVbjnYy3UfJkOdd4dGSlVa7Gr
zGX7vA3Vsr0zSXmT/NnYNEKCcbhKGA/yxnRA+Gk26QcohOCNOYIRNrzgIIYSiwkA+MNw1dRj9dCQ
gSz/dusGDC6sQBCNffbvb2PBsbIXrfinDqrdzOB6MrccP4qiNNwbJxvm7cACtOnDFChHnvk9aO4r
2bvOECH8nTjWO5vljbsoIQbkFvNgBy8zz2VeptfopzVg2DWXs10NB+DM4U2AjajYK7iz9flWYxxx
ZFww3Xnd1vdnNQpGsYev5l1dUA3FWeBvn+e6TLynENGqK2uAdrJ3vErgQoWxphPBorMXLHV8LFfs
NB+NdyK29RbtwUZnvhvyJSAYgaB5EwdGKm6wzGI7T9aQQvKL36M431+65gAUDnawkWOXY5nI1uQI
vhVbm8SZE3aZE60wCggApaJZ8sN0FteMmxUnrDWeDaNtrXgy0oxYYi2guC/SEdPlr9myBAOeFcx8
1wjkhiy/Yu+ggRJhiDj612Ry+PeounQMdn8OLW/uJv2a4HAyZAuB1njM/n59TWKVzhy2Q3/AYyuY
7sp5KfwEfuli03leRutxW71tuZk6jDB+zFPfjqg9Be7Tn5/it9qBxyDacrYB+gV8zzeP4YwOSiDE
1UOOttlpKW1xp2ZYd9iyT6juQLCefbGvcK/rLpk+FOmFiw98vwuXZFmOtTQS5wcdkgH0yjtP9jbo
8GSI9AE2sEwXpXL7TdTTOMDCCr3ukFl06k/0GWY/TiumuDsEH7t6Z7jjah8rmTUqxmUBo67RBXJ7
qAqn8j9g/ZQsKSOatXuoGEe4NwvwtvKGM1wP7xARn5/lp3tCv0xCMzBS0k2fntubZ1V4wa3+GKhD
N/j1x9FX9I/XqseKLxNDV55qIRT0AUAcKtqS2Y1tbxXpmdUpKT75q43kbY3LBCQQQF8HWgLZwZ+F
WvZpIurYceTWoI2DMyo4983/Wq5evpyWupvuMYiS4V7mgUKiCYGoU543yONEEwKYxVUICmHoo35J
5YNvI6ITeZ3DJ/hNy0+Jwt7Gd0Ayer+8WQlAgkAXmW/wz1s4bUr+0ncBCkSL2Nb8zsR2poiqsZfu
rc3LkwwR3fxSC9F+/PN++ccPBqvpMWcAs6YLkp/D3hi0QOUmG1Y+VLR5F7qDPLqhl2YHs26kOgFd
BoRfDWIcb/78yf9wkgOgmgEIBdelBaA38k8B10cwIMFOQR1qHJCXBzyl/E/h0tdPG22c8DPma6m1
G5euFLua1GfDM6KvyneOyz98fYIlnXcPPqpJIfXrQ7R2lToGZoOHKjflcJBqESo2XFEgoeGKdL7r
gJbsaO2m6Tt37j99MnbnoC1JJVn7NxFbyKWbg6AbIWAK5SF3ktTJj4EzHefDjIcqHVoE+Pcd46b3
bt43uBB97CjwYITRcDFhhL656qB3qWZZQ5QJXVWbu9QbFl3/iPDUd0DfQtMoxG4Ddt0eUsz+quMw
GV4TkxYkwwXSJCzOn7fCP60F+s0hhRnEfPH2LWBC1NGHmQfiQNu4lwy2uqcqqMNLaTFifJr6xTtt
wZKpd97+mzyVhaBCDYFqPyMlfwObbl1jdmD0h4OL1FuwW5cm+NB31vBh7qQh43KWHbaB6HFuGHt5
RrH/89d+W5Y+f77QpAEOgEX+rp/vpyOQbyLvLRhZB4z1KrTo0kZO+6n0c3/nFFsZC7M0GfoWVocW
sgxc46ZdAHYj5rnNJ5s4dDONaC5HSSn7Ae3EYfIOf37E39+MXh6mwwBbAv7z5glVHyg4SBlPmOfr
sitLL1j/YnJnnIcwQIe/8Fmyc1qmU//Oq/mntaFUR07GJz7QwXhzMp0681W4bv2hs2f5QeHesu5w
/rOTGDdwr9o1TrN8KsPRHhizVd6FCr3m0hOpdWfWEHfSaBWM+S5dvFq+WmpKgncurzdOxzphxLLd
1k9GZk99+ubygjG1MSFL5GFEofRv2mRFDyYFcMt+BR3lxSB8i885L/7eXkVxXmFiMMWwwzf5zlL9
Hkhx3qULKDw6QITwNw9ijXghdl3dH9LQywz2co0ZDo6clnHeoHeX79YZJSo8D4ph7k6plWR7hGVS
+/7PW0W8yUH1griUWbrg07vlbVgJu2J1ZWigwOC1W72TpbK3fTFVCX5UYT0FOx8C4bdWzrUfGTgE
fwZNYySHtaqaqxKV/uLInm8+zjW6hu+FPL0Gv96vIZofJtZHtHz93zQPsrZWjOA3eSAb8ew9clTV
pWGuWECZZnpBaoGO11g0H402WLudCyjUitLCbfAGmuunPpdr/k7MewvxxfOA2COYA1NzOLTj3kTh
xZxaDAdZLkR37T6ahxaWRjjg1ACQMvUwtQ2co6q8/FswV8sVIqvYaXmeSZ3c0JANSOFGlm8iOMu4
XYAyRTDV1v3IYBuYUV2bB6WsMHnvuX+7PbgosbnXb9qDHvW2O2Qx5y24D6qDM3vIiiA9O9f5xxfj
MGLp6t+PC1aK30c7bcqv/VwE2W1jw/77jMvTiGQN40HGuu9svt+fijwcSBxUGA6l/bZ1xlSwM2yv
zg+D2bYYMC9DpShrDEsG+Y2FpI93UmowDG73lbzwsWo3f7rfZoV4wd6vW9wXDovjoGL25wd7Hpz8
svNoqHLTQpfibaNN9yaONQyOJ98xkz1KCT1sN5valc6nnU7ljImRPyF12VpQe7H+BYJRfm1Ma6Zb
8wLhUp3L/yrMjnqqKM3ymp9b3LMOOf7xssMjxjmtDqUFxlq4xi1nTjgU5nfPCyQfJYdAayD/+Qv9
diMEwqabAtwSBjo6XG9uBLT4c5q3ZogoPr8er29lthfGiFfiHk+/PkegOEE5L1Y+No4Xf/5sBh+/
nmOQo8BYibeCMEPC8HZmk1j9YhNMiuPaYXgT3izlsLFY4WxovdeCGqs14gUJnmn5gmWx40/nmDFt
+H6uW9HceHL2xs/zc8WKcQUVLypeM/tEqEyPjFVetUsQG+aSmsWZiXTdoo6mayqjO7NKYvfj0ixt
8cP2O6P6kKIm7n4uJPdxEtEl9R7wf/SKgAcw5RrEoqYUSx5wgISPGL8oIdsrn9DiPVBpwOOwFWES
7uui7TEo9koojVVcOn2ByTiMVM3AmevWlN0BeRZZhUdTFSU/vq4QGIMd8VJ/NHDAnD8FjUwG1H/9
UG8mQV3FLD8PcVD+WkD9pYYHxqYr8qVwUrpyNuJpzLbTwujYLHTwG2+5hzfjzQuQSXNav6Biso6f
RAsvtzk5Hm00gvjU8Of9godLgg/wZODjFsOvsJA9IZI7TjxjFMfXqBEM0MVlZpQDNvBlwsrt1ATy
pIq70hu86x60pv5/lHfCPQvqOhy289IZNz89+Cz2Ut0Y2BTN9p0Ron5kHl9pqp3n4FMlI8NxO1e/
n5zK7mIGrtX0t6aYyJ6vX582l2wkcdi2xafnWSzKdbPIo+5GAHRTHkiYZKWp5MdwjYTB6BjNL05n
0reCr8w2qhAHRqWQDoebh9NggL20KE0PKVibVJ1wDLLZeGCOQpZ+sREQCfevWhII1G+Kih9JtorR
OyCJR1oGAye89LriR5i+yJy8nv12Rh45LkETsiRJI/UBfv1Tu24TC+Sji/uMXZFh+2ilVuXeBwMa
vI/Ae/rxGhHL9IfHaGD4iAXp3H3NJ0TGLiHF1woSaC9VYgKLwsBOQZwPM96lKg39oUsGOMZGgqDx
vzrSlXiuIvrF11rkqt9Wr0oiuaga0/3oWbR9Dl2+TvNOoZitHlF9LXjk6uXJM4fu0VcfNuwKDLMo
STnuOgsWfHgcDVMMSVSojRHhTix+wKkYW1PHaWdMaZFFQZBK7zoMsba2z60Zb3qDLDyFgXoynSYc
qyurDRM7QkuzH9AGZmTZXqwjEid5BMF+Hm7BfOPOvM9zcwxMnDenbblEfGFETZweJ9IPWBO5xnRM
e6QKW14czXU4vw03y4d5BcfwKHqBTFU+tkSgaEBHd1ki39pa+8vWgpEY44KzRNK7AC0rt7joprlW
J4olvuPBlzl+RjuT6mu6Nyu0u7mtXQnaoQMwwVoDgWMfWKaj/5oj2Tx0ahy3Fd1tIPKNLYipp8f/
FA4iffY+9xDyNa4rP8T5c0ORm1XKG893ztA0Hdlsvltq/XTAGfo/5bQ0LOdghGXx4+WU2eOkf8ih
eObcWltYTPnDZs/CCMFXNtrkHhNJntPN8pWzQojRLz13kl6HtRYo5o+ih8H7lzCSXp6Fm+NMX3Cf
cjEyzWDnh2cFCiPJfTMxZUZL7hkqVXUg5Z9M2Hku+yhN9blY3I7YmdLGRBg2L0dvQpW+nvRtN6cB
QCKFK5N9h4J6nz92ljLLo5C0x4MIgiI4Iazo2rV4IAJO4T2+XOgz0jfHca6IMtLd9jKR1EAyfn1P
G46kBMJXZ5Z6mbjwX74w+q8+PtVuLubwCltDyfyvcjr1tw9sU33qyzT38cKwZwaDiP02SB8Gsu22
Zi/mTnV7B0dX4ztSadK4EhChy+bA2DDo78YhrIozD53+DKFIQ7VIBKvNuChHlU7ZLqgKuz4DCtOF
1z0NZmZZGHjgDdtXhjGjJ97lSfropL1GJaMUQUv69UjYoA//21Fl/RrLQDTNSpeP6JSgDB5tWd+3
5c5ae32O5lHhFC5DCaEOpd5UD1dQ5tBXZTAFYr0YkbMov9q4uLMNl0ZJ9zwtB3edDtg+1+E9TNCB
H6Xxi9rDGfMIPUdC7rVkQWt3bN0qTjCarRWBZRs9mua+bC9tNeX5JRu2kef90gsRCVHRuUGGvQ2C
E0pKAQca+Wqmvpi1Yi6PxNkwWlxzNneRYeya0BmApb1ebCQXCDoes84e0oE2ZS+y20pihvFt2wZ9
X7/mSo5IdLh+vcvLqtC4wQZ3Tn241lULCHH2dX/69fotslYnCq+XhJW4kIDiXjg6XXpJvFBx0ffV
hBEiP+aPng7itWLEnqCtJPRdXGDJyolq5kHfn0iR5ryuakwKvVSOr4/+663X2laeqJj5bpJb/xmK
eQaUyHbne0sfGhgJzpYfm6z6tkTuy1Cuaubn34zhN8seosHNr0zdVfAamyAwWMuiMklixnoGKIqA
QcV7inuv4Miiyp4N6f1qJlvVfyyMRBpejNJCKw+ZaEss1HtnmDmVEk1voq3zkpcyH9fSLQBrwwZv
Ts5gYJ+KhD+3F+MoewLEgpEcPwDxQecD5ugyZIzNZNA5xav0SunXet+Q12iSdY6SloEEqVU+DxJe
PgH/vsbBB2Ol6WDu67zSF6ib1mVpQgtdupTKEN1+3kstXVgcH/EcM7rqse+VDlZhgkhH8QWlT73q
cvPBnKAqDnekhQHjbuuMFJ+qraAnNk6j3uZ2K7TE0wCUnn3R2rCVxPUrtMnEU5FvQUZdsZCoNnnO
WWdCnxK3lqxgTH3dGmn34gaGRslStPnk4jmMZDh+oiMq26NJ7oeAtZieV6rJfP35WYWJ+Jfc8LRK
7WtaIPIyH791yGOpj6th2xxG3OJG3aiuKEljpx51GIbIkuuH7hydE9oaITHiIeKAMr3Oi4xrP1ct
YoZnIzBxXsdr7pFbfcvfx2JDf0kc5smIH+ZeetN9H0hkLE5TiNQw1gWV/oVJjw5Ke+Eq1XKIQBMY
C6kVlmqD5TFRJ2DgrbFGlo33hRWj0KWHxTlazDza66/wa5Jd5K06ZJLzaxdqLH9zzYaaI2LIrOXX
iDZHumDX2oXsp6v2ZT8jhqlfXYpWuL6XXgAhUF48HsuubfIADImfPw40BL+ypPXBuAQsX1P86Ac0
1a0dGT5gWr1D9NcsKtDo224uVGldgHUecghoZl6a9d6wDT+FzQxk8dGfjL75K8zw5nvyQz4vVqIx
nfEY+kPX/IUBL5rXdEtK9MdxIqn7bjoTIKz4xnXlQmroHTLPXcGop/xUZKbsscGt8w2MSyafbery
AVPbW1yOtvUTuqI22uwKg68eg/u+hOm3myRvxr7KsDJfh6gM3RbB861djUnt2dBBVn1c0hXx24/1
1tfSizH3wmUA15hk8UPoK7hq7uXCkAlnbgAjKG+WFRvqlt/r0rrIxspqvuOVOI2o2mTWliC2Pg6l
Ly7HKWiL7j4AlGNWhxC6vTveOHihBerYTchhE+zy1L0TgobVeFaGg/58M9UY/r00Wv0npxKdc5bA
m66NfW1Zqr7phik3g7MFHtCwnQJ/HRubaSAmaWK/DfgBJbHEYliKA1PQZOWObIq2OFuQuubZMtkA
AcijcNkE05/azoCk/4c/P7O9dcQrgEnfJy9Z82vI7nILE+EduY1REYlfpRMmOnc4wwfFWnwdhs4F
WF4nA/Jk+5FyqH7AjqQzgdOXFWDRzAWQ+wmZFbCm0awq3xsjFWJkv16NIMg9UPeAuusYbTO3M+MA
G+Mx+BRsgn3j5Uk/WEAIRI68vat0ugrfUpdt9sslV2g/6iq2inXlK9gvf6UxUweKzVBDPq52DJ11
UUYBMhAyXmpTt2/073IGk5lr37ic3gJ10W25TZJFW0AhF8aVzkYhmdyey5MiLJ7vhYqfuYBLpO96
e6UtYuN3oCtdy0n17e0R1lS+C+FMtMuBxm9S5Nev4YIRcMONoLCWJ1CQ+CVgH+OWKWbWX6LWjG75
PXViMonIK7FZRjNAoEWHaI8/6dC+DqjOroifQcqD0hVAtfpBvPKJ7NnsWsn4JVk9rxp3GJU956RJ
rZflFZ+C4idllp0GOuBBEfK5M6Br8g3DTmmIsNV0elRd1Gg6TodSOUVfnnlel63BMQRVtmCKZjby
zh5tafGuFctG1GDXoM5dWtyrSLsxk3+9xsGULsTI1YVmw7q8lDG4YaVCwjH0hmbXD8GUxUyIRiIb
ovLssnjLwo2fsltAXGfWS1jOyVspkF4SZ0TCaNn0hq2RLw3Ou8Sz+iXkjVkVks+8Xq6v9JESackq
j5CsoKOCpdozp697yXzyEShqi4OEqVMFC81Qgur4kq6nSa3LwZZpjS4oVvglIBNs3WoQiwZ9HgOV
Ky6IYBA60TKRBOjbfZUbYXYxo6a7Wl9WI1zm7eiywMu8Y4cE4YPpyLFNdw3E4vQJpsGYPCDAKcuz
Lc8MJLOnwphsnOLZP7WD2Zh01hhr2070Z7ToyuCJNoH5QbaJXL5ks61xUMg6msXRwUy7Q9IpTdbH
LinrOd68zd6OaTfa2wdSq00axwEN6yU/IQQmZL7ry3YrHxcJw/izhaQLarlThjwXzWVA/kOUClQU
uwgqm2rv81puHh47lZ0HZ/S9jZyLbFvXcj+2i/NVJNVinRvNKItvxWgJpgk43xxR6Atlc8Lfe/LO
t3EypoeaiVyCCmiuz+XQYC0eHrWfZ/oj2aYiDXdIyTXlzgGc41GzVGWnZfeJWIhe1h1eQDuuSSfJ
r3RplhxNsYxNQ4+MlSN5RMJkQLohNwXiVZkctm+vFddrlk0aoLOelybBS71i2OivEeZURlWZhh0J
vI9RpoHlR6sA0MVZ1/hsSsx7dKGe8n3b3cv+xzFM/zYErPSpWtaNduNM94jtkQO+LL++lNxlsulU
8zXPfT0SvjvptFpC0WLXGgC1zc+0DfAcmdYcI8bV0e/9sNlBN68Y2yg4gRFeCPOE87eFnzisxHF6
TUd0ap0XyH+0u6Hc+uISIk5Q3GCZkqkOUUGzrU/+tMEt2K3pokPGK9PDoEDg40OnWzj8ZVsnuphJ
TErJTpZCkoIqgZ84UADecKstSRLOTJkrkf4gLlWErq1bRbgvJUKYAPXbZa4+cKQwa46AOvYmYm0u
SJHzBBH1+ZoX2M3XadkGm4fUo72ZtE88uZl70JfL8GSHoRqeyCVU8S0LpCwecWMw2YZDv47Ft7GA
RonLhg+KCYkS3+sdhSmUqesp7HU0wmvDhmr90kFG5XkX7W33VAAhyWHIDpC1KNaRm+Z1memi43fb
TaZglz83j3xm+W0PSAyEYxGVRqeXo5GLSSDtyRjIjWTu8odpCHrvGp9mfRMswmp4Va8xjBMX0J6A
DG+T4eSYB+EBXbpJWETC7Y2qvoUIJ3lh3ss9pEwU5CsMr5/T+d60dbWRrL4WKw+xJtoeXcPiUOw6
joSz7f5zSeumE8velnoPlMKlDeLNlvL64wofOIefytaxLqGE6M2XozFDnlcrMuoksgY8gfOj9LoB
1fSEyV4r48W3J1XsMLJJ2JjLK3SJJnAV0vPAadbbtbhlhSHybWHZhbv1pQdQmw0dE1SRKKINuXB+
kkbLecWhwOIHLss0mZ+2Loc0DaKx8679vLNYtqAix/qAILOaPrzeqWbTPTdPZ4CeOPxgmrN+S5xU
CrW3ga3pRUtXxVrPzEX42qTcepmSbDGIzIbJKW8jfnToYq5AfWv2wlpHbk3boRkc+4ZVsxhm3oth
jAZcx1SzX0I7MQZ+QEFXv3gFVjGMfZZo6omSK6HypZdHH5bMYRx9fexfi8V0SgZKilp5uExHlJXB
4u5yOWEHxAFdPQRaUb0NSJPXNSGc9IMLOSsCBENH7Cy3INdD8hxtzx0jWqNBaiFIWOj/NEHLM9HM
kxhosoeymlfXA+DgK6SGpxP8GrVQipXW1n/A6A6+6lXu51M9ynh96ajluJ7Zl6x7211XI/2+J/zM
UpPcSyzbtZNZM9qfKJzg6/rpeaLwr4gH/wdOwf+Jm/D/E/FAeIwb/9/Mg6unJf+7/Zl28PwDr7yD
wPsf39LC6bTwgGyAnvgv7wDywP/AG3AQitAyEXTO/8s7sKEkCOgGGuMEAYXE57+8A+H8D8o4oC9B
1Akg8L7/b4gHegL108TNRF4eDo6pNfFALECa+RVVwSBG5EDB5RWSRyApJNM1cVM6srT+RoLLYkxh
AN2lBWa5xiGpUEN5/Gmtbl8+6he6wZthJNQKkHcI0WlSE6qEbyfh+YyDMbOc6bIdJFWqNfVe+OCk
pBXnqxtm3WlZwYTcJn2/DEZUFKgkn2ARjm0dvyrzeQPAtvc0G99O6E3kAflSGhyIUNvvz2WZNkqj
cyUurXmshl0AXy+N+zyY8cAqSuR2KSe4M4bFpsYo8XChZWnXaw7+a8qLW7mW5QysLjP8k4tnm3hn
tCg05OvnNxeCBNNoacgPqPSwWX59cyVNWKuzgUzmTGYwcWxNuiN2ZwS3xmLWiDuUdGYuYNqSQU0W
uPdocfwG0liZqR6LexdrRBRop4tUS8IfKhcF39u5mXL39p03rKe2Pz0pSodgxSCsISkE7AL88q9P
KloSVGOxxMWGo8hyPhHwknPJ3GWJUgkMFWZ83Ty1babuSsRGga7McnDPpLOM+TtDUf1RvzwKsv6a
KwJ7j433G2mkgbeKwqmYL6zEn0Y6P/VQXWlBD7SsS2z4Pud0z7L0nXf1BnQCyAOkMSIXps8c1gre
8gUbeuweaIMRPBiKEDsUfmUYUUmZWHnCDpcfNrcvzMhAqGM5tgBizHg1MPJ6B3TyZsfwGCDogD3b
nHgbEOGbHVODAprwhZDM6ArLOHGLeercqYtli2TX5u07kP4342f9cZwewe7UqMEw0KvyE2CLerrK
8E6oL+iyleUaK221IyMZNtlyfGeLuW9B3cCfwA6g1EhGx7wdEalfP23IuyVpjW6iKDLWdp8aw/qD
Ugl/PjuFVLlnz2EHCQNkw1ym8PZFNTkXNdqXLtLfcr2x/RGaUOmE52u3VjtfoqtNzh9cJAxV9jPC
7nEPkSdCI3M6VU5tf5KhN59J0/Du59DL4wXxx72txmtMaLIHPWDrnKgKE1A+B0kqXTon0wB1bTxN
VYWfOOnejxDDxm+dGqZDaogKUuXmXvdN/a0GSHZ0TbzV6KXhsO0ioEANKc6qLahd2AZWcNEDEDkG
Wxh8wHIhuMnbsAGJ3DpI4cA6MkEvX8KAxZzDMDEJxrGmZFGsBmB9/hFByR4nReS7VywmD61yi5PH
qPrYJPXHGa/hu2m2lr23tf1uor47juHgnaVDm33t1PjDH8H9RzPSCXE4l1uUYNK3qxm+HcNwwUSS
rIUi0GX22GRoGlEFYbwDThImdyfORjqb0eya3WMiZhoV3lIGaJg0/de+VJbWvfEPjZu0H1IwGfvN
THBnwqwIZA/T32iVPb0TpupXjlveDvis3bnByGjFG8VdAKnpfmrN6QejtCUOCjdkMA29KCpXd27u
bM1q9nkSeEbpag4xtss0txQArS8uRsBtDJ9BXlqYoJ+WbtwwXUjGo7t64VF5Hb2wxj61mUfvxJH0
bFoJMyDjrzVqGOUeNyPbuGCmvF2ijao+JJDxPxdTUyW4aYTFTUn3+UEgHHkDS2B6rBE6i9psYqpA
eXohEeeNljxYwxgXKIE8dR2II5PlbE+RgZ1irzUbd7QXir9LTDYstGIGbwdyKi2YpRoSvbwHmRps
rusFaoI6tcn6N10cN168QURVsQ5U9OlyMYWO/xfN+HyBs1oXZxlInzQac388a038qlKz+o7RiTjv
gmE+FrZE4QaV62vpG3mEbePB9DWFGytJhWlpykt1m4+rs+U7Le8YTc7mHyorpzphDodLvF9GljVM
cY/sxZVDJ4TmiZj24PMSLJjc7IH2/yXSR1W8+u13j25IhAPFuejW+oFu2qdVlPR9A0BHMDXQHxSL
+VnkwXFyazseU9VdrimuyNij3CRoqB+BoC57uyrpmKKVuc+tEnSokazsOghy9FSpDkiSN90/DI/o
0oBXqbsW4NU6PHhbUl/nMk9vGS+ul0Vqy30PK/MCowQAUYM/Mf3f5l7JaEQ3to+fPaT2rg/vPPLX
qpviJMuWJ5t2qxu3qgyZcyzVlQDTgIx9NlfVX1mZVMbnXOtJ8EuC2a2iNfSL7KoL6fR+x9NF/JC8
OQgajd3f4xft4mDRyHG8DmDseZ9CJjjJIyB4y4Q+seVFfpo8rH9/BO00gdqy1sF7AJdmfsdNgxFP
Vqh+u52cIF2OVh4M5o4RoqgOL0lDY3gKGrNHZeecL5nDU6EwYu8XJmAmPglI8mGwPUx9ftBN94z8
B7sU5l1MkA5h0VrZ+TxUSRC3a81vmGyDUYKx5ghaoX7qM8rrVHCJi9uGQ83S5OXJXVmCJm6B5/SX
EIYcJH6IxI6zl22gbbdET1x5VNjQURMllm9GDUPxLbZR2xj2DnHUi1u/nZ1Lt0ND4AqUh9xuHYYr
aoehyJY8bSvn46ruSuerhc6Ye4Jyvn1sQrZYilxZT+rmeSm5ESiExP1rkYK1wRTYnHDRgaO5WW2H
yqWdeHR08JaCsdPWET2hakOKXIw0SutapuVJZRCdbsdmCbwPtRe01V7Y4RyqmN05ubTbgi6IeLEJ
A3hJwd88Nci4APlEGLe9sGAeZedmOHWYktZGkM/Mh03eULb3mzzs+0Pue82VN86WfUAaxr4H0sX7
vpRmszpebMB3gO0vqgHEAqOp2g6hp6MIQewiytODX+3Z5OWqRiIjikZec8zNdho4+xPK1PsmoF3K
jKUsO2CU2TZYVKjYa30HOBZkddSi7Ib4DZqzq7H3i2Hyj1jAVWDZstQvds7klOqInukcRMjuBO2l
C/oAYQDEhZ3HEBnr/qlGM0DtjMDspmFHTlBwW878azlSGhWB3Kd4RhSXGOmV6ss4zw2IXNmaKJZx
PSWt8+TUpq6R7S1xMQGH+2DSrBJ2393RGzO3c4KkM9zT4w0EVqGklGeYnqT5x260QE5Nw7qxUpmQ
NjDafm0IWYmqAWFIKNCrEyE6Vjl+NJPwO02EAicDALBQZt8AlWgmyZwicWSLNNKw6kYHGAdVfDBk
mH3y00LsjRzz2yoI5XQEcS7P075KhlhJLQmMyeIXl8bmR7FO4alrMubKuehANwjvkZTxk4RJfc7X
aw5zQ34ehTZjFLhEF+C25uoglbkmUVe3422olq9yYvZZ4YJzTIIiuDJGvPJmZ2WfWd1w7mF08WAC
J0KJoeNuwQI79hy/5SMX8w5h2WKHmY+PxeTEvCkPvR1QPpdBnBRRj/EjwMjQV3u5Te0BamF4Wi1D
7bswRf3aw7cpDtqlRATMHKt7vFyrXWAwyIt0C28BKlRUpywIKhtBBNle+UjJlecAYMxzC1DfWY7z
9JktJgDVNRxcbLweBZR2P0Ksb4hxL5PIWznuxbT068kBCXNhQVTCMt2pLqaGXe2OrHXWtWgANU3n
frPSrjraOPBG1aI2JkSqOR+bQN7R1VqiAPgLNkL5sG+G4snBh+Bepi6qSQCm6XuBMBD44N23Bb9u
EKn/0a2UCLDWDLrL3mwaO1qzzr8p5j4kS7CxgFFAGeKwHzFBdg01fQQ21tOmpX/MnQekfY1tOjUo
Zo6z+IEwRnBZrI79CJ4WAmbV4EA7dDhiR6FZ5AeVD5ivkPf3mBFmiftY0thyD36Y1sFnpwfvdo3Q
TIE9CcGXisgdClLAIUMU3g0aK+qaoCcZshSDwI30ADxnpbqHnMv6lKa59c1O2+SitGfr3MLGcYqn
ELsou8MiIApcaz0rx3Q1dn0LMzMqpl6dlnSEOT/27S3YERIqvn0AtIXZQNR5fvmhAaDwv8yd13Lc
SJaGnwgTMAl3C1QVytJKoqgbhChR8N7j6feD1BNDFrms7Z6bjRgTMZpWVgKJzDz/+c0I3NyrDxGc
4s+RGY/7sG6KuxZTx124FJ0rQZbNTq5GyuC6bqL1DMcqcaNIFxvZKEtjDRWupYcsEv9n2032F10h
oNgloqyVnQ5ELXIAH+zcqeGokjNphaQldHG75S8mPLjq5QiDvBaQeBzNVtl0dRfsMwx9nVLTOLf6
GEknrkp11LmiK7vjFNX1N8JtknslpVvv2FU3PxAPaXCglGm8MdGia+Q+SzKaEEKkBxelYUwzgs9+
jzd287mlGL1lQ09JsAaQvK5HP9223VCuxhGl8aYBwY/WQVwBD0uoxl3waIJb7WwaT4FmBM02tsNh
4PkCQNK0TbAV9Kc4PahTIK2VcB6/wyM1ycaIlHuMpWwXJkXuhokebJp6xNTQD4oNnsvRpwQDDOgo
tNKiWu9dlJ3aA4+20lcTwpiVWkSKuQK2NtBvh5NHgkl+qKibPM3ocI3TTA1wu07D/srmfkhskzx8
NiLSJ9mO/eEzHpUtqepVgldLkp3KPDtJRGP/GKrWPxlpZV3TUGo38jjpW5SPEKm0wQSejoI97nox
+EciULUmcX2c5Zgl1qgIA9ktpG1pZPW1XszSd4tCZXRTaZ5/8LGq2UrWjPwxjabyO6jo4InO+qnm
XDCZTmd1a2nW8NnH/o/iikSsrSCnA1dmS6pWdBieMbA09tLAd1HnkeKRdT57U68QslPnzUlt03qN
rPSpa5PB2oyIM5F09sq9kZTqqs+ycCtNcNTySX8mJ44wqCY7BGYXbDB0t29lX5U/tdQAe6y+TJeo
9uEKxFW4s1Wojo9b3jrqY/Or3vjNlRTDhLSkNvQKkaBRF6W50+W+9DLR6Gsli+RVagHjkoN1XHIp
uP1Av8O0qoHXSb/VSox0j48j30iVK48Qv+RNSdNoB09YRrSbYkllNVuffBJuY31paxsN/0juooHY
WFHmr2Y5+VFrZgjRSbLXi1EUF5122uaGn64mo6McpeW8zhZfWm9UtOHHNIjPpaiTfdJg5qNjuby0
8++wLTR/UWMV9z115BWdY/yWQb6TfD1Y0nDnCy7IK6vpymvk27l5mjK+LvQDgXXAhlWOIsiSlt45
yGd1zZGKybiJcl36pFNeWZ7V+1G8jXMz7h2Ynv437j4Koaj2TJvMyO5kTVa/TnXVeEVUwjCwgoSi
TFGSL9aYalDb0nqV5L5+R7r3AG5jp7uoUB+7oS/vhpDc8azy+5u8rIY9DHyiGGpTOfjGBIOHe8K9
L1u9GxfwTIiC5Uqna9ZDZdSWCz9Yuo5i9QseWurWCCcAKjkNDRrT6alDbYhJbGsecMjmR/Rl9oOt
jLZqKI0PRVfifinwYtvNi/cIEjV653AspHVq9ePVWJvTkW87dbRe2MexCg2IYskTpXF8m1CGQIOv
1Nscx5cVHkzddsxVYxPIAZcy1kkIAFEluwxWG4KpNLqP7bK/Elz/y21PN9sl2yD7hgFU+bWsqupK
IEhwlTKrtmlUSd8B9djE53SxYFXNZGupeM4Bp840ozVf+VUPosVr10zXpRDBOgWyXTd2HRm4cdQa
jKTEbKjy2BnXokCY1UYhOuKkeAjbOrlRk7S+MwwtcXHlpFSUJgz7MC072RF3MxnK37Ys+58RkWU4
klWNUUAriyAzmkn5bTZj4UBKp0DFMlth/cG1WXMb/g7jpM7caIoUJ5aVG/SdxR4WRrj05puDJirr
NPaquALy0m4bksAglmWmuu1D/wDpWKDzmVPTpaoJSZSPFc1rI2kY18jO2nsScfPrji7id5toXyY0
y79CAA1u9j7l6gClbgUO598LuZWvCsi3xJ9wJzzmQm03dUST0aXda+xLXzZRJtiDB/Nhh3Wt4gQw
0zCHaPSMLGFlJo/XlNvnDhx3qSb7VT72hZcWYiZiICYoKZHV7zNYDNq8jn2M+z4PzGrMDWHJ1ZoH
8JwK+6EMEujdmbDvxKyUcGvNyJn8LN0qAwYLSpU03lDV8S4QdeUGZFZMTt0o01HCUE/hHq3rD7Ja
tbcLsxdIRNf5CeaBklb/jOPx+N1omnwDOpmR0kTKJlWUWT5mwTDdWNWk9w5xyTpeLc08E5VF5Loz
tUn6LZ3ToXnEpYMm3KzY/UbJyUqBuVWIH3YWjM8clr2LdjM4Ir2KoRWilXH0YRL3nUBzAu9FLo4p
3hbsmCgPSf21goFAWUziDkBGfnD0DQuuXQJy9CQPQWluNTY7kldCQ39ARzR8xhWtHkKF4sWWchsX
QqOtjvjN+F37MBpKP1R0pkWvalXktorVlpm2GqMGXwauhuNwmpRQeYh7FW+wUjzUnLQnuU6yZ7AS
rhwlfGBxk7RKNRY+rBL6s6WLuFCK9/3vGqYOQQaukOdRS0IhS4UHAtNiezaPNkeDyTXpgNk6f6qi
PMxPVWLV0Hgmn/9lakKfBiRNorniC8PMrU9hkcv21dzRMF4hcRX9p8BuBVm7ZIacyqGWjW9drqnJ
aR6GyV/7BtaAeHPLbU5uk7WQl+fK4p+aqhQQMSROyD7aUO30u0nViPCBB5zFvBN+GDVCRFtVeOXv
8pmN2x9/ECGbtLQufULCPtdoT7TNH7tBC9559hzZTTvfmTN8fcGegijVRaEx1d4MfSY8WHMwxwdy
DnvzRpNaFZdHLURyAjaghvyXUJBJcNMPrIrNcMxkM9hZU9TF20WLeJUiNJhv5lj3IxQEmQak6c8U
j92kNSbGQWpjWntIA+p4rWqLZXaC1Zd6gFCz+GVpkEEylYCKAniirFDBuBYKiOxmmKVS3hQm/vo3
fcJdeld16ZQdYPNKGA7bAw1vclGZCwVnMD7oQZxbwlWQCRRrIGxfeJbSqq3H1RSwIEhGWcH0EMMW
l44FZvaO0KdsLwMvdCth2iI5Db+1T1JUE8hj99zQd6WSw+ibOxlxtAPG3E6/Zhxu54Le8WwZv0xd
g+Xnjl3DelKUcGnnFAWrRJNq/hMSGxQtXU5V6tLWmOk6Gb5oomMKqzI+ZGQTdxCRuNp+ZTOO1Rvu
QnHNDVmpbtUiVb4nIT3pysmo1mpqePz81lFAacyXU4Le+8tdRjYmjB7afgF2a73zHY1w119VIyn9
p7+ohWlvLfQJuJvLYtFR1BFAqSsFl6fM9KlGSh9PD/xBR/1To/gB8PA4WaVjzkO8V5vQFJvaj9mk
lLqdNYyh5qLYVH6p5huuyVO8FqOa644UGHN+E8cx8wybIgFYnFVsb/dpFChf/dhsp9FpgkEPucfR
wXENlsaWI3CwjzNXXWm9NGXEKZ8bUTkc/LN6G4pGCp0hglsa+rT+gbkse4PCP2s3lTwza8AO+6DU
HXZ+4nc8QIjhc3LCDQI6ld9yI9hEmjFkNG7i3F8NjYIv+FCV3K3Y+Ebs/nsB3ibM3rS489EP2sN6
m629jldouOPG0/czOpWlYyd+v9Zag/t/r6adTTw8erJq59e6TLc/kfr5KDWp0TtFVrb9ZuoyS10T
jjnkV0NT4RSOREs6sLjIcupqUewgYpr1ncBet/xuNwoSgck0CCRq57jcU2qq04H+UIe2q7aMfJvC
RZXvQggR+YqNUJ9X2Dv38RXMMN0GVlCa/DSK3F7B4y39zcxlnztsbhv2kcKoihxLTsYMoRyytr3e
qhHgLtlID39I03+4W8A0re0m41w0P0ScINhVRI/nPryVmyDjFW3h4tXNT5tYpYRLacHrJoM+g8yt
6eqDmWZ8bzBeKKbUOSh/arzq72BEibZt7bGYNoShWrD9osLXVhMbg79evjC2aIuifgt9g6XRxun0
9OfjbGuFNWrJtV1tZcRzYQIRCAOlbd4rizE8ki3jCs7j3JDbmOnDJuWiaGzaGiSRphB+uuskbuID
1PUcaZimtfkqhHo07Y1JrYNrTfaL6hBjC4mmZYwXuVYTFjF1ZRspVq+s8mEGf8QYLlrHLFxzY7Z2
0rkwX+NDP9lVsDPhL/0yG0Kxf2mFrswgz6pP5qMiBMhOJamYqtEUybKvou745iMM8NGTEu0IcBoU
KbYR7qwxuRtV7dk4SlOkiafOWeANKpK3VZP2rTU7GNZVqae3ZjHtqdhpXS5yY1ioMdhOsucYMJKT
3lsxhBldZpluaE2CrEt6aWD9H9vTl2rKCf2eEhq2NCJq9s8/jKAxIS0Xh3+MMN3ENo1sr8+xjPpf
RIucuS0L1f8SmaFeebakW5ICUM5Nm30684frVICJXdtjFBbEoiJy2ahtG2nemPb0s0J9RJzspk0i
MYcyk5LMwTMuTfeEIkvmapCteDtDdda3Spi28Y5yw/6MVQ8Z6HzBqOkCS275XtGRhqtsbqonuY8o
u/EuVvSNAiT2ta4sf1iJhGxt988ZIWFmXq/HDM7Yuohi5V6PjCI48ZD04rYQkw9kwf+j/VIS4GNc
/dkxzQod7Oe+hn6HV40c6S7yO1WbEWNqfehJTcffSW4kNEMRIilgBybWe0sa1RzvVF7lruxDEbtT
p7XNT+SK/hLAhVTexdShNryJe9hnFLCWWMl52jyWiinjiTFZM3ZFZlEOauuGY2dwU+Yly9zZAtih
29xsWRbK5HMnlvANK29Q4ACepFM7Sp6cR6N9LYF8Il4ogs76luJGm57EmBg/gBmq6dhIrRCrmGOx
/8SNSIdnyc13vvFVyK6fzKCr+HzHot+JWDL6Y5oH8nwHfY0/NKC9dMAgrKRo50t1KH7EuTEtGg6I
4+1BQwZQPXOepAkHigztMnXAr2fpCrsXpfQGRDzyFmezBRAmi4LEmxUltD8Obtijh/zhZ3WAEAyn
uuJo1XpWhMs2pcwrSV6cc1fFqEqIChSbhsJwwJZ5KhG3WcWAiiHTsn5tIDVTv9UZoWkrH3MZPiqa
AzYtgsiGI+EowObch2szzPv7pk778pZiYkJOiM7cOpppNwg3jtUs25Z+Fj8mNY4WLFEkbwuGPdLl
2OZZZSlX4E9ZtabSa7V9QNMUsB0R6PzlrzuSLncauSRTgLymiZKcowvGgNnyFWfZfBUQgfxTiSZ2
AMlQFgKbxaWy/FbraivAApDjnha58nhvYWMfrKKgY53lVs5Lk4m4L3ZAF2W5lSQpqN1UJ/H7fpa5
02zllKpn28+m9IVGU7MdBnkqXYHlQ3z0+yV6yg2MfhqhlUjBs2nS+/xOzSrlXwOMtp4g5cXVDxkS
KXXgMIaGSaxKFY7cAehZkiPgtJkaPCEQHsKvgz1W/nd98lkbPvCm/YsGy1htif3w+109xdFKW2LP
wLBDWhEHDa/25NQEXOTXfm808v0EnlU6wfJgt/i4Se2RaNoqv/KhUMG3hU2ePOj0+dnoE/QbhaOE
IU6LxMkKVdA+5NL1Mwwjo8da3i+gOeZTRUsxjRsqqkYJA55rdqOhhOXzNWe79yZ+8hA5nZbE8y38
WY7VImqN5inLu3qC9BMMEXwSulDdAYecstjW8L+UpckSzce5blX1CnU5oXpk8vYTtpgD5ZnvzFLR
Tl+RC1YR6EiuD6esanNx15PmKrYIsNibKyr05BTbgzHv+z7N4aqUqHfNkTjzqYl2UeMX9k3sm8K8
Iq7eV2m1cGMxAEVKZfnqcb+bDtQMXbfGzXRqH0xdiuw1MHCGqf1frNVu0GuwwjTI/GrVtUAvNchp
YQTpOoNTIZXXmtS3in2SYCqGC42ci263nhk2yi+4VSzEjZeUHR2uG/wmRPEWuMMbx5bKR00TCHXc
JzFY3ar8Q49RQkM7ZCY81s8QJgQZXegsxQUnlDdDC5LILHyWKGj5GWIh1LxgsBCXS3I1N529ISnx
6FlGBu8f5NC4LqIZEsufQ6EKOoqIjwkt51QdNgF2Qmau2lC71HNDH6RtAeBuXu4byLKyW7UZ7+4P
1Sw06OZc4M+csQAXiERHb2DifoEwjFm/nqhO3VIbfT16BHcb2n0rMLx6yGMBA3gMdRqjtgKr4WZO
+Qq+2qlNgfJ7vn+LWvq/UkJfWVz/n9il77NU/x96Wi/ek/87s9R5TqP5+SWzdPn//5tYav4LotNi
JASlDIKoyhr6y9Dasv+lqmT/2DL2yNgG8id/+VnDOF0MdHBJV3EpWMhZ/+GV6v9iBUDPI0PTNomT
/Tu00rP1y4LiL8D0l0YQfxdcytcLqlMp0gxNbvAxCHdWaBHyXXPGzZsXj+Pmzy7wkjx69oH+GUYB
NMaTHjbfbw7niw90mivbVuep8TpJOhStvOGe72s/tRHps0gucAfPXU//jKbjXsVQixHR4un0YrSE
KSm48DWeVZtXAXbiblQNXyMJC34TPw63FuV6TOQKRYKyqnHywfrnm+JnWMJGp3IOdyPFmREmG7xE
nmTb/tQ20pePH8gZ0/D3T6TbxSNnaUBcXci2L36itJiZEy7eeIEqMq/MpgZ3Bz9wNAg+SWGbW/Za
uDR1Tu9xkFcfD77sEi926j+DGzJWo9hH4TxzRviTO6s0Er9svBQdMU0HXrz0+PEQ50ZQf96BJX7n
c6pLivfrCSqDRpoK+loPfAEAVMHmsoTeVXKWrWh73AOZfqpA7xGp35UJOfAgP5ifxOMNgoGjrI47
qP9AbXq6CFALWhRjdmFRnrsY/XkOUBHh1+B3ZunLqn3xEhaHijkxaF/AnO6AHiZH6epNH3NQ4nGz
RxH+FWqrY4FQkfdOlzAUraNVpjdieFCHne7KUvcY1tW3Ic/v5yDfFjCaHBPwfv3x4zz/THUo5Jgt
sZ7hXXPcnL0xOJWRCDFW9jLZOnRTs410bCQK4wIT9Nz+DbttxoH9ruEBiz/5Ocscal42xXnYeLVd
Pwe5VZ4aPPLWOEqSyJuZqQe7ixvqlBIxFnF9x9TiAvfVYGN7tTiXn6CAtLP9yWTZiuXPX7wUPcvN
lMC42oPiSYMzioc1NX0Pq3CaNi1CVAlb9mF6iMpIcnrJVx6DRIcbkkJdkvWkDF0sxaLnvkTBRs1W
WAu/Z9zNEyRQdEBZuSFtu/k21v4JyudVWZnZSUcX6ClJv5vjuVxR4S1KFXRIfal4+Fhed6XUeRp+
H6shMK/7pNgQ/eV/LopWcbDBPdqyqm35GbivkcQMIqRvfGUMPolWFu5IxxWQpiMmwC+ukQaZaxHB
ItaTOHaHmi4GJKLjkEjpGmftXUuNhdBMRq1pBi5iaukBF41kI9tBvg7E+CQyXI8Vg76eT1K1AW9W
HdS11rf2ERr+hYWnnbH+f68ITIkhJJuQwvlkXr8OLOYs8LWmxpgNiz2AvQRx4BC6fDp3Jl91PkR3
bWijaRqtMV+VZdh5Zl4TPFJp8jOJhF+6Thuuh47Wf8HKdmF4mF6TFdOCLUvguMGp6UkRrJHdOUxZ
ehhr/rCsA6RfkL2+AfFOThR3Ww4RfQXND99K2fr19z8wHeAWbIYFqGpnhmZTII86JuQ1+3EjfU5x
sz4Fc/MJ9Pn5bw+Ez75gddumimff2Z5jVBZp3XZZezUej5munww69U01XriMn18Ul69oSdmmA8u/
xfkwA9f0uuja2ivlNNnm1QwlkqasNDnwlCgfuqFd9036GLPcLgz93l61TBHHU5QZ7CKvV4ysYSFT
tsywQYn5DDX4BBFXefTpt14Y6fxWwSQhwi30dU5D7c1I/tzobSr7pTfn5o3eVdCWU3EfcJsRs4AW
Wv78+N2981CNRU6CvbMM/2a5yL3cmhSp94mZlGtPbiMar8B7KLmcSDfalV8qJ0GkEiljFyb5zuNk
ULAiU6FNzNt8PahEwkI6RkPtkRWarGwjPooBJwdVjJcKuPd2fwNt/LL76lRy2tmZjTwObhyuq55q
ls/BhGzdREdt65i84Lix0odxN8Aqr+Qmd5ss+fHx033nbRqUcIv3uI3l6XltY+MK2fp+XnvFTLyB
OudfojpdAftAikyVT3RlbPfjEc+N95bNzVBxpoaKi3rL0M9fKEZM81hLlae2tv5A1ewu7Lwwstl9
p/SOjL1whQFjuTOGQF1bah0/Wk25Hlqj2OjGMO/C6d8VFrXR+wkz778FMtIQm6l0oM5fuIEtn5UH
IW/BlzfYh+OMYU3fS/sHQVsp3Rly/4Tc3RCt1GCJZDUXbkXvvgbsQhfvXgUuofp6vZm+FhO4Z2OY
PcR3Lf1y7AyOqpFfTWBB4PPB6uOXsCyql5fR5R1o9Ay5cbBZvPHqngwpYCsDYE5ne69WxQNxZBfe
83tTIj6Aw4tSizL97AzDvbBL/Xmo8EcLxUa0fe6q9NI3gzJ9hbpx6KQLA76pQH5P6j8jmmd7YEBc
ATKTiRGL0l/HvtRflzhPrLK8/97oJZKN2swxDygszILgXehc5TojecTN6So1yq2NKsLzzeZ7n6mn
YBEt16Y2bmMzev746b+3uwhF42QHu6EIPKtDJrJU5LzvKi+R4i8mjqyDVl3pcXj73w1ztqiSDhaA
0fWVh2eQvMJ5AvN+GKo+vZML2+U710fj5YS018u3SGs7mqGmeBHENYgL66yXrtPO+NJm46W3fKaX
+719/D6AaMrbaObO3jJ2+2ooUrzlY61InVxAx7MN0EvlqrH0k2ylOylJtwSxFh4k27uPH+l73w0G
62jVFstz/vV6osMYRYNcssQyNYcdblj9U5ON5df/bpSzIwG+96iG3My8CS4WWAFGYuk/KDqYiM0k
2Pl1DOtfz4T8TDwlS7P0fDy4PSkfg/U83aGfn3ejyT4ECc2VjUYBa021na+ITx/PUXnnjgv4wi6D
Thf8UDkrOeJx8kd1zHiUpfKtqNIHiW4yxqUDGcDZ57FKHkUZ/WrJfV0Tm5g5GcqYj3+C/c53CApg
CxBefgYKxNfPoIh400mZE22n17431+kzXJy7Ph9Np8arx+lxfMOMIr2thlrbZ6QaeG2PIDMSEFIp
GVfgGsltM/kh7oL5PmgAkoumTzd0XbHbMqB9j0myS7E1qfMQlX4xX9ElCTZ4g9AcCZsDuQBfyGvA
zQnN0jjaide2eBRUSpx4JlYdrqL18oqI4l1a5fPXLooorwIckHIiTJ2MN2ZI87QCgc2dCAMzxyyT
0Zm05H4I0xRzHHFT1gRzhkVIy5KeDYERihsO2YnArfYoZHgh6hytuzb4NPaQkcpE24/1eAwsWooJ
3HdCZizg8ZlGO81EeSVATWgPzs06DqN0g2P0vRFNKtqXwNj5s3YdjshFMeTK12Ey5I/KbKsOrPtD
ldWD18ywfBvLOvYA+ZsJeaBrlBApVAVyG20rZZ9AXl0gmF+Zbj5FDTbF+bSLpDhdBY2N9KWo9UOn
4BpfQOz8eD28c9O0ZEKwQObQWrOPvF4OI2pEvJ200oPhcOqL4REPqTuliW/M0L8ndxs7bZ79ha3z
nWOStCAaHOjgZQ7ks2/dj3PNzuggee2Qx9BVYXmS7H0rN9FNYMd3/FP/YEAKLovcBhV/zPNSn+hO
cknCqvTwZ5rcMrXg7ofy2leSvTX3NETa/MJzfQP5cDBbCHvhJGjcrUgKfP1gRR2mExzagksmGvZK
x0cHYCi+L+i1On0efe8q/tDoExs5hX6bZdlzWbRHflp+ClSYVH4ZpjvFjtWVHo3TtY4JzpOg1b/p
FKNxYitFv/3xWlge+6sLEqFs1DYK2A9dOdM8WwsGqnbdLuScS6p8Oy/yGevCBvhm82EEQYFBW2FZ
cucVW6HUdIz0PvfQhR3zUfpR+MkxM6NvH0/kvWHgl9vAzHhtvw1QgyNiBXj+ALfFjsBFlPw0GHr1
pWP5zTpmOjYQL1UMl2jW8+t3XMHblPKccZoGKUZobaHkuYl0X6TDle0bN2jvd77M0A2CycR4xuds
P9XmbauYh7n5TswVCS0XfpS6HGLnbxFAnwdNBiJO48uPfgFrzZDxLB8nSw9bn+tiQmlJ+qBiwtat
Vmapb6QYzY9trtpa3+mNsSbzga7mY2JgomUoTlTlbvID023X1mcSZPFGVW0PiuMKZ8h9Poh7WLlr
Cc5wrXWOol3RqNx9/PrefawvZrDsWS9m0ISNbjW2lntpq7lq9dQK1Yvl4kSW7FqotfcPRtNlXQOO
ZNGcB+kEdidHJvwVD4kIUolrJCf4rCCLKH5FaPY+Huy9lWm/GOxsV8gwXCBXmcFkzJNG4qDDznRM
4+HjUd59gPriLwAqwx50ti6RPLeNhXYDxfXk8BW7oxzCRj5y7ruFYV7YNt6f039GO9s2+n4M4hI/
UA8/sI2pTZ4ufQnV+4+n9P4gppBVFd98QPTXa8LvTXxES5F7ljStpfxWtvGogjX78SjL3/Lm2+E6
8O9Rlgf7YuWlPT5TpqHm3hRjNWYf5hYVhj+uFfFfTudsiZecqT0mJrnXa8XKyn6k6qNeqRcW27vL
wAAbIwMUlPu8Gl3im/sMc06vTBtPGn5pRuWRF7uScCVEq3jhdv3us/vPaOeVaIjGrGsGRgtEsx6x
ecOky5ks3DQ768Jreu+gsg0iW2RMJNh9zxaDUcmlJhsTi0EmYK8YNhkJzB+vhHfX24shzlZC00EJ
66WRlWCqq2jYk2i4CiFAfDzKu88MuBtUkROXa/nr9dbkWuTnHctgmE56KFP3EFklb3F//UcDYYrA
eUhn9BylDcRk4nrO0d7qEakZKIoUzOPV3BHZhSP+7ZToH+FdtOSXsu7Ot9NcLRc1owX1XDc2mlbt
moZ4sKq7jstLFfjbk46hAFu4aGm/AejXT69Xy1DpAIw8XzI3aBK+9GnphUp4JSWhl2lHRCF53F54
km8XBoMCquOQBGoGlvd60AQbS7xpZq4wybyWzQe7SK+yZriw/N5+uksXjvMIjb6xgJWvR7GhHM4m
tmuw22bywzPUhNk6kR+iXvW02bjwzt6dE4ps4tIBusFnXo9WAcmg4OZ7aqVkpVAbptKwzlDGfLza
3x3GYBBa5XTmz1P6BlFIQUBSrBf4vTsgGCGqzpVoYX08zJuShlg2MvbAMwUtRvn82SVYBNs+RChP
g+yIYzhCFd+hqumxFZSxkS9Q3H484jsTU2h9sBORSURBc/a2Ysj0SRhPGddazCQL6cgrdaouv7DD
Ln/N69OJLJwl3pB+C0XFeVcAswQJ1p+VeUEjY9VnQfP6hNgRSfDfnw4wk2mbBAwSUnR2fQjynsxN
G7ZAVoh7QkJWyqDfUGhfiBV/bzoGly6Npje12fnmp8xJqqWmlnlxnNSupTehE0n6hYP2nQ8JJh28
FhgCdJvPE9hwMe4xvpwzT7WntU7IQSbbR/xY1yrUDOyPnj5+dJeGO9vQ5UkeCG6WM68apk2s1tdE
sTpLCWAvdqxF8/gPhoPXAa1Ho59+DubkYSGraEAYrqzRSdkeWTZeiFI9jSwnnpsLu9I7G64Ofxbo
iM45ONrZwoACFqI2yjIPVjaemCjy5gqvg9A19StopwhmzO1CHf14ku+cKK9GPdudOgP3IfxhMw99
qltGM3zbEa9k6LWZcWGHeg+gs9igwKllCrs3O+FkZclk20HpNZglWWa570YJ548svLa0EgdJi2ws
P56poCr1Vy9Z96IeLsUqvtlNQA4IvKJjS13Jgz67eogBrUrbmQV4a+bqKUL+odVdzoO/fY1iIIPC
hz4FU4Y09Xrb1whewL1+LDw1yb4Zsb6hS3zhG3+zYpYh4JSpwhILa/Hs3dGvx+a1Rt2YDOqXZqgb
N8xz0sNCVNtx5Cz4vxFot2ajX9rE3pwCy8gL0ivryHUp1F9PLoepTw6CXCAAj/YJEcZp6X9CtnIz
hfmNXpAImcf96W+u1N9jAuMsDTVYE2dvDhmfNcutwmwTvSZwdb6v9GxtRiTbYN1xYbD3Hi1UOjbP
he/35krXTWQ1jER9eqlu3EiY9mNvkLmJZhxKk0gxYd5rlXGPwf4FcOW9BwuwssTdKiYtgbNVow8G
J5yAeN9jY640a6QomKKSNYK+TkFLq6JXTJKHj5/s70P71dnHySro3NlcKiGJyMtH86IyS3r803Xw
ZK+f7WTHQYj6m4YlQvonLRkDEqMnw7HG7InEny0Ei1WeJAdlMnpXamYei2lXa2hF2SYYptkNak23
8BjW9LVUgLLW8Q8hStgwUoMlGvr73NB0ElvrezPRn1A/Ppr4/RBsoXzWkk53gFauZjPBbxs3cMda
TNA0FfODuAlg21gHKAS9g6VFuIrtJFzXTUXUjlmrmyyxpVUfVRdOOXX5jt48HsgktFFtEuHF2Xem
p8IoCccusJvJ6GGYknDUpQVZNrKDnlDfiwmRF9Lk/bSA8iHBft9I5tlg/Tvfy6FYtV3YrM0i2+lz
Ea8VE9e4QaqQLUTi0bDibBUHkb0plmCej9/smxOTF0vvFz81GvEw7M9ebBuQYoabPTipQXA2uYOz
g0uvgpBuDI5WyVvtMKy48O280zZdTkvuBGAkhk1H5vVyStNRV+tZL7xF6L7psA5x1ZQefAkyDQkA
aWg0ZxkQGBGRZRoprlDorcVxjlmLr31G/vI0Du0XglHx6pbn27jEg3Ss0motF7j7ffyI3jmVFphc
0/DnMrHMPP/kyPgJKrMD/MCKjiCK+JOW+y1SnIJ0CpRmy//Mz8QHSMFsDGZnlW0HdVBWH/+MtxsO
hz5oPcAqCRDwSV8/szFGU+tbQ+5JU3JIJ/lKljH+aojMDBGxTfZxiOgcWVzjPh73LU9BY1+VQWUW
ii1nyBlYotdjRD4XMCt+NhHeQrZXhjNOUK2FxfdTjbciqxTXhg5J9IU5vzmLz4Y+m3OFACzM5JQj
EtcM0kN2UwGDruwvvOELw5yTwqxeTUOzSvgI7P6Up4TytQ2mdZcYF29v3DxIXH1N9tHFwXb58xeb
aEC0b6eRHuUNo6h3Pr56h1QRlyIu339fxA4tpHHih9TlQvdiGHW2EJiRAQ5TL0GoJ+5DQ1wZUfjU
2/ZNF2S4FKXBoaqrrdpZ63+yWJZQaOAhiiTtbD8pUTLSgwsYvJT2eYec2I9/TiSIOfjJVC1eXKT/
uFb9iaC93YWxl13j1S68rJYXY59NPJa4C4ODFR5Q2Ea303VtLFxeeq0TliF9/6kS8dfRkj6NTXnE
uPTCh/JmK12GF4oJcxdcAuj39XMPcnOckWQDKlpP4aRiJB4chuqaZI6tKewLgy1zeTPXF4Nprweb
0cnTtzZzLyPHpAfmM/puNegqVMP0vxzqbNn6RNwQYAmkhLMMyihcntn9lP5OhS/28Rt8f1I6QbOL
+zUO3a8nha9QWRkKH0hH/sC6NBCEw2Ic6SDP09X/cHdmu3FrWZp+lULd0+A8AF19wSBj0hQaLemG
kC2b87w5Pn1/9MmqlEIqBU42Gij0TSLznLR3kNzTWutf36+aNPn9C+MhtkZaYau0dR4dQzmaXHr6
eLLJabo1WMrQhfdQrfGVUr1u1LITM/TT53sz3tEMsYa079Scj4bb18FShguYs7vaxl1VFdt/5dEQ
2FGFYrUfS/ygbqkKTnJYQMe0FlS2fum05arJcmwL0lNy8g930mXmo6xDvkW+xz7+bi0U24CEBs81
6S16ZiBsNG13jvDbet4lGQ0Oknb/9QPSI/NxCRAEw2pfLLtJzRwtdwpt7DMply5TlZ7jWA5otM/N
NUcYvciF3w5ydD1VI47m2vRzqhKEsBRfvVSNNUQS8m0q1eA5aUaIbbXfWHbS7ESHDiOrq1sQMOba
mpvtRBazLrWLZFSvp6Iq3SQ2IWYrUb+mp1CC2Qh3tsMbb8WlFH9VtbpHx9CeT2WI1w0KpXXYFPpZ
gKnA0vQBqxMqL9zjLuDDoG92GkBpKb5ufW7/Lns53IIDM87LPt72hXToOy0/SxnJw6/TgQEh75VO
s0H+afh+p2LdL15dcyH5Q++k2x43hk1h8fRpPr9WItUvgR4+huggvBH9bI3TmGvlot/YunSvJVl2
3irKs5GZ460gnFuVoAVdVatmSK3YMtO/amF2VRYuMNh6N/QSva2SKCkLJmfdPG7LKstcB0yma2Hx
ex0lur3pCiu40vVcwZlHySi8IovXDa75piK8MCIDHgfyU9V2d4MUSK5WqFdWoOxS8LIVckzVWDcA
N5CIq9ZTtEBo8aJvKVNrOKuF0nQxpfLgRekcXIPp61cYOTZ7hMc2ZWZZAoAn47ywiEyGKE1/QSuj
W1Cdqku54a60tP9P4AxorxQGXhdqcm4bUIYBHe4aOTJ83RTybijCc0XSkOvl2bCLFzZuoSm32hS+
BPmQuMlwG5MN2UN3y92+asqVsNOfhZ5Vl/3c/CAunHlsx9OQd7iOPouNptGmPsjldkCnDS51zNm0
8QRFD2Bv8VmnTJwo2x60tKNqzsp0Jo2cc2J4SHC1LbByuu9nvt0Q0KYej8Jy5640HqeKuhMGpUl3
Rj/F2ABZDNZZIsDVkRUlidxEe1yt23uFvgRMpGucj6xc3Sh5aHrWrJd7vWtHjJdCumqTuvGTsHws
bZpx6cJNV4M9DNdAaAPCGa3bSW1wUdEa/n2QQmMfqmF6aIJKkzCuSiy3dQCOTXpwbtqS7gW6PsDZ
bJJNwYtvffgIg7buoTvX235UpAsTS4MGmVEDAlIJJhrQI1e1wmgNbK+97ijLbKwZdg4BRLqiTXhc
ofsp8EasqrOcHN8Om2vfaNtkk5SlyR8vHyyapJV8KF+Mzix3QWLcEPjBKLM4q11wvM6u7k3xEmlV
7icqWie3mNrhlxFFKiQ2fejrvaPWg+1JwN5h6nZ38aRsLSJsOAzRSlCJrKQBfo5DSQWowH5UjScr
GpWzWlZoJaoymKWWNV/R59SshlCC9cI3mbWOkK5ugfwrHSGGW05BtiqWxuVMwZPOTaRhOFfD8EXI
gwnUhAMh14xE8+BXzFeioiNoE9oTHVPc0y+tHBviSsPW2K0wjA1XWj6reOOUKFXssJlXldrSVRKG
tbqRrG5IVlUzWjKo2LK6kqSiv7Byp9+3CmtmrST4s+Sm1N7Gk6TsdChYwLZyPf4JXOnKiux2Nfeo
FMoe4nAvB/K11CPzdYeSnWyC2HIeJMOuH9pLzGAGcG7Fq9GBP19VUUwjdO3MzUqKDZJoQRaYO6U1
QiByaTNcGoVxk2pQywQhn0Pa4CxNI+xZq0D3amlcyal+hQHAge6r60HR11FQfa+a5LWZKsnFi/XM
yLJLO5Qxlh72OhZJrgUAwrOsKFp1jfIdniF5BBk5e2cniH/AUUy0LGzmtjyzzex6lgHY2HFT+DN4
YY8L8yMS8tbDR1ysU1mhDZsTA+x0tZpC7YC/Hh6XfadsxkgcSDK9wn6hrtFOg9cPsLEjfVhx5Dyo
Gf/YEdZvBupgVwYXou7Pgiq+LzrdG7TvvZhpLmu6762Zf49kgsgeM9SNJFdg68Ut3nUXUl4gWBHw
EmLLHySdPpX6phf6D3i0sTuYgw+DCR1xvA15M8rkXEsiYIk9OF3TupIp+1lZrG27uyigCFo29B7F
GfCzJXniTTWZP7OJzoPCWAUi/5X0vEDnISqdVV059yhq1iRnd+A5fgdJuEny9iLMorPI6PzR7n7J
WXHfDzqeeMqwn1N1ye5x7TTp80m0W0uRzgAJrxSiqCk2KALJl1r4hIlYxjKPvvcVbsWphVn9kNSr
IS0O4De2jsleMIZZcSMprPR0zh+0fnIHrPEUo7xC3rsye2EgWZR+Rn3Qs7uGl7qSe3qsPEl6e60D
rt6xz7iQ459ZU89pP60sC/O0USl+OGSowig/k5vG3oTOjRkA5FRG+yUv0wuRmxcwZLNV0jMdh0ba
Tpm+F4EBHJd/MGpBeUjCKPNq3cDDEsB4asAw50IChlAAXJ5MsdLteaPX7U1ajL+Gqe33NXJrsc/a
ITTHTWTCM3mcorGPr41cB8Z2HZTWGPm0tQEVjNN5T8rt99cXpE8um4twmeZxVH4a9Yn3l+koieXF
pLTc9G23x11kk0cSrUDNGlzfiXv0ZyHncvVb1GtLotk6itP10hwSgePrxspLduxgbU4vavGw+AGv
MMIi7azp3kTyqrJPaQs/id3R+2PMo5KaQN1+FHDqclTTzUi0OxjmzgYFHKbdxSwZJzIRyxMcxVtv
n/CDdC5vcIwWDDNl01kYkwiFP8uRUO0GqNgz5odIGq09RPe/HzO8G/joM2JpKzU5qI2NFjh3gJnW
RlGtO3Aa6ij2X8+Yz14lsZCNpI5rNe3K72fMOBvpWBXEz1KBHammXHN1XZV2d/X1MJ/EySjjFOrr
1HlsssrvhwnVUjFn5MGbbuhc0/muZhA6Og3ZReqnknWiavsxe0ePK8p580+zKTj1o0hZ51Ioi2AJ
8rp4gd5JXhtEP0SdI72rdpKen9cR6KxwsWAV1m3WNyeKMJ++1jc/4Ch+7vRKH+SRvEAd06CemVud
Xp7MHm6+fq3LX/NhhlKpIwNCOw8tZO9fa1abMxsvQRg3+mhPDr92WQqnQtjPljpJbhObQGyweLFH
8zEYA8AyEwljyqvnGBTSGErDp/2kDleTKl+pev4Q6sO2s2P/6+f7dGR6txe0AnlQHvP9A8JwttQq
E6z0qd2bcr/Py17aNnb6Y24Qt6Bpz+E4a/dhHe1NwO1fD//JV2RQCv/Idxx+xVHsnkZZCoujZB3O
OTlqMWGkYcHNbzpFP7HXfBLYwoNYMkgqMm00ru8fdKrwqxqbutxE/WycVQZmUHmuLorQId6mBo01
cwv2C5qMeaKQ8ckcejOyIh/NoUoqOEssHtJq7d1SzwpsffP1e/zkWFqyEnxGBxkKuIz3DxfOsP3x
xygxcRFnhbm1tUuNeAF5zImBPtlm6DKhxUKhyxA7s6Nll5tOE0EFKjd22jyq9U0zpa8Y9vl1G55Z
rXlim/5seqAWIq9L5z5VsqNlMUv22ADT480B9GyEuW4AUofjqbf3yQdaAkCVhltIOJQ637+9Js5m
sJ3snRTJn5ulXczQr7/+QJ8OQZKa9DHEDPbO90OMWTHLlcwQYzxdmFhquKo4JUQ/NcZR6iZUx8KM
HE4aiH4rCmGuSE+lwT/5ILhccZIZlNe5Ax2tVzoRhop8BaIqR36wy/i1x/Q7QiHy9/cF/v6F0UIk
Sh/n0evqURGPAEQR3FnzQ58nP3qtwJ17kPyvP8vnz/PPcY5emaWHfW1UnCK0T0gwtntvsO27mhzz
1+N8/mn+Oc6yrN5UD6Rh0mjG4nnArlzjVngt5dGp5PWnY2B39odx4RjHSqpuMhvTAaJPfBr4XaBu
a1zf/4XHoNcEUz4bpe3xqV/Zkz1SKCclKaR9Iorzvj8Fo/pkJyOXuIhUAffwLEebpdw7tKk5XCzA
Wv/Wgw7oevSjbvPz2TlVYP70hVlUjFDtaXhXLv/+zUdRmgDqaE1Twbi4bEczj9T/bfUEIg30GghH
+fi2tYCN3o3hlCmu7Mg5UcZcOlKJB6/dr3UYzVjC/At0qc+RUO/QUv93AKr/gXQpg5f639OlaNQT
L/92E/98eUuYWv7MfxKm1G+sGhqboSDQ4Yx06J+EKesbPWSmweRg234LmFK+8QdIcaFkQlJILP5f
gCkD9BTXKPgUi9rKQhD6v//Xu/b19uh/vyU/fbhnswyg/xjEm9pybzk+muYQTWja25Y/jbZyF7W2
tmvM1vEipRoORdfHm96MnfNyyejWkxx8L3CRusZaaL5789IOf1153/2SZWt/exMmM8yKNOj9AqdA
p9PxFpYDnM0mJ10PJRIzaJO98Acahve484zlCiMQ2h2jTL1sKJ/6kmRGHnkvMtEYqvxIST4/ff2D
qF0d/yJuy4vAl70I680PaiiTXtM2qjHWFEAWXCwDJRdT8nJXTKGCb5zzGjXZiGFhgwbDNieSTGPZ
4k3WWz4aB/l8NgrlYJBdW02zpj2qgWRs6gZQ0gyMf8IrbN1FQmReTHfohbDCcd2Sp0V6It/UhvgZ
qG3ol1nfnUNQtS8ob0WXWCfJey66ApcFLQe12MTNoUVvd2NFJdFlbhlnTlfBHScvj8IIEdRvbdTN
TZ52wRkWX8UFMY8FJzY7Kwfq5egwylUs5d1m0PSfOCln9Aakz/wQEthGNL2S+CpQmEhkKFtdW4VW
eKNn2dnohPpDJswakHM+vqSKHq3H6DLDmwN5hfbTktInM5Evh6i6H3phrSF10pdUxBdpGWWPdoL2
MquU6JqyZORa6BCA4isGnkEhDHzo5v7QNu3FXINT1oZgXKeR0d4XQ4G9uVO0O2wTaB7NFG3nQJN2
41GfsElUq5R0mXblDIDzSYHHvlGNJjn05Ceo0LGitUKSr4JOGshOJtQ/Si2IKJ3IE25iIYn6XI4y
F2q+CmfYaKG/Rmajv2RDHWd7wCPnkhLFwbZxlFU6zCiWyy08fnkl9Q+VIT+aFp+vCnElzaPWJKWX
/5CmZq+10W+yIPQuR8JHvxu51DHkbQgdhTpE2ZwlMraQEyVNbzSzn469GEwpMMadctiBbJ5cuzfE
RaFrYtMZceX2k564hjGcASCN7nGiS1epLiQvmdFy9NgrRaX2A2PvdQsud0c1Jvc4UJFEamp2Z5G2
dWnYPY+yCGxpNb0m1BV8rl3IQQbIThi/yavGjH4pOPoBtX5M21mh0hEIDChSfOtTjISC1LjFkb2D
711vLUmm6mTZ+SobrCuNpHbmSrZd73B9kH3SEzdB16iDi/B8BX9GPlQZ8I51ZwcOJQtTP4RBOG2n
uXPuMSblk9a4Ps2VjE9i3QbxPohl5ao00/EQA4rOMWOzKvDirXkoMBY7L6hHLDMZWZKPGwaA0U7F
yt7rJHNOcXsaorOS7Q3Csz14eF6FtDJ300ssy+m1VJsbyVjm4JzqkgUStdQUSE+pGZyZ2MlFV2VP
mmwV56ZEs18LuXox6pwom4xob2z8nfB2v5ZLY5y3TdlM5doyRn6OPsClJbGZXuHSNRph+oh/7c5I
8js5rgxP9CE2CkEXwDLOAhfmNDl7Y5b5v+LVrOmDcTMlM27qMzlhjErphpbqBnxsqb5klqO8sANT
yDGirHQDAOl4Zlh6RBptMp5zPZB+yZHVXUMpl+8kGNsXWpCj5ggCq36VymBelWparyUQeNigTWB4
5Sq6EMqAY9w4qlugF3Ax8JTYBUEceVYm5o02ZDlufGMUb3HhnL9TR+jcYZTb+ynG2NN2+q2qtMNW
HWLrdyrYtD1ZoUcSp5P6NipaQdTd5+bZ0FRxAt5eod0zoS7WI4hJXSCZvRcbdD8VcsmNqSZ5bExM
tEZtBtm1cTe9KZhh7GlM10M+GuIhSqkBuHMfxcW6M6Rkhwl1kD7gImLad4mm5DYkdLxmZteOjKb6
Ndv1uFSPEiW4jHU9WTtOS6tnIvCxpdFRhi+DIRqGTbKzyin9mg8WTsN3gVUA5w4obNB3dLCNoWnc
JkxA26e68jipgOjrkjpCUzTdzyFTsMxSLG2XaMXg4T4EWEyhdFtWTqVxhCYDvHlj8JOuVVY29Imd
VlnIsosOunHdjkD8nWDcdwHuVUvBRrlDsgpVusZ/jyqBFdKdKDfjeAiN8FkbA+xqG0jV7BNFcF6n
VnZPAxs8gC7uVG1VlEnyc7KM27ihNwxYoT0eCrRhB6bMeLCQGp8XZRVVbl1E0FfbtlLuljj5DhDt
eHDszNgNAX26dc+GIYc0Bumkp24juxm29Crnt+GUZ7eqKR1Y78Mu4v1fdHpHbDgHcnMRGlbox9ge
+MBdB+yxsgwDO8DVWVIghC+7eDM2PRO8n/Mb0+x7T6s1zAOTzLLPnUTbVYMmx64G6u2umWvtaSI7
2a1wCVfEbbxILYUyheuw7JMUyaOg6BiVdiNTqdGrCyvSze8V+9Domh1uZD2veCWFWZi4hWWADxN5
2Ht1h4Uh/63eDA1+PHGB0cdQVuk1Nl7UrApZ7RYXB/Oa4FfpXLqVGwWUdWH7YV3NVxjuWegJdG2j
mJKW+SaO4jd4nviqXaX3Rpkb4daYSraBfhR3+WSdj3qvrZmE8mJ9UbL0+9x3MiVgvfQDFnPS0HV3
EwjrQ5g083XRl5rrQKLfQCufz3Olkh4Q2mfYk8obKYB5SLnK2CvDPACgS+unDOMSbwpK7UkV5bCS
u8TZloGEnU0aFXdtk9RPYS2bF2j0qsMEP+4ykRpnbYY6xZ9phOCusO5C2zbXE8dGTIFX69UVPAcL
UiTVqSDR2LXi5JF4ML2BHUN7kDw0fjg3wdmc2uJWxswoWZkdYkegXxK2dmWnUcdPuoGWb6utXVLM
1ZPTjvZ5MNR3cpFULzFCIrYfy3FZDPZLOqkcdVJSRniNcDWkON3Wa8xVsu00ROG9qRQ9BftCNa+1
pu5wsMKK5HsCpAS1RpYbewNDBa8PtIBiqFVy9pvCbjwTZXPAgRo1e6ONC+Fprda+ijEMvVSYfm01
6VrHMefQzLq9HiqjXSmKVlw7OLVcyDDjXiPkyLL3Zw2qc8ZkiQoTSqBOSRzc9rxNOK7OkqBLPBtz
5K2a1dlKqxVM/6I+24M/r57+bBBhHHfnieMET7j/2F4mnOCyUqCnc4OTWWlBWsS7SZEifcXMKv1A
JmWByaAuh/t50Dr9Qi4z9a4Rue2Re1Tvsq7F1g1oezU6npPYmrgN6ky8xj2uPSsT4DGASDEeAPC0
8X2ETLjlJhJh2tJLJmtNQ2Xo5XbDhB8pm4MBDLjVmYU6Hv4cy7Xawk/r29r5DTAbOxw0B69FKztd
6Wqhrtylicy7VQbcX12naZTS0yylX9wCBTa1APyScZ2H4XRoWmF7VJWGRxq2EKT2YXCIcpMULeVR
QImaqJ40zCMuAkfBX16v9fHw5x9y02BCJobGf5qoGDRWy1A9QSxpeq/sDDte0ZbHA+AlwP7m1NwW
orEyf0ZGnv7GXAtn3qzgj+km2hEba6XQH0ZlPAAYqZ7QdlSPLXp2rl5Wgp5aESb/yuyrp2nu5UPP
zX9TjTWDx5ldr0RXO4rbJpxDtzkuFGdN2cM7wT9XX4VTxz+19S48OAktHH9ef+j0zpVu1H/FTv8P
sM+fh+//A2PuhaPx38fcfvZvty9Z//JaNm+D7uUP/WfQbX1Db01rJt20GjnXRWf2D6yzI3+jjEVY
h5p3aYF9G3br3wiEF9oRrQpLTpiyEwV/Ef3Hvyvat2WSo3L8owZGyH0UZn8VdsMtOootIYRzhVd0
/k7ZoESxxJ5vckOWPo8TPanGOumDu47W/dt0lMoXbFPmrTAwtsZjzhB+5+Ca5LY4/WirvreV80bJ
m4PA02JlxnamukJfFkSrSsD7C9yTnkqlBUxvVixlZATjVWhbQbSS6RWCiyJGD3vHglt2Fj/jgFjc
tKY2U0bDFOAalRnBp6OkZ1WJo6MVhqioDHU03Xyk/cGituHlpWX9aISTeKqxmO8UU28mftDgD9kt
hVaasWXtexRLmkWAkk6PRdJiFZJGpnwRBS3tIPWcS9dJM4nrXMmN1youat1z5kit3K6tYephxapD
We5xWaMbpA1R4cxZudUywphVwHNYXmbElrNNWLcCtwnVrFwFof1TU1rz+agq6bomUfYcCxIpKyFl
kKJwc8ETissxDnAYPb6kuTHtgyxfzCSL4ZlwIMD7tNVK/j4sOeh+wP7Krl4xoJnJC2sTUNe0WvRw
fIAc8X4orjJVa3j0UbtQQEUkPs0z8h6Z+6YYxJ5bhOnNpv1bDg1xF+IIk7gCPgfh2TzhwDqq4GWp
6i6e01JyWVT5QUdz/EqzyIhUrTGTGZZCyeaHciikpU3K5PuQszaAR9KVL+XYykiNeifaigKumDyJ
xzGtKy7ShbTN8rRyRVUtYw6NFyTqU64LfLjpHJHYPqXLwFhgUtgohb8DzTYAzJEuqBPlPlUaPEKE
fNEEHf6MjaM/9030jMoHAyA8Dizuy2F7Zkl1FLp9BrO7HpDd1txhtbjaEzlgwczl+YKrwwVumZfh
0p1ipTl2Ork9trwUMChQboCd5lI2XQfLXQRbDstdJJh3dHCnPw0BPsmYhjzeGNguCSaQbX+fZ0Uj
MZVw/aqmuzkqwzUtANVWaCLAw6awYVtp+ETgF9iOftgIIu0kMlAmZsltT0fZBufSFXZJBOC2WDwY
it/mgCRKGtXeD1tJ+mUo9P6MbffSFEniyp14HNTpOitpbML9BNiLQjomIlosE9zH1Kh7Nse8IiBs
C69QtB8YYOYrPTLV0FVpabFaUkE1QbEbYM+zxVt42sEJBRAcVe26cNrGG9BqjsK5boOU/3+iFHdp
7fwiFUKYW6q535XNoTJE6pXcDdyyZZ5KihTOIAdh/M4CVAWG55be47EpSX6lK+N2SMP4GYtA+bHR
1XkdqsPA/W2qik1qqikhu3pdymm5qjAlwjBUiX11lIcroZObynLzYeKoxk111H5APDINt1da7ZEw
0WACBU0HMNxOq1VdJA6G8pNJtKQqh6YzWE2ppDNXJ0ykjJIuLwmCogBPjbMios/GnHpMXyV1H8J1
99NAz9wE0y/UJqpzY5EkcC2ckv1m0h2SUo3jTnrYrstAwWx+SE0pcAkknQd1XFIxdoWPRYHfmI87
oq15GgzkOx1Zq+HNdWyHl/JAyV6f6O6VtFhrcb+zbvRqLmgCtwJxINJGOljX7XekYsHtOGHjeqCX
BP2Ygm4ukuIfmDDSdC9P6d4ZhvGQZYl5SzXSwIFx4EqSxhGGUqGC3nBu2/I2rJzgTvTWvNVTQUjc
iNZLdQteloyvcMKusUaFE6/yiYQdWbEUvdhInZjupcRE6IkOppgKh3a9ZLzquZecl2NWTas641bO
vy6gfqJdcyuTzs/ZGIM9yd3xMCUJmvuEy8cvo1tWGJ0SL3Ghc2Y4YxH87hxCkUOAV+D3BgYhK9is
zNuitlrlPLME6MA3Z/FnqdyPh5vGCStTVlPpkbWWU/Tt4YYDfTwZcW+s+wiEd4hfT23ikyLSfR6r
e3Ox/EqLFA2gTXRoAUqt0o62OtpLyvp7WtD1bdpze/j6V/0phbxNMBsLbIAGBUMByM7Je/SrtATI
VoS6bd1JkYZRbICfzfAwl4PpVnGtIQ+f75SZ6LorfmpMRrfOyhbps3SXxjgJaljoBmXC1XKR5jul
4+lGnru4xtxpCPS53na/URrgoN4m+2XyfP3z/2AOj3++QkWclmM6nCmPvn+pZmO1VRjo/HzC642D
XAJFxUWIcNYee9IidOqaTnnIyCG4lRpvcHjSyTeNeCXVPvTSTdgH+RYg14m2wA8Ve17rojxaCtym
YWF48e5j65LpOAJ609rKKrFCivSQRbnm4j3VuSHQFE302z+v4m9ddz+/yP7/XYeCaf1mzngvlJ1+
FSIW0+VL/us//v3wUrzk74pQf/7APy7ElvWNlajaVCP5RlD23lShtG8yyDNEA/S1wwdyuIz+w+jE
+WbqS7syVSr9r+bl/7oQ8/dRg6JUCxVzUWxwhf0bN2KV4d+XfzB6WPo0rQUCjIPm0fQumFmt7oy6
X4soWgO8x83RmobtjPTEU+1RvZTyXux6lBTaKljOC+xzzAsDL/lzTZJTTyX6XZFX730yoQZ4zLAG
4T6SFne6WN6YEX9PSDsMAtOxOKEj+aN/ebs4iTXwGkfdQS4EtLN2VOfnDgcbJHA0P5NM+5BHQXzm
OLkKDzOcYk8UxlOZcLOYsFYEvZkW0Z7sbu1qFUoIt9SR3CZ2VKx7OV6z9+MdrCMUJz+V7tuiolvW
7J7xP7wxVLN+tGRddkVcOM9BZmHBlmjkFNUxQQg8TuOm1qL+LHLkyQtmIbzcQQgugF5cyn0eY4Eh
tUigpH6Nk5q6xo03OWvyfPxrib6rM76t5i2L/v37IFRCVyPj0rroXo7ehwHwghJTqvk2J85dVsUt
BbSuDs8CJ2rcKdbSR5xCsWvvmv7URvlxJpnskRj5wI/kOJWPNiRKAjnAnFbxu4H/mMmw3AsEOF5p
x+O6woEzsyCXW/jskrfrHyTIq/tJqX6+WXufHILH2yIhAsBsxD7YgdC1dXwGlhF9PMhMqGH2muLi
UVq68pD9liz7Qce1b8d7OEUIPT52GRKPQ7Ami6KWEupRBZViBV7NtSV8e5DNlWraj3nd3LT2SbL/
x6/LQMhm6B6jdI1c4/2WX1RUFIzZFL4OcZwMPO3vm6A0xLqoVd0bSaERstoqcofEOCF0+aAnXB6S
AidrbDHZ+lCUDfiyYVV1FNICRIV5VVc+JqypZ7eh5Wdyc1cVAQr/rPVaZX4gV3mqsfKzh19etAb2
E+Hy8VtuwdemQd8IvzSCR2xKX8bafEw0ann1IICiKuuiOMWa+liJZhlBJUReyA3AOJ7SGK4PckGA
TZWuNXZxHJJPSu3q/usp+3H+YJvAZq6oNsIo9uD3n7UbdczLLafxLS623uSQiJ8m0S6WvPGpK+Ii
s3m/QTCWqXOywJxCHXMkw7FMvGfr1sBwNdDPiB7va8X4JUWQbSnLVe6cNH4tT9l2VjJPFe33r5/0
z0c6Gh4rBVRGHG+chcbRHtHqMzV/jeGFpr42aXkuj82zJYtnLey2eE2tS+5aVJVxQ4qsW1lyngeM
WlfGTJoiHinjh1zjKe7FQDJO6A4++QrvftrR4hK0rGCezU+zDIj7hXNwdPGDT7M98Qo+bpNglGAX
c3Fje2K/fP+1TYloPFFnusf08dZCCmCX2kOmUdxaTA1bKVlHcnRhD0TLtNjS1jHaf5elg+xSxUkB
f2+Fawnixfc/IU4EKaNuZBLYdelbeuV4Q6XVJ570WPH11yhcKxDTLKy2o7MI11iu53LPKIl1H07W
ncjEQ8Fp24yt//VL/bjpQ9VjPJ2zB+e4400/0TME3EbX+NpcNds5tB7jkqqd2kX6hhK+sTStTu7X
Y372eNpys0PQBlv/uIHdaYAUjUkL5bXq8LinlmpGzQ+h09YQaa9fj/XJ7ssDWoiVLEjw6HOPlm1N
RV0NpqbxswnQdi7VI/AKtLPhBDA4qpJhU4m4h71kP5Z0lsl1pZ74mh8US8vnXFpWwBTRhoCD3PtJ
0w2BJIMkaOAE6BcOR/xZXPfJmhSQN07dr4nPAuYGw9MRFTH31pu4b6QT7/zTH0GimP0fvsYiwXv/
I1JUsLUaFY1vjOUjbTw3k6JegIe8q5TqgasdyTxzdmvjt44MEw/flxPfYdmfjvcverYXYRJEFmb1
+/FRrOZd2NIR27f95GOQd+6kYJvSIIl8YRTrFpxon8bp2qwdyR0dQctupGHyLqmSL4QGmH1Cw6KD
eg5qiVCczgNQa8UpL7uPk5NMnqxxLyXPDSHsaJOR7cKKZnhdHFz6fUwP9D5x7I1lT5TreirCX7+W
j1snRwnSTmQLi+/nMfKlHVSzw6Rc8R2j7V/TNL41tFIDOXbqevuHnvL+/bPIF00YdBkVN56jPSVJ
oKCPqS77Sq3upKx6nCktraaiPYy0bdMqDTYxbGAF1XmxH0MV83dHHraUbb1Oxmm7sEg1J5j5glyy
noVp91sxkPauilwl/89lAnvd66bn++hwuV3S8I1XicnrqfutqN3/DEVxopHo+FsBYiSG51lY2syq
49146IrIrKJ69jsCKN8wcvt6DFFZ2bMeQHMtTu3Lx5eav8ZD9kXkSSB5DLSPcpH0ctWQyeR2flYm
snHdhoHpfT0njrfkZRQ4AwuCh1nInfX9SsnoNcxjOZ99NZgzb66iH/MYPwu9Om9z2XegHJ4Y8Hhp
MiBkAxXxpiJri9D4/YBjNUS2oaSTr6KVe6zqFB+Irqayo/zEjbtx854abVLqxYlxPySIloG5E0Om
Y3xEwUdPaiS2SIRtjz4OEPAJOIXUUrsLBBZ26dBqe7Wv/MRI7u35d2Tat4UcX5k2rcDcgOYyf1QV
NXGpJ5Qn9srjRcnPIlBgj4JFhOD62EtzLELRFqwF38FszAvGUN9VQQgVAXDA7utv/UGxyVg23ZNL
AETOVFvqgW8Tj+kkdQIP5ZE9ELeoZi7CVahVnm4h2gqJEvwZVa1nzsqLgSprQlGzIvKTUFXpa6aH
7WbDqbzdJ9MB9S6KLI4L7ll/nDjfFPq6Wo8YKx39pKVFGbewHDEALlXQUV5UbXpMOoRgYZxF6xPv
4viGDZ+LQ3LprWQLXoKG9++CnA37+Yg/49SmvzOUcOFCEUhzj5wwCX87mc+HoisxsdZIPEATtah9
1eL/sHdmy3EjZ75/Fb8AFNiXiBMn4hQKtZLFRSQl6gZBSWzsQGJNAE9/fmC3bRWpFkeem7kYX9jt
qC5mIZHLt/yX77/+GS8g9x9PyuVnIG1MuRU8EASYV6+kz0FyAf4ZAjOXxndLhI/ZkFxJUDU4KHXP
meztOxqbVrRqNS+6bVIx7fJ8Xhe6F98obrPPFixQj6vjbmwcvD/oS5arUgE2CSqgAasxVzeO0sRX
Av7onoq9tvdKsDAVlOdHq6itXWXM6pdOzPo2NCtv28d9T92hrGkTFq3fjuqqmESxzlHzOFUSxl9d
AlWd6sK3ZanvRzP9SnsKOzlKYU9tp43AhSp+JMxwnCaqTanrD7U0xtspB7Plohez0+3WOtWVhaf3
kFdXBbIn29grnCDGsWVNMJqH64iWwmWe1eYJwVWqIrbauMdRatl95lSptRVOZ8zvbMa3ZzwXI+oS
qCewSVAGO18Uc526ZpbjgimL3vru0jG517Ww3BWz+mA13nvixW/iJCR6Xpg89Lrh2bzJs7ypIr6X
BPdCsaa1bKYtEmneycr0bJtXNnllbTvxXe8qSTAN2feEyo6PxZnM3nlwkwc7W4ZsA3INnSMZNW+Y
lucPPvCJSHq1CrrJsG9smiFr4AHy+ter/U18TO2NUg/F8KUQwxy/GkaZAPhZvQcSqzTurMi8Z81+
rRzxpW9p9iQyIoVsd7WDTsikvFNxeoMpYHDbcVU4s9D9FmL1+TMWyVy6sZ0PgGCj8KHXBAT/xLHW
YP3Cb4hgY0qaA15BtE8Zb20Zyk9As9K7OG+cY+RU9h9DOrDx0lE5dgVI15WSJ6Dt6PujHxsup3eG
rtOtikqR79Gl8TuHP6RarboVRqWdzBY8368n9O3paXJQ6YhXLgWQN8ZLuTUh8iQlp0cTlb4jmuQa
BzEXn9aRvWLHmCPjpBB0ugMW4tdDE/gsu+Fs0VAWN6CPAtLgHwhSzic01sIuAgDbBWGcoq+QpQg8
0Aop9nrl0gMWAsxQlWRAvYdodPYAW61iZRdKcRUi7PJ9dJPkU4QyBblzkuzL1gJ7FVohFbOsN4/4
P0yfXTs29roY/sj7UTulSHcc9UxDI0NqZIo1ag8m7lKut+v6Yhw2SjJV12NtPZaadlKdXNvpemUe
hVs1SDsU97NXPBkl6EN4C9XeaFv9U+MUzpep8oQvqiq/LEfsdvOwcXbC0uvrLtcdnwjNuwVULk7S
1FsXQZAekIMoTGOveHmzi91Uv6sWiul6UIxgJr7YlVYP7qpTtW0a2qWfj72DKJBAqybhWv0cF5W8
p07lBZmJrkoQTlXiizqNUh+3HAX/HkNlIoqiqS6SNm+vRgV9FRpsQ3VEnGQeVk47zE9K1itP5BXa
XSsN68ka6772FeRBq5XW0h1PO008jjl4lLmW4w3qL/kGNZ0Z5LmSXOWhO90AQKv8QdA7VlrdoS+Q
pto6RgnvKdZ7Ta4UY8C8d+VasxWIsquMdVuX9QkRlw5JkboM/XjCXdoSSrXGbiCqN4jy54kfKopu
b6ewYy5s2d4VXYcpsYxU8TgvcmRtXVTJSjMU76QlGlbNPeDjrEnKL65Rx0f0a9CjqSJn7UUIny+Y
XdRunC4NmirLUmCTZfFI7IZKB5ViuYpRNtkBRnGC0o161LGq+jDhUbzTkzr7rkZDfz1NeKlPmYf7
jCbhYhRjephMWoFOmqDyUs6p76L24bdqwVKbjDSI8UWNQ2yyV0qF7mo3eDZQvtZVDhp6Vs9jB6uZ
wEmNgMeT4UeB21HW2ybW5AJK1Jt6i8wQrdOpoQiA0OmCM+T4RRZEGAvMFtRGvVO90QvSLFb8KIVP
BLLeAHlXJ1vTTfqTOtnJIU4jfICadr5VFT1u/GTwBlBJMp8OszNFN45NkDZbwrvIDJDpc5p8xPhM
u4BbCVVUNOpDg/XNMbGFFVRygvjQqFoRqEnZY1KW1eu6tL2HLPWGzYgc9Zekt+vdXJpjjeFxFvtj
BnQ0QUKVcKKcLjGEHH1dVzp3pRaefpCQePxkdgJtcnva67bCJtOS21QfxcGsHO9hGgYvAIY73jYK
8dRqrtz6skFteFMNuS+GyWFGOu3UlVHtz9T/LkN7Csa6lYcq05wTqqQYzkSuxq3UoSsGSLpbIfDq
2iu04pRDN0mMH+20+cg2eeydxqBFLnK8GtNh2zW6s/e6zDuobqLsZqtL1jO2dHdJ1uE/F4Xe51FL
x9sx1udvIudlDpF0N1hd57cZ9fTLXhXduswz9wSa2750nHC4bPrZ+apzC3zzSoVXFxbpZ8G9vX15
p7LN7CAfW/MUJmNF3tpN1VETXjzuHGAN67ZoSHWnZOguQ3QUsnWC78AdHt4ESaWL4BN8Rh/1t/ro
imi6UiASe0Y7XveFPt4CPEmO4ZhWm4FGxkZ3QtxrdFcJcunZ2PJY7rEm+z9kRfok7dHrV12YKr6q
dMYut60bu2i5jETjBXpip9cJKfl1GWVhu6K2CjRVnxUEmqrZuJSdk0aAeiqC4zTDxwtx5iwpVlZv
XNqJNSCLl8v7UqkDu5rnj4lMtZOTsn4ZoqFODOjOTjOAWE3TACp9uQU7PMfiwwADjAQsWfS8Qu7a
xxxsz6kEU/ao9016bI3Y/i7HsvS7WlZHwxHJtnClFxRlAc4oaTL07yUT8blSTX6jNg7lCcD8rulC
dGrydi9iN7oaPLfZQFqoDybl01OS5e6NkpYLMK+vb3vXnb/MTZt8sidzuim9+GMpK+XZnh2Tsyex
fGqG2smYVJg7Kb6rKRycaydsY22vRFo/wYWAq9GLdsFcgdF2rkSaNqBdhtK9pXgkUHnPdHRjXL5M
eOLcD84wJsGoeoDCyj4axl1ZNtFNkpujt3E6r18zw9IiJdZKbU1VOh3XqMQrK1mjO73t7cjZxGhT
0/2knY2oUD3AbZg15B1FWd6IDEat7+IC5zdpc58DW/LjprGvKhlWz6mmjJ/yGLXosm8HuRm0MfyE
TgHGVLFSxRvZDtXnlCjVQZhIsasgxutp03pNFqM713nHzlG/I9G28Pe6TZfh5WUMdQ27KrQu23RM
P3lqmW+T0AGukyPPDLowkdc0A4YvCFtnT5laJHeVGKNNURoW3KNR6t1GH/U24RRXZlSPhrJegw5y
BYJEc7GzopnzRs330jPyG/rB1R9zaWQ+/MgS93qvl/f2aEzXQhmoAkVy9EF5VgV0LGEctDitIT+U
/XGw6UFlWG0XjgwgvZhP0tM7bMaM8T4MPTFvUG+LT2FlGs+qmnwVzuBcRZ3VfFdETpzYo9V2P8Kb
EXSjQU4LbSSqyYTr3M+zTre0stQTeMJs76W9TqG1G+/I+9CPE1l+5ErNH/sZ2swAVnDVlS0KTIAW
myr6qGbDkfyu9Y1R0SBjRce8SW9QBS1X3oCfkjKyWQdQo/vFZ88I7JCEbqt1Cm19IYlBrbG8ndRc
38Im6tYxHdcvYzoXyYPTzo9TYsbqhku6jEjpluDCHHhBbcXujGPvMI1gzYjDdwXSHKRY5HhbJKyv
c6mU4cqxIDeuYr3mloMGwBFsGg1Xu1PSN2FOIMtIGcKOeYmCvD6CrRQLa18NbTavxqSod9qYHFx+
4yXhSnvNQYoHdOc8FNYSxzS5d4RNj4NKOkA4jJINV3d6xFrjqPYFYDq7hqhENG0VuKI7PSG1kg8a
sKl818uu4ABFaI60FoUs3flUhkUgY3KmXnE0LmT9j5A1tbOscl4JtbACcG1BofT2RsQFPICwdBcK
4WcMloGEtpihj1IwoJXFD8xQ9rWo4xIklupsMteJTrVXE1273h6pLIRKCr0FEuja+34pkjV1PH6y
7SI5tHnECdSE04Oq5t2xctgqaKwEMoevoSGXuO5b3M9hBzq+M7rZXjWMLY4Gg2+0kkyw2iVinNZm
lN6xmXM/i+YTJmuIKKoiC9rJuO5sGIgZKLwbN9TgMlhYEuzHCX3gLonLq0yK6VqfRVtsGjRkThOM
g6NFg/SmWQSKZltTT/OUXnG39WCh1IIIdiLeKBrCUWl7LaAzG51yDroba+zpHUMXucDyoL6VBrwG
Vyu+hWD9j3lOwW5tI8x8MS4fqMiIR74JBQV7Udx2Y8U0V3HSukE7Zs2OHKhfOUM9HmI5WtT/ov6e
v3Mc2F2Hge7i0qXQuqeoeJoccGgA4uS6YtUe+mwiIoOLuq3N3CRODtMLvccLSraCdxiFdZCExWm0
Su2kmKxNyGUrBQ+sXdjCjY1br1yFumfydfnNQNciANw4nWJIZGuLYHCvysy4V8KqvsjLaLodEi3Z
G12mXkd9WG8HXSXJqfpMsdeaKsdiTYN45PjUpgtn1nFKaczp3pbwilOvSlFstYGxgJRufWfQK4Cy
VWldGlGZGau4cEB1VgqrfiZxQ/TPqY/0hJJm5U0TsHDg3WyeftbSyddKNdt48RAHkdFGSFciDLFO
FWN+tsEoyjVyMEiCzlgfEadD77rGQddg6bhN9SV18ujjoGRi36UQrzdRKN1oTYlmuGkFea6fqrM8
wTyRp6HSxw0cStjB0RRyTFXNXNz1eapc5IZpcd3PNgFABa6Wyf4swBOte9QJQe3y6lEZHW9bkVpP
41D8oaS1ZW6o3Bm8dLVZ6wnGATlVH9GCwplEvpWYiV1QelMO0WykGy0r01sEpPB9rDXvEZpL+QnX
6w4HQwg51XLna3FJ+JInTOrcTBy8nVO560EnEjS5BZHwFNGVapcdIfac7NpKL6lcWyIYc6U+jYXn
l4MFWLZTYbq1lruF2rwIP9q3UzdPQTHVYoPOrRui25iFgUwMZzcAYQ/sKRffJpbXWo0caxO6eIJZ
RI1gGbopBQEZTsq1VaD+SI4gLl7AQ53ZaAFaf7BGtbBSQaJX9tpuXO0Qpp2gExi7vqCuvyLBcTft
XIJJT0Bm1bmzbqVFUGfgGaCmoXxSs6jZ5DovBxDmofam0yJv+TAL5Tv+69HDII3k69Cp6mZGAf1b
rxTAWQAu49rRlbcy76NDa6EtPykDZ7sJ/hhSk7GyTAn+Wpae9tEzI2QNxWwhNLX8JOgOQTTkF27X
aAJcP1JpvTeEfqMM9QWC3LDgiem6Tii7WmR1gNpBf1Cp1m9HywsP2mzk20jpcHcqQ3UduYLN2tBh
06NSHlEHhhUsGvIXpfUuaUjMOFvNDbgYisw7q/PGYUXEgPxsWYUd92sddXf6NNvxyq40KVdZEddB
JvNtQ0nkEsqZu8J046DhMrudjYbwNjJ6ZtGozL0cgUtHBl4PVWIMn0w9gywuFAwRwzZn/ZaNFVBR
LI9K4XHfNfp6iO9my4wPiqpVoNxjAkaA07SrBPcpuiEN0V1pkAikd5FMQry81WhdUpJY/K0/Rm1i
H6YhataJ60XTUjPv96GhDZvSKMA0o1GKAidHkpdXRbtS1Vn4TBqKRNjy+B6xe5CmMgsh8zohwp+i
545KW825aLLu1COHu+La8QfPGL5FIBN8IuhHT2/H05TbFKMAKF5HJjwyKiPmqrJz2x/C8MJzANjZ
XSs3c5h6gaFU+3luuLJN5fPYpPsWInupQZeU5pLESQRXu3S2g3Fe2G/m4G2bTqCaBQ1AhvV8N5R8
2YhT2A4LeT4CHJ+iQLoiV/HbAQGfSkY1ZRAMUVTqDoGIHWVTqYC4BbwOFBO5EVKUBpHxlxduSsVP
NyskOxdSfx5OEDuNcq06WRZAOXMuERG2fDj9F0aZJQFAY9gmsTYF7qTSKkrGS8z4Ik7A/DaEu7ey
Ejhyo+iId8etbqv3vISnLkofmKiHycp20my20wjLui/qy5ob2QyGJsLFNgndNgQhaHiEKPPk4cfi
TKWPovR4jcxxe9DAYRvznALBRwFghW4m+giJkU/X7tyMN2ZSo58gkLe+Na2sXtVRqqPkmg7PiWfD
jtDKTzA7tGplZhj7tRHFEw8ZxGAyuwhDubDfpqNnfmM/eSscQbINgtD60bbwm1sJikWwUxHBRpsT
nKJ9jXIOph3agPCqZty5s276sijEyQLEuALV9ikp9GTteFMGvk2bj2VT54Hgbe6SStf8xDPIzLyh
JRLC/yrXIvL5xPC+6O18n7cRqSRZO7coJA90Mr5TnMj82kvu9VHpAZ/Ggw/n/TsuCBtOO5acSXJN
eVO/tnR83ROID5fwJt0bw+3dUxLDdNREn+7AAhanCEneha9yWqr88aqUPWrbOE8/hNNUcX1n1qmL
O/0yR4jgpNYY6HZ1tFGl8dmNNISBcXjHZFu3Lu2xKdhc0t7ZVmp+drRx3Gl96yNXyR8nNADN2I1f
PamI2yqFSouAsoPIrDYfqOnTL7ENqmXW6IiN3dftDrmt4qTUKeK2ce59dapGg0CWQBRBD0KhmpYD
oGj8qC4VbopYtZP7jiKPTRlnDPVv1uxwQeWaDReKBBkTY9UkII5gzgq1j58caiLHmj1x4/AOjpGs
y2OpGpO7dmenffbsKWa4OKUNM3Xdrkyn6MpxBKLC3MnfxzRVPorGyP4IRTFdjHkkHtvCyG67TsU0
yVGpaDnos64naWnbDj1DAA6tvs4o1gRGFLN4qshaG03tshX15nOkt9OdhlLNdvSy4b5FN/uGt9up
0DaTeBeGBD5RqqYXThPlAdAEcYQtH+YB+c64IvSxj6GTROTnnen31igxi4urea0z9CWcq4SOYdPv
03rMqTumQNVaCMMTzC1gkEN38jIUl6Nhiq/7UCk+Fs3Q7JrEIqpxM2QagjpFijtbkR+Nt3DyxhDi
v0ahHQKW9RTNCYUKEKReMBQjr6knZEiPesfxortO/tVruKdmR0LxGi3Lu6vt2PJroxD+nBfmQzkZ
0SeF0MapJi9ws7pCS1s3lLVb1wsVeuSaKGbF8wV+Tg9JixFx54zRR874Wyp6vooNE0oqmPjGHzOq
jwRq1qa26+1oNCkAa3cfJVxgrgtjR8ODVdNYJr2Xf+kKig9tNTo0IZQ/oDphCRwLKtxQAua5NwPK
2ruYZoM/JmW5VlzEOMB0brw66x4SJEPYuv23pqdY0+SyXVex3fvo2t2KapH7DBUKAzGO4BmPvnIm
C8UYTUFz0fGqYB6RP8mHrNvHVLHXFpfssxpyRXdWoW/M2bKep1HzfEgyxron0LMHuNWp9IZjggrC
xQJ43VOvVxAJ0K11Mw9VuzIHLI1iRMP8mO8djBpICVNHpY8SbPuxx+hgRflquBQRB4Wuhtpd1vde
oPYGhrED9ltEuRGJUeui82G3qrICpGuzmEb3pqasdfGScGOwJu+juNQuDANRArOFAK7im7Nz0xz/
80G6x6S1DwiJ5jEkt83kdtSsarD8WN7o/UcNXeXtYE7DhmJ1rqwAfKdbY8i9nSn7MdANGNUwhJyn
Mk2yz43WtQ/U1eCt4z8UpetUj6tjMYzt95AuwbGky7UfFcrEKBflF/Vsi2svypCFnyIkA0r4T+UU
P/y64fKidXreblkgczyC7cBxAVd13m6RNKOyWNXrADqUiQUZBFBLQ9o6oyadi6sSTaOPFr/qnp7L
M9cTQYteqA7QRCO3nl4I1jJy7a1Tk+rnan6vybQ6tNUMdzMpcbclq3nnN/8EcWBxzgOcMWAM0+h+
9ZtNKkyhNDLQqlVqooQCUSsejZgkQCCAbwJMa5cTR++r77HBRsJ1wz4izm1eCreExKUDciU4at5B
Qrztm1kOyHMNnTDSQe3FyusH1IGhlnU0OxGOnZS8W5A19KNukELgOqoxLjPDDEUR1FPeA2AtHbFX
rxBAD5yQpQtpv/EUcayZFd0ldTBXWn7wKpwUJht60jqMnTuRGk/A8e8n8NOYCaUDKQKBukXDYNXV
bnmdzyIHpWk9UXrILmlEuieZmNXeqSEUzgtDH9H8CriwujSpGo1mAhzgNc2OP5A3MVdUtB0iNeRm
yWf0b2FTn3CKLlaa0IIylt62mIEpWsARLry5LL4pEywJJ0cN3faKjHthrki7bfuOcky8V4d5eGwy
bV43IfpYStrCMcQbg2imeHShWsB/TTX728zeWbH1qqM5R9Pzy6b4La7Tf09Q74wT9XPa1P9A/j9Q
4L+n//+/pv8KYvJP8tP+O+T8f/H+be8DrIQX/C1sHI11+C/ev6N+UCEMuGADcc9dBIn/RXPS9A82
WxgDZIClmDks5Kh/8v71D6ZGUx3sirdg78Gb/g7NaTkPftwg4J8AO+O0pYM8RxtyQUv9sDEVN+0m
tNGcdSm14saiLmNzL0Y7iTZevC80WewpC1CccJXooE11P28tvId8oczZXdKK4aAmdFaiRg0oFaEw
lYy1doWikujXGoTMQ1PhOWwrqXOrS7f8OLitW210uwn/bI//1sK8Gp6brm+e/3H5JNp/bPry+xPh
Yvl/ztbTy2x9q8TUJFHc/d+/XcxnX0JM4a9fstDczv4Pet5Q3m7652a6fW77vPvn61j+zf/qh3+t
nbtJQJz7VvVlt/y1iB9/tqx4O79YhWXUJ3l+vhD5xl+EO1v/gHgJsRceShYwmIVV95cChW18AJ1h
wRezsbBSIcv+eyW6H4D02kClFi7Pcgv+eyW6KFBgsoVXJYsR2s1vEe7eQHNQt8AYFH4W8AYAki+f
/7AS52KgSYLoz7pC+WptqUAVaEEEiIR/q7zuq5u4N30NsznWM3Fohz6CjE38/8OMXf+58H/kib0B
zLBZl/1oYsaKSKr5GlBu0ndwXOma6x63qmPvDge3LJ7bNL0blfaYpAopKpW+VVVWFyj3yHfwJW+I
IMv4DrO8wGbg1r4mB3hTI7QWkN66MMEgrUmRaOOhonQlCisecaGeOyxKFXy3ucgcVVD8qBXE7tpM
bmReKquukIm1iugBCQL7NF7bdY++HFJwIMSEqP5Eef7vtvvxNCea+fttt3pqviL80p5tVL7x17az
vA/YF0P0WPjIy0nO3vpr2/EReH1X9wyUV1xU8IHm/sVzRd2F4x9PZ4hlXAD8K//edrBjCTMhnSFO
arlg7n/rAmD4swuAH4WqKIgi8ERgrF/LxKOZ0CJTaSp+amkXlAijbp1SpAzmzAr7gDjEbAIl1JWZ
cnkyJ35LxKj4sWk13aogGz/E3dT+Yc140vmobMnnQUGjYG4qE9CP5dQ0DQ1Nfsd01Fo1rbDvK6tM
Lxukw/6Sav+tpfi3p/lZ1PFfvCf+B94AiwD53y/Fu/j5H6unGNb12WpcvvRP1rX+AWg7KQ2hhQYG
+IdwxFU/sEJZqAa6wLB3dK6Ov1aj7nxYaET2Qq5evrN89Fc4oqsf+DPcA0jjg/WDbvw7q/E1KnJB
5oJWJxxZ9IlZ/OfRiNVI2m2aJbb0YCrfMiRmPY0tNj9Myk8O+QXx/mPM8+coLoRTPBjYW8vnP9w0
kdX3pjEaYguYzh86FEzowWAvrZhyNSIwCj8a6cpfj/nTJ6M5gr0NFybo//Mx5ypGZ8e0xbYw9SqY
GjQM8Wpq/zyN/5bm/KJH//rRKOmiWAwTBIzrkof98Gh9VHUttQrMSrWijjA2Kk17rcZetW5bZF/8
KZ7tYmV2SXQxoRw4UclV8gMIPdp/jVZb+1pFCohWMx7cusSoWJYo5X1M7c7ot7pwTHADU6tcUB5Q
9OsemDSpf9JG9e0UJfHdr+dsORpfvSgdlLrjkdASmUDJO38aWc0epQuM59tZMa8VXYf2Z5YxpSI3
1u97u8eGT4qKLhLasmmjDjvTFOlm0sqedmTtyHem9010gJcGQTyHJFpcCJwvSl0/Ti96FnHiIgmz
xanBPpiaPj4mI73AWa2mh4mu/LUC8YaOzICfnkvvQlFH8x3G8duVxDWC/y8RF1jUl6zhx99gVWY4
DCUOLU6Yy0+J3RaXaAm9x+JbnuRsIUHbIDnRVP7Hhbf+6kkVbJ/USEZgFwCL+S7C1wfVpgBPU7B5
Z1bfbMdFBQJ2CqcLA2EOfT6pptXpqBxRDzGLsj6ikDB+ggWLdpJblffqOCrftagZ0t/dkIzqmJD2
CDYBJ7/W3Z/gdU6sm2gbLSBKEBFjTtu7LXa/XsNv5hFxC0oPBtO53P6vjR0inf671mn1NoHDfYiT
Lgtyd0qPXV67v/tEL0OhLQcRl/DgtfFSKLzMHFtZb5WuBUUNj7lVnOYd2yVy0vN1wSC8J2Dv4KAt
/uv8ZaWlDm0iFQLQkZevmm7Mdno3DldF4zWXeW85v3tWg7PmEGAoF+l56nHn4yXcVhTqx3ppTF/r
RnIxmynKSdTYC1zcwOKI1a9f2JvtxYCQAxGRWVJsMoDzAUOOvbkEd0R1zo5QRkrDdWlQy/5PRoGp
CUUW59nXpFGnL/XCBmS31VAOoerWt4EGzfs/GYXngQhCeQGnrPNncZKOGc1NgZJsHQZTKr+OmtO+
M8ibxA1dJUIDlC2gFJFyvC6ThjgT1qxKnsU0ZrqhkrKzNgMXnbWHgrbFBa3GbFfrcwzSv08APoAH
r0BSvnOO/OzNOdQWcQWDXYSi3vnT6uWQW3rImwP6IPw294zNXFrhOwtS+8mOhknB0tBUaHXoNZ4P
A7rZdluNx0VfhRSro1+YxkOgF/LjVAx3cY29fWIYKwP+a5TU+1BoX0YayPAv8SyoNJivHjCD319P
DgcZ8089R10CtB8vBRM9b6wGdbGdjP5uCdc3Zj29Fzf9bIJd3eGQZtVyFS5nww/BhYE+LZwgBqHN
h9WksmAsTTN6Zz39bH5dkm9ScIrvJDrno7Stm1U0scQ2bEp112ciuaODWx/G1knfOZyXP3V2ybFy
uchVHQQWHO6X+OOHB5p4GUPf9NjwVUgrA08rAle1yrUAzej3Y4a/QoHyf6NO4p2HfLtpoCFrnJ/U
OxaWzGsicmhHIRLjldjagEAf094qDyV94K3oW0EzI7GOvSOrZ+Aq1qUssvyQmwgH26GVvLNylpd2
NgdUGA0H3rZKgEV0/+r2VShRVl0FLEKP6j9UVQFBMA05/rGhscqgub2zSd9c9kuOQGLL43MuQYB6
9XZDN2qLHEed1CzwBob1FtEJZPme0POXu6yoAFcXVK/vf3ODMK5HLLPoQrF1XwLnH151Z9mySaEU
byXp0SXeH8hUe5H1zu344lv3ajbJJ+DckMAgUPWGXIoMjjP2U7HNe6W7r113wg8i73eYZSjHCTaK
7wKd38dFHG87xclPDg4nAfZYrm/3xfzIxE170y0s4eeWtKGKyhTpSOgyd05vfi5MBCpxQU8uSFYG
LMtbXlJW16BgwaKOACsOBi1lNOvHxWLb6m9wABsCYE3ZqswH9Vj2c3xECb1bA7RIAgNJSj9GkGeL
PFWzyUDfbYt8zE6imO31NHOu/fZrgKOOUQzpIv95Xd5SPLIQZLTKbTxNEMFUQvQ6HR5/Pcgb5jEG
xgsTnnAL7S6NnPJ8kUldQcgzG8stjkffIpFcjTaUoCRJFN/ThmSdDeV1bChQjueAjomFIba9jXvk
O40MH+kSZBkuKuBavPeiizcnzvLLyJM9hySbQ/RVdNGHyQATY2b562O/n7WmgQKOdbGOcbc/aBE7
QOcUgCTuvrPx3hyrr0Z+NSdWjQB3j2rPtpCIA/aDJdHRgQZSJH31n7xk5AiIEHHGASJ5Pv3RMOtS
7SGuug3QEQTpY1iVsfW7gdryQMicUXxQKRy/zuIzQxiwLJYd3fba1oDGvjbm8OHXS+nNlccgNOmQ
YEaCgKD31XGlKladqLR4t43m1usZ1POqklJ75938bFVQiKAGT4GdZOHVu7GNJgKClvJuCC5APZrZ
Z0wHMVkGn3wJSM0+yKjDrrhRkED6/Qek0rx0qNiXSKmcvys0OZI+L8diG5dm8mDmKhiIRlq7X4/y
k0tm6VYt0lwAXtEoOR9lbsMJlkxSbPWito8ooklAdD0y/RFIzCYyY5oa/yp7Xf954P5Yxv/JhPLC
qLYwoLVUD87H00cJoMROi60ytMrWMpCIbYbIwOTdhZyDLfxaHxzumXJq3pnPJf95dQGYhNscPZBe
ycNejezl+BdgmpBv56lo1hauSP7cz82alnz60ealBpFTNmvAi/WqEkJ7x6f2J+v1bPhXW69nEQml
b/MtXhSjX1RwRUa7Gd+JXn7yOpeaNr1D3hraBq9GyUBfCZSvGcUzrd24mFynEVA7DQbjBhBr986B
8nZSOSw5UMCRES8Z3uvimTISVWPTtK34bF2m1WfJqfDouqntez2wJjyczCsFGA9WHIO7/93FRHGe
vbkosFPScV8tXiD46lDZqtimdXbFGY3Qau8oV3UPsDZHIAW3pVY9gf5+51R4ESU8X0tYZ1LDI3Lh
JkNb53wVa0YtoyQKKwQAkq69zHCPrnxgHY5yHJExeNZ5vWQgjVK3N2Mft5ekAdhDwDeEV46VgPdp
zGfX752RY8MGCfbYtNrgrKlxKU94nyDmomGw0ay61G2sRV2asqczT92tmikO9FjoCohKRyEowBF5
YG2DSkP7UFpdvwdJVX3pIwcip3CFEJAjW/eKPGetI8rkPhr4dSC3XEmkuoH0Pv/6lbxd5gioEDhT
LCLZA8V4PjNQUcY0HFKxdbC+eGy5scENNtXjr0d5G6siP2eQTBkEcsjQvbqssfMwUJRC1U+hwBFG
44UmPXcVGuWdS5tuBabLe+f0eFtgRJNjSUkYDx8AzsvzB6vVpI1dOLlbpEt6WH0yPExqBaTEsKOD
p4fII2USNkUhICc3jZ5etQ5s9N997uVHcH0TpCw5yqsFX4xtleltCH7LW6LzHF7Uoa9nd6+NEXrE
/5+0M1l221jW9QsdRKBvpiAIkqvVUm9NELJsoSn0PfD054Nixw0RxCaufSbywJaLVajKysr8m8zC
bk4O7Pmv+8NuTZ4LkI2+IJhIHVblChzfoxBAeHZqYwtf5LKQwdfaEnIpdeKNQ9uCbE3sbyjINOAI
0XVPqmQ+3f8Rt6EGiWjeZPS0uYlpa1x/AEeKajzXZm6OXCs/ppoVL8jC9mgNVXKAcAUTmuJ98phE
7eDrQlg7428vwm8/YLUDioZMpgrguHTIdL1V7Zy8jQCcj3E/YKhmGOUj/GfLl7D1AXhbSG6MDPLO
Nrw9XteLsDpeQTvJcFw1eDZx9x1hJ/u9oc/Nzh29NQidfhrtVPf45yqoYz6gmxB9ll2mRe+aXkdj
CluCncxjexS66b++KBvr+ntGoRi6Eo9DquW67LVKpr6DKWbvnJjbohDCgVAg6KJSgNFvQoXWI52v
2xVpVIL8fqYP0QeE0VuPLoL03Bpxfqi6sX8HL9B4zvFwILUbxd+2nqJeMEomfgtg5bFoEQsXM/nH
ScH1j1utQWeCvXSUhs9pF/NJTfPpTQI07N0/OQYreX1bMcov8AKN5EVJc7XS0aBVHXZBp1wv00+a
VuVPcwWHINGjnVf2bfrBSNBngLEo1OHWpfugrPH8QobsNGFcCXAvh+VlOdGxjOtvrZXvvQH2hluF
JUnlVuNyYTg5DfAL1BZ6URhcwLMkFwfZhZ2F3ByPDg8MaURiwAleL2TTglSPQfmeZHQ3P2Ww+E5S
E5leVFktVeki+MfZHMsJOpO0lWuEnsj1eEOQmRhDMR7YRAhoA7q1Au2Ng2M300kNhj05/o35aSAY
GIysapHOvR4vx6EpGiZaS/jkzfgQddHRNorv0ASw8Zizwr+/L39VuVcbE5Qdgjpo9KL7szjv/F62
lEK8BYNCEifuun7hx/9sS/sQQggpwvxVkmNwkzPJayyeEql6gJjiWVnh1fi2SEX4VNDr80SX+LGZ
4/Ba+hr+7KRiXpTK0c6n34j+WPNQukb9nPYUOfb1b1U7mImTVomTmjjSEevDxDU1Ref+74dzO5dP
+iQ9I9mSuVM5qSc70uoP95fr9hhrnC1bJtU2MIle5/bW0EE9ggnAbkAmSaNWBI90QnUHTayd2S53
6fWHYSiue/TReFzzyL6erBYnkTlpWnJCKal5kBCBewAEBs7ctuHdGn0FMh0tz/vzW07PzaC0CShg
0yS/aWBZZg7BRjDoBP0Anp1SexTL2p0b9HZqi974gmhTkASlyXg9tT6gidSXtIJ1JNFdmzqSpr2C
sSjxCm0dL6uB/d+f17JY1/NalPb4cKgSAeVZJ6uokCkoBmCroMn1cNIsaSk1xgKnpeQZqTnzIbRm
mRqYuacxe7ugDAw2kDqZDHxw/dbuw2JG/WwUp2noDE8qkwq+RbS3oL+A66v5gcsjJV6iIqL22vWK
SpY8D0UQiVMroGanfFjfyiN0elrHOg/1HD9AhJm/p22sYVbbydC2RudipLXw4GFBikrhH95f8tuj
ogIQ5BZaKsuUjVeBBZ0GGPBzIk6LGsFlsWf04GIrGL/Ye93qzaG4EhYygkZ/cjVUlfY2VXpmL1o9
PuVyQgUjbLMLIitf7k9q43Ny8SxitkyJGt6ys38rlGdqhSt3Yyc8OoMMLGZVIzxhJztLt/ze1dcE
c0YrieoMlIB12amRJ33KSighcDzEye4V5wOEfFiiQTCfoCvtQUk21s/RyRgQp6XiTQH6elYAJHoe
9kuoCRFqoZM1+lZcTw92l/8HEflfMTibQzEzGlhgt2kiXw/VSUU2xmqbnKKsn0kXUNKbJ029mF2i
7yRCv3bYahkd4j9tZHaGhVH29VjoyhRd1zuYq+jK8BEPFv3goEx4Msq+9mqRNedarmWUhSZ8Eyv0
iSEt5BeNTvCjZkfBWxTr+nGitPmXhpFr5UqjAcwZvk8+QgOE2yjQdacRpOEJ9mgKKK64uvavAtFl
zwjgljRTnf5TfAuASAs8PLUPYBOmvazvbxuwk01RNTNzGulaeWZf4kRkdGInXN4GaIrHi8y3QssL
OczVyilZ0MRpj8hNUc29XxileewNuzshrlicTJyd/IqKqX//bN1uDS6FRZWRWdHhXCvaalPU9lka
xSfKZsKPgUJD0wFpZVn9x/sjbSUSqIurdNoWoIa9fl2NUoJaugXxp6sL6TR0tu4rWqs+dEWlIdqh
InRYVO0r5sGtN6DNcjDDek8B9jaU0GgDykc3TeNuW2OIMDltwB7jmVYDFvONIm2PxmgUO1/yhvLE
kYZhTZWeiAJJaw3Z7jr01/C8iE4o4CjkcvBdj3UiB540ByNd9wCaOlCfJ1i9+SUK6vB1cvJvYVAa
TzNmGBjrTfWjNs3VaecbLPW569NJagbyAiTvL2XwVTKn0ERD/VFdvoEUXFDmGQ/VGDZnA9aQO+X5
+JKruHtlSY/Ypzpb57lE3niu4/kYNEDd7v+crc1H9dTm8iS280i9PleGOQ56hZ3fKWxM4w+4v7KP
wIDqRSME4PtD3eYiC2uOdIQK/FK5XB1hA76/qeEaeZLZ3pS+GyQXOlqQEyrlrolvvNuGKLJQydqr
mW48xBfdfmqm1InRvlzLK2s5vK250pMT8fJlHhP7dcpsGXcTOzyUimhRuS7bwYMWSSKPVeXFbBDw
6GIdW4kgrGh82tITrQPEw5Ty8/1l2fgCoCeoDgDMxIvdXF3ikRampj3OyQln4Bdh69VTYsOaBZ2p
70hnb5y8RfFzaUFDYpCt5d//FkN1obQlnsMwLqvFuNHMkOy29K6JdvbU7TUOio4OC9yQX6jW1Yfm
DpeQwsq5wTXk2wMd1RI9bv5OVPmV7b7ndLIRsxmNlBrMHgFl3VtBVk6ODLBEJ16QgQ+9mVQrrjAF
0bPKj6ww9VC20XfCy9ZH+yVCDm4AJa51Xp2kjlMNo0OmkhcxBHcTzzyHpEjrsUC+vz9+9aVXAWNJ
JSHJ0mdguFUJRXZiJRrkgA0iKR8i+Mxx3b6QtzwFhnrsI+ucGNUF4VYfuXeUwKz3clWBWG5eMKr0
8pCq+1C/6MH4ySr/43H2X7OaWywuoGxolPjVqaA2uFKut5SFnthEjpCcUkqfBxHraJaNJUR4JR48
MxOGPyR1+TIbanFhiuGxC+b+ZKH+BJwm3KshbDwHlp/zC+1EjkUj4PrnVA1Xqag5S0k/lccYNs3j
mNXf0w5nwbAZ3g8J6ivAv2kMAFs9CLMdH+D24IRRtQ2KbjTG7n+8ZcCbb2fIC5wU8Bm1y+sfhF/Y
KKsDgQdVOv0C3MNx81KukLmU1Qtsc7rHkWN+KdSoP09z+S/uWj4K702oJvqCKroevodoGsk9n8cZ
St6ACo7PBUCunSttc5ILKwkENLZtqnY9SlDkJE04s54IvkjJUPH8LNuT4lGNNtyUY39AeU92k0HP
Xhq03XbW+NcsbhaZ1wmdVTjZJInX449JFkqY0PI4SdF51aO3rke6qTIvqFQj8mMfK8jwBh/Y7JxX
LScCOVXySk3wYz0gRqcEfilbXtsoLszGM34UD6qdPrS6eGzApOh58qMV5ZMV9tjaY3Mpize5HH4a
U/mUqzS61PhoGOHHsBjfTXL4oiDLDUbmAGrGQcotOSHscJgd9d04ii9ZVfxYkh1sin3eVA8g0Xxe
AM+azfmY2ouQghPSVm4FIGfIl8Tavgh0kZCVPSdmfyjj4HEMnQeU7JGF7HyUKC+ZpLwrzewiT+EP
SQyP0aAfpS56VcWkIrtQEATxc2iLw2AWX1tJO/c46Qa4ywUK9m32UKHcVH24v+83rhoYe0vpATrn
AtK9/iQC8IWcSyFJ3mQPbtepuH7YQtnZeBt4uQXxTlPfXjDvwD6uh5FTNLDKmA9YSzTzh8rJjqZo
BULhY3DhQWs9OVKC7EieBqgMRaidmbV8ypr45/3p3t54y0uLRNMCJExqt7rxhqBrJiuouH4itXgS
RlOcK0lTT2PsFN+rCiGr/9t4q7AidyrUWqqNvjUlCI0l9BRGpPOPVTQZbMi62nHP3LzuLOLXUg2G
ZrYaz9K6sBoG4ipmMuhGaaPsZ20Us6sc5+P9qW3sHBrbC/iQqixOEauhWLG5c8SSDkmKjRr9hJ5G
l+5xNrZH0RmHQgOJ4Wp/VsJJABXKSEWETvUwEBhcU1KLf5FwLS6WeLDQ0gHZeL09kTFK1dQckpPe
wc8PAznxpGxML/dXbOPjEFeRUcIOhdLsL8DAb2ldORoizenJn4C96QDHUK2yRR74otxrsN9u86Xx
DeCCDh1Gb2u4pNHXepToBPoJ59snVO30Azpn9kUrBOIcoix2XgwbX4l0HRY672Kex+tjlVHwazs8
I08pTZXHbuiSl8kM9qDq26Nw7dF8WBrtq+uLUkKXyTwKTllXZy4iiybia6RQ97/S5ig4TWJeutTP
13vB4tExpMva5eZUPZqx03u8+rKd2s/mXlgYm2TCFF7XihokYLOqRV1y6hIl9PU2w84gzBcfjzI8
3p/Qr5LV6toFtbh4J7BsADfX64YN6CDh2XlKJsID0Rel0YNtxc1wRrYuekUIr5iPsWqJGlGeqDUO
M6Xi4aHWMztx6yiY8WeXdUS6Rq3ACEtWxZcamdOPYnb+MoJ5Pkpja3weYxPVLIF5Ru3mk5M+KxN4
FbcqrV5/6IxSxa/MrNoPoTx02EcpQz+cxslMeLpZyoQQJg2SHxbgYl/EDtRBOdSd/IETXylvgVo7
SI/1Wf/VrGNck9M6Q8SuMnp04rHkqYYDXuomJhDAxdHyKNQ/ZF7viA0XeoYOQq/SndaMH+CLDCyM
MxpEuVVkr3U1+WoOhxffjg61pAJPnHeDDboGHKmafitblND4fdN4NsOZn9o6Ri8OjZ2ZX9NSlt+3
Jnarro1Y+xe8OJo/EV9o80PURZjPkYKJrxyZC38Tj2ojNfQj5Hijc53SSNqDo/bmH5pItMWmpDUA
tQ1CoL1oDpFbCUuM7mSZxVsNmPfcZUqZeM3cKU+sWTc/1GUSfqoEEkcTRd93GS5tx25COgQfd/W5
GpTOl40pOzuxFcs4wqij40JOp6ZpmdX8BXVsjLrtQIr2DIs2nnlLLxIvNTAYFHZWqaxUK0FVyAb6
qAYF4tKx/+4Q43QRaHkn12X3UDS2vpNebB1Z3lEWoQfAKl3X6/BdR8gHZTaVdavNJG9spPkYIX23
U9ncCqqcIhQ/KP1xIS1H+rfw3YUt6wkY4DTwdCc1VY3+NJfG6KtKMD3Pg1L59w/uVoygkOoAXIOz
aKwb5bI8yENjMC2tpSaGGgDyUQVlmSGzP90faeubYUyBcMFiNgW0/3pqeZ/NlKzG+ITAeetLoWa/
R7ieIns2Dai1qvKfOP4EO3Fpaz3hNoGSohLMa2T5Ub+tZ9qpmBSgCH7KB2SV2Z/9RcvG4oT23A+6
bPLOJtlYTUrFBhAl7ihA5asUtA46S8nNhqIKcsYHRxiFV5bxXzOJ4s7Eth7bDEWrh6wa7MoaAmCr
c92IgvqNadfZxwBzw5Ns14pXgYw6xHpluQqojqPWoO8wBKH5WKtlcwxn3hJhL++RizY+7tWvWRbm
t3W2s6TCsYWOxjgOh74oWvSh9czrQ5wKKiFlFwff3Z1LdHOxNaBYS8+exG01ZtsSJ62a84/iinPU
jaj0unIy/NnCEOP+3t3YRov3EOJQMLpo16rX0yPshza3GynvLNIzrALZD5NkEcLHtFBuqNTfH2/j
LfPL7Oj/Dbi6Tgc76UYVvPfJmoFdhskIkizUabbXCN8aedMf6HRKlyLJc18tB+3QppaDNu64k3Qt
h3J1rS/+4CReXO6Q0leHdsAC0MTbhb3FgfawEC4pTeffkBuUjwneXMe20auTXAvprJbd3nG6kVej
bq9TrzdoYFFTgpRzve6g2JDwt7ADgWssaD0Vx8KxD9jwPrVm9/dsmUd9in1T1J+DIbkAL3oigTuw
HXCZwGRFKb5aanBJzezVkvvDmHYf1c6Zdg79xs2gwwalxbYUlYF3Xf/IHqZbWC19osFscHBLcgxk
umLY2e2/iOPXn0IH74Eh7CL7QmljvQdzbSy1WdF9u6Ok7gWygP8c2C361DMY2+4FpaXyI519BCBL
NIY/DvPcZC4ASA3l28gKNA/x0Rp56yLXHtuosSdvBk7ZeGVoDvYx6tGvPsxTY2WHRkPe3e1FoLwP
SpbWTZt4RKk+LRL1ya6nqqK22uHxEHW1jG016oTfO8coWuwqcuT0ZWDIfzm5GL7Dbc6+xlbRkhzR
gS/cWk/q3mvnZr7Uka5iTdPMVNtzebDTA747qekqkjT705jK79EpkpH9TavWRmQnENk5MIoKGw5W
6amP27TzQlyByWglY3aVVDdKD3cN1EWMKixSNMG1ErZaNprCw0IufRuF1WHbNcVfhIFE9VEOgjE9
WPizfp2CXn/D/6hCMjYfx/SRJstidll4g9U3ip9qppzhdTLjN6OgcPnMr0+e+jqr9YOYchEcRCdr
/ZEmbv5+JxzchjpynAVzalLSxEt2FQ5UKU3A5VkOCgbqRWidJiEWXDuJi/dPctCnCafgYprQxNcD
V2mE5fLjSkotcfxqV7hvxI40I4yMbJBXyHtotBtFInkhY7I3VWtRiuG5fn0CkrFG97uyHb+xGhyg
QvkAuhEFxNxADNNSDiRO7+E36gCVBgk0nnCNEv8ehEHn6b05gVgOmsfSyj+wPY/3l+42cnM2FVA8
6Gks75Pl8P52MVklelABwcu32uhpmDWkF2tJfsvjQv+iSBRN7g93Ey9JbqiK4EaKdxvVhFW8DNsq
iaJqRgQddW38lmT7MEdJ/2zrFALHBCXqOkDLXyh/jOXc7txSN5fwMjhTpM9Cu/MGNTePmdb1UROf
4PRHbqaF78wh/6wIzFvLrvxp6P27+7PdHJBuIbkVymBEnevFjaXZroYSg6ShL4NTKvL2gzlBXXEm
6qx6ZaCvarf/+IUOqB8EE9cCi0xKt46DEty4qGeWcmdy5Q0pUvJovu+s5c2+WUbh0qOChyYlDPzr
qTlihDcQMrUqVMpLaMiUbaU0OkbN1B0xx9wz+1uW6iq6L+NR2aBoTZFeWZNe85GWZRrh+DAYFi6M
sH6pQthYLuWTC+DOOvRqaSxti72uzc3ttRp4FVoq1NFROydDTvCcdbM57P2gb/aQvxvLST2UPA3s
PpihNTRrNPWmV+OJPjfWLyeEAS2/nXHdMXHnexbGLvPvNoGCrEzqsJQol3b2Gj0khaGkJkEVnYJS
Vc9ml2rvy3DUHsqQndrYMRYMU5eeULsNHhWcBL0gxjU+cRLp4/0zsrG+Bu1PEiUYG+AJVylMOSaV
FOVhRAY1/cgNLXyJDUTa7w9yY+6M1/XVKKtDgUqRUUs2jOEA5zUXNkxyUKXmb571sHO4Plz6MBen
Gv0kpCFBTcibiik5WHQ0XSdIDvge4MYODNMbhIz700KhmqLjFNNxiLnWR1l+G5rkXZvRNAEn58aV
VbtgGx55hZvHpm0b9/6UtnYMkM+llwhAgDN4fQCrruwDSxXRCTUx3R3IeY/ClD+BZuo9FWmxneFu
31PLCqKWDGuN97Cy7oePViYlc2uFp6iv/rLiVPWSSdfeCSjnXhYY7w1tEkegRtETAbil1BCkPvJ6
0mO/eJTfn/tGXF0U1wBAy0sYX/vg5prdFjD9w5NT4ngnaUOISlAzHwJ14L2cmuSA6bz3otyIQEvJ
GM2BBfMEu+Z6wXlihJnSslHjpn3Lkcr/6IRd9kEBI/BRifTqkHdUE920tIK93bsxX4bmjc45paVg
rHYv1YJZmeIYCWKreAyVOXIFUueAP1L62BY1p1bEkNPHr6OFJn8WvKWWddHM6gcP4L8qg8xrqHqK
tf1PMxK0c1NyPqn/Tpn8HCKj6DV19wyFIkHwqfpuGUVz7LK8PYY49N3/cBuHHQIwz6UFnrb0P6/X
sOsK05gc1nDMMdFyrNbyEUg3dopEm6Pw2lhUWQH0reu6VMXiGHZBeMLWoffY0Sr8wsneORGbHwWo
FD0ECBQci9VchMAebED9CDDMfECOAKsSkSoXFP1wT5pzXBcouexshc2pwdtYVCbAv6xbMQKlWKe3
tPDU6M6PqlWUoxHG2U5OePusJJHmlIN/oYq4NJeup1bUgZ7YQA5QekjKV70yFbdRZhkH3Kjz81BL
PZ7f4ghqTPoklVV7qOpUPgL5iz+AaRoOQz/qlEh147Wf28VRWSjksLU1Y5Cap+4oOv6UsADx/8X2
Al+CYAFlzxshxiSJ46CVZD4Jfr2uqSJxhB78z38zCOp/JORL5F0dxlIUQW1XDCKbTXvSEky6zDov
d0Lc1ocmS4ZxwRuf2s1qFA3LxYEmCB96RqAin6z60C1Zwf253GK9+NILVGYR+4Eyuc5Qs044emC1
RNJQTj5Xw6xfUpl2BJ5ESPDwqPfAh4G4HwDDzuX4ho6LBUIABJ4AQH0eRiyDClGDZsnz6rzz45Yr
bJXzUeWVGWXh1tCQu96GakijPoR97nOXdN9Bk2G+APHrIGdz9YBHccJrmrsFbLqOkmsK1RCftCQp
m71VWga6+SHQXxaJpkXteZXHz3OB66hoJX/KCucV+6GnKpTs8yxnum8kWvaal8PiKBD8pIuR/Qz0
kARg7se30iiUt/ursrExkPMjs6fEvihMmteLEjrNUKP/LPllOlUeAluKGwVQa/7pKEvfjWwbCNWi
8ri67JpCAZg/o/xkpuroYnNWXyLMRHc2+W0IZRTWc4mgnKc1s1CXJ1Pkyhz4AP5Ury6n6RyjzHdQ
1Xg8q+BLDnKujjuDAqy4+ZwMS62bO5VCNOje6yVs4kmrjbEN/LRDTCpWnkpMNn7QPLDlIy4Zw6kE
zuq4pVPU2qHLmvS9EVj4PNWZMSruIM9cwqUlvwdoN72BE5O4hOVXM3GcD2Gvi29jAZj16IDNpG0w
q9nHKNLUH5VmYjBUWt1kHuY+lr91qZKNXqXbk0Qpqc30y1iPyDE7dPhQpA+E2nmpNicfk8V1FlZj
7ExunEVB6FoUukqvURJn9GKjCAMv6A2sP2xJrROwL2n43E9t/FRnXfDHOEhIGI9O+T0Ouyl1RQKR
0VXhKL31XaljqTBmP/NWzf9MyhBHjjmUjYE+ltGznZ2Yd4EU/yn01nmJETgyvSbH7BmkomqN7HJz
JAOzhhKMgwnhfe5F9COxK05AIZr4uzQ4CubF0ogWtVp0n815gvkOZ+CzUszl7Na4XYlTEqk5lnVt
B0IIPtGPUVe6VzPOHYCXhlmfJ0W33jKFxiCoI1V6Umo9Do4a4J1z1EEHc1VJTr9Fkj18yUu9eUt1
ZcbpTG7ebNoN2HxkT6LLMGir7U7OAQyVFFzyIVjcCo1Hoov1MQWR8lYlSYC3GvRkr86d6bGgT+qc
Ma6MdVcghyZ5td2U8p+lJTAS1gcnjg+8iYwaOU3BUwG9NqlxMylwBh+ed/hNyee+8jpF6V6SPhLT
qTZKST/8T9omiOtUKsCD2IrgYpe68yYJM8eBJzc+paiUZC7qmwHO4E77PgR/hamtLWCtKZlkUyDC
aO2TnZrSG9Ly2ef7p3853dfxjhoV5HH6J4jD3KDOw9qxxkAkgR82SIMGEQINXaGoJ6sxP/3zkYB6
LAxUNDB42V8fRTKLSq3DDEwSYiOPZRP9bDtRvchOE++knltzAiCmygZJPKzAdU6ThGHUjxEj8TTw
qzCrH+cyMA5NJ329P6db4gDwWpTJULwhdtLOWw0l7NK2JTaoX4YNMk0axoSSRWuY2KCduUgmL9Ib
WsMAjL0o7OFJimwvtP6az+ob8iP4ATI5ML2BVZAbSg0o3RA4fhaas5+OaNYaIw6QhZ5/UqfuEaI0
BnuBPRyMoMFCxqa40TnFYy21f4fOt0QaHts2+CO2zUf87M2fXYmlQZNo5c4tv/FdKCRBSeMlKxOS
V4s1Vtasy5g0+a20GLlG9l9pk3VH+NH/sTf4r/jbjdtGpxEIrgdCAb2a1YvZDgOQPhr+3VhA4nqf
GfSHOgsX73yUUYJItdHVgQ78831HM3dRq1r0tAA4Xe/wMMBhmmEoTVuh/LVvlckN1WQ489+a/2Ip
IcdQP+LgovG8OkyW0upOlDOUg+eO28X4PYEwqdCTbOedWW3ucbJS9rcNNQPO4vW0HEN0A1oejt/X
A7iKIsiso4Or7bGZVeeY0pe/DFy+R8lQeq+yy/xSkUnsXOXL2q33OBI6vPHQvlUpnV3/CDOMw4lK
hePPiZJih6nSUY1G249nOpxo4tYfq5HXSWrke191c2R6K8g9EVDYu9cjG3IWJVJK2Rwv0v6IH3bl
YkltP0g90qq4a4WfpiLBLFwY6s5Hvs3/QF7hiAxVjZqyss7/7BA5lTqEutmBcsfaoVTobzh7alNb
p1Ih+ebjWuymNUp4qOjVxDn+3vjGxV6TmMF3SEJPwLGsnQ7q5nx4hQCxoKhyI1CtkwRV2PU4vh6b
1QtYzYKdG++hU5bvcbNTwN4bXDIKpcblV/zW5jBosTskHIySI+XU11rja8qYPstlUj/nVF7d+3fA
ErXW46mLUDlQDmpzN+RlXItHYCmOL+VR9epMiN6EZVsei6JHO3zuce5sNVwo8Ix/zethrzG8FeqI
prwT2CuqsW5Lx8acRnLG8IFmDRcrGp13amJhU6Yiy0K/Cw6RHI9f7s9560z8NuhaYmoolQBoFIM2
tCZ/NGaQPGpWFvvQt7K3ydFrqLC17kmW+fH+wJuzpRIKkA9qEK/y64/bmuNcA2Th49I/QzSkLjxb
S9Oz3Fb1YWqj4gMSXD/uj7lRUaYEo4LtXHpJvCRWEaDDvzFAyokTokTfi5T3C8/z6K9ex2uu0zBt
Qyhlrt0+11XfSsL8oUaz1w0lHK6D1iBGTziqIo400TyxvhhSXb1rjNZ8UWd47RlbxIfjaZ4r3QEw
QpPYBzStXlKKa+D40FZFDi7nry7OenkWvr8/u83tu1DSAeSB51hDmPVkLKJiYEWNXBIYvwLQeewa
h0Qea4QfcYqOqlDC6FG2Qs1VnKDek1vZiD9Ud7lcdAqulKFWkT2qZ4vXFtdLW9TtM/b26XM82t1z
benZYdby4lk2+gzPXyw/G6TrcRCshncS7zgvV4TsmcJKL1k32ucBaTF3wnj2mGaQb8VUGYceH7BD
O9vDoyrNsjsguRUg3nlGZQsdyTkzn2P8RY/oW8ifDLsf3aZsLM9B5O8ohw1OxyrwhZHfcjBnbDGR
GEQ1TdFoLY/xTJv72Gk0UXQUvmig6lFbnexszp/1Lp6+KkooLve/1kYIRfkQuV9gDxS+1km03KWV
JNfsKaNdTAttHCblONJ2QtrG8V6k3ulQoXhNP3O14aPMiAPVrkgoDck6htmI2GmpJF5YN5SKJpF6
atZmfsFl4t+f31Yuu7AFEKskevMwWUXvIlb6oTe4bQFxZhf8X6v+EX6z2h1sc5QDVDjL6VtqJMql
DDkQaiTQZUsxrIQJNk44BHf6H7iGdh/aEhcEbI4l+cnGgTJHZbppkGBevNMjrDf/MaNpgeUvTCbi
Eln4ulEhJmFL+HmzZrminaUwbQ+WiuduHVWFhwNu5+GWi9wcDwpfcro91NnWKdKAgHLfLVW+NXgx
BPAxTnVBkpaByZzUQHfbsknPhhLshOCtLQjCh1IRAQj0p3YdguPGtpDBY6JK3Id+bKOhF8qhvLMF
bylrrCfJ+5IAGWBN12rTY5zFWTPXZHj1MMS+0sS4lQLQRIBvJFVLD3Gf9B+aug7fGqy6H4YgjdNz
LKUx7Q/AgLyBiqnFmnB04g/3N+kvqOTqyl8KZjBaqChRWFpuqd9SjMKxpCSwUscfWtOrJOfbmABN
k7vsmIfGuSzEY1+kL05AjSTU32eD/Kfo5+dyyh7CusSXazgOZXwwZAzeKIyXrXYQ1niWlOKoImUs
ObCxQzZMp/UepI/aVVEk2VnfjYuUot8CG0CRknrc6gER42gvwMTbPg8koJEd+JSs7PRDoxtPitO2
nrUgCXfWbdka63WjsQ9egbfy4p93vW7pJItunk18dq2u+RjEifHqAJvIKXqPgulWreMWIEP+hO+s
fgWiO9Ru0znfpZqSlFv18fQ6IfLzIwAMV3v6OD4nVOczNzLi5A9VUhC4nFBK/ZIKo43cukBD9TAF
gfpVBImyx+bduDhZQVonqCqCd1q/C8YODfson2y/db6naTY/In2bXfISWJndo9Rcy5gDRlUt8DcG
Kn9/KTd6tIs2kwFcBwgmhOLVrZkGSmCVEBD8hH6wayXVoxI0uFzWH+XQpvWt5L7UpR9yR3kfmdJP
HW6FGjd7Urybu8iidcT76Nf1ff1BFeSQQwEizZ9D5wUjz6V+P3Nf5nF4dIKqda3g7/sT34o+wLN5
Di1ZIHCm6xEXN26ABezbUhmQrsls61BEhKD7o/xCzqx3KhEODwboxTCZ1yc8lhEA6bje2nD6BmnX
9vOshskAothTRRa7paAZXtJQuYwir89AVLuDo0TGJzsYIa/Gln4ylbA6zfPSuI3z4UwrO3qaUGx8
RIxQ89OS8u1oRukLqu7/vGG5iKovmKAFZKKvhdWbWZPyptRsv+pV8UiLT/VldWjcKFTrkzMn0nMo
SeNOSNn8NOTIMJ6hJIFwuf401MNnBD1m26cyk1DBrExXKypjJ0PYOnYUKqHX0K7kladej2LOdVlr
wWD7qYI1JjQXk7Lo4PjVXCSfDCNunvBdcx6zvLc/1GmV7gy/VQ2hCLLokqBMsJCHr8cP6r5yUonx
xZSg0EE6Ri4p4ksBMuLQBpHzwUrjgSxgmF3ZElTPzU7d+RGbK73AvkDycTuuoXVSGQO96ql+2JGu
uFNg6ecWqTPv/iG4P4ojr46aAV5xpHJu+5JWN09dk6MY4Ejtv5kLeDkFgBnAcmwxr+5SqjYTBZaG
rap0WA10iuWFNtof/2IuYFmQySGlBcp2PUpqCC3Tu569GUchAdn8kKOGuBOUt7YmIDwIZhBjFg30
60FUG5/SRiEajlGuvqb2HL/MDomYNNnJWUsttNrGBuEH7NyPDmiznTluvVPpdfEL8GeCjLhm+QeW
JgodtWWORmQhT5TUMzxv/Mw9qbLtb63pJF91TYyFi6mSPLuxbEiCdm5Y6Q+8OIXjYt1Thrjs5MHP
rqfm5jpS0dseQCOLXkduoDyqTMwjrAoFkbbagRpqJtiAHkRlla8zxnDhQev4E1f1aumkWE72nvAZ
vtectPl2/6NuPVPItekbk4PBp17dgaAyorKvUnKYAno4xGKD7IFbAU7fcE54Ux9brTMOo2xNH+6P
vHXvLaxSOorEICD5119aqGpl0lDnFprD6F2NHYRXmeKrUtcf7M5+H1kYjt4f0eT/uL6Qfh9xtYH1
1AbgInMPoaXs0Ub5kVrqfIYqdJiHWdo5k1vJN94bYMAWs02eYqudXNVd3ImOWzYdpPxrVhdj5Zbo
eh+rBq2KiMzjCUA9HY5J+hyZrfMwoE7pjZotDp3d/VUp1j92BISNzLW+0MFASoAnvl7x2pHsTqIJ
4oeIhZ3zXO8f/j9eHRvf9WqU1bznPqrDcAmsE6IEJ9TEdR8xOZOuYtO8E//L3nk0yY2cef+rKOa8
mIU3ESsdUFWoasOmG5IiL4gWScEDCW8+/f6yNbPbhSo1tuf0Ht4IHcRpshNIpHnM30Rz8lZR/0Q+
hXSXC4KJohZpt3H+ZqzdUfHkMWtUy0gisMw7WxY3Xl4/l7pPTCA6OlLj5gnns1pANkaEWgVUkeKS
Pry3ei8mXinq/RRr8aGNNPdzg7l1MLdhs2/N2bitjNJ8pP84vNWsML+NM0XZLT2wi5cf7MqhKY20
QYWSPasUFc9fH7VYsxsqFGrwWmx8DslWmkySKfWqtSuyguYZBr7BYBlfXLUZPr08+qWIjIeUppwT
OPVQuNeWFQWJyEIzIwxIGYdm56XR+CYOrUHsEkgcKLvhb7jP3Db6oNVSO0WywGM/URTnbulqC2tH
MMO+W5Kg7BW6xgfMmPI4SKskl3uB3eVnbm5uPPaVkw/2JbmxZBECjFydP86kW0o6yoqTp49v5r4v
bmul7j97eYy8yIBeikPhK1Db0N5QPLgSFNCOoFcMtxnIyLq3mqkahbMeFj21o/6Hlk79Lh0Wd4Ou
fWWUJwgkOx2fLuAp54vCS/N0sBfXCbQZc1bfc4XR+pYpio1T9XK/w08EaCmJXZxy63KymjuNUbWD
E4Stl+9VJYs/xGmT7ixzco4TaY9feGH24eU1d2VQ2WwBXQQURoJizl+O5ShEpmFdYoZ6W/uL683v
Kk/7Etp6c1+JpfzeOJO9ERxcOdIpG0KikwUL9FzXbR48jRLqT7ETIJ4d3VJwbT/MFrUFN9IMJDmp
l9aaCB8aD8zJNNneA3oTIqhsmpitS/fadMTrEwbKZGx9apkS6rrGBMW9G0Zua9hB7oX5ycjq/oil
bX14ebovb05GgRiJjBu4LsRNzqdb5Gac4F1mBzje5aeGeGKP9MQeIbaJJKXa0h7dGm61dFvDaztW
lR3AArJ3rSqagzeA4FWdPtzryfD6KJ3tT7JHR01aYD9992e1qCRXGmVRZjuYDNEcp44ebC6UcWP5
XB44jCIDdM5ozB7XXaamtQ0sHVo7sEM92xthO70fjMgAgqcwHh7I9w6Ig92STFuSLnK+zgMfCo1g
sbn1KQrT8D7/fHkkvCKfhY1fe6bs5rxFhtjM65skc4atVsTlULwecA4mFOLQurIpcvRUCCCtIKlG
/QZaXnijTlmdbhw6V95IKsZgk0H3nphuFcpQMygiSFdWkMdKdJclqX4agBEFVe1UG6f1laGgYdKo
kUhGWFiry9XsY9QJyhgicKJUSOct9Q7nEW8vqmWrFHR1KClsJ73KgGetvlPcxknbjJ4ZlFZSBcqI
cmo06uNRg0y4sRivHKB4gtkqrhcSELCGY9NIa7p4Mc0A22vUjbIQ0e04sh7UJcm+aI2mHinZLRtf
7UpngmlkF5hQcCFBrTnWqkbShB21gfwpSXA9Im03CcinuWPeDnnWoD8+mB/GSP+eekbyMTOAEeIF
kwTT4nnHOLO02wXxib2dm10QuVkeiLZR/Q71m3snHD+/fOpdmaOnIhnxMu5xCJ2dbxsykpAkcKHX
UJguhx1nQ7AzQaKdmiKMTy8PduXMI++k/czcSJy0XBvPziB6dJ6LXpAZYINu3BF6WEdlVgZ0DjFA
mZVifDXqnzALeA/ZLpLoICzPxxtzMbKFQeSGC7DNRkNbqnCLZOOtrqzoJ7YShs5Sx2C9eZx0SGuR
J4xiz+YH28vnQ5QvHXL/HOcvT6B84NUhRyILs5vmERDwNUwVC/K8NFKHquDcaG9Dr41gsSdbofYV
sD9qS5ziaDfTzKalfT5vdeFMFlL5eoBZsXKreG74oc0iQVcK4YvMT0ylOri1mG5wH5t+FlUzB+Vk
TjcNggJvadFYd55NO9RK6mpBpSXPETTQMrxXktjvnXhpd4Ai7XdWHs/BayeI5jDlTFnzZfM5q4Os
M+qqs4WrB5lFkT0X4XfXbaI/M4jU/kAMFF3UdQ9Nq5eiR3tXD/DzHoDIVe03O6rL315+lcvNgk0y
aR5iRBSJ6LuffwSziLIUCThKyyjs+fRh4t3SdaQJwCgQF062nP+upDjnA+rnAyojTO90sh3UEZTu
ds6bitplXPwcqyy5je9juH5aP+xIzxy0QXoysWSKA3SExq8FTldQwh3vQ9tW9cFJqHGSQ5bHViCw
9/K8XG43HpO2miwf01BZN/yMZKkB7TlOMCdZvat7AkExqr0PFsDY+NBXKJGMhXYARVzOK66S8ynB
t8gDw4X9dhIhhQj1rNlrVaXtlDqdgrAUVMpRfb5RRdXukfaZ90NmKju7rMuNM+Zy4/MgaOLLSi4J
3ZraZ3pkaDA+nABHsuE0hkiSG7O3VTy6UrRmGJgEtAMgzFxglKJyyduQ9jVdhwjOP2SlUxTGvV+7
NdmVJZALmZFszHEhuxOgoVGI1LSN73vtVYlR4X5Cz8TEQv782SVRpTFpDz3/II4cE8/VuNoZam++
+iQl0JcgY+ALpBbrFqMqXK2ShkxB0o3OPpzH+ZSWTnl4ea3KEO38vGYUSLxozkiZxfX6UftmgkWj
S0qbAwjQ1aaTtjg/x9gh6dY1GE9jVtzqxAAboc+1TSLVsWWJV4q9yAd7NolIynZhXptM4iKcu661
wkMb5liFa+XWUNfOKU4nQm8gpkhCGudDIcVvKGLme439VO6HlI6WpiUprsodl7plvj6ReUrRaBGB
oJUEnPPxNBxGWmUancDW5+pG75Pcz4fY3Qgdrr4V57vc9fIAXr3VoM0SuD9RWSgdd0fXRJCGJ+Up
KcZPxlTn715eKE8UsYuVIhtxlGoIH9cbPKHuF4MPZOcBajpUZT3tQq/XwSDPYaBHRnSzGAMtJCoR
gFeT6VbHGxLSh8hPxYQeL4Fit9fUzrxRUwPViGLI952S/ICJqL+hk6cB+bWqk9Zp4rbLhq9LDr3C
08AmDGHRvy1LxzhAeoh8BEGivYYFzr7TwKFEaViC9F/i48svfG1+qaIRnEmqj7ruSxt1b4h5oaKi
NLke5HkWBpQdGA9OAO1HQ9vClMoPtp5gjjXprUkfAIX482WT0QBUw9i1g7mrSuTZe2/nMI/7GCuG
XRQZwm+hx5zQ3LVPI/FXAPMEPfmxid8m5uie6n4wfCVa5sBa8GHJe3PczSpMkqEtNB8J9uFNj1fM
fcT9SN/EbW+90J1Orj2M+36RYM8xmm+cxWt2QMDUyvdQEz6JJsQfGUMIo0W11q5cn1Fcu5qw3Uqt
oz4b6V01oS3wH0JruihpGifICgiUQlna2zzl3ltoMn55+eNcO7aez9Vq8QutjlljNIhaT6/9piuM
z1ZnaW/rMDV2NfZDR/TIrJ0HaGr38shXDn/wXCiPeaS8FBHksnl2bk1R5Zmtk3AsD1Z9309oq2t5
255eHuXK6Qg6jisdAUx5Rq5CK1CyU2bDbg6GvMP2MbfEKTGq+8ma2o1j5DK9wo7r2UirVVcUBlLn
ecQxEkXWztDLEScFQNrKAuTIUbDMbVSl+TOTCHeCGFgGqWtDDAU+R1e3KbeOVU7H0hMKPYN0C898
bRKpxtMekw0ga10ojOs4EqagUJg1PQo1qlIisDXqt51ibWHmrg7FaSEBNGB510bHsdIkkaXlDsFm
Vu9rT/8I2zc9tRUohZdXxpX2BynPs6HW0UeR92B2bTtQbMt54zmxCNqwyu5NOFjB5IXim1Ll/0zd
qfPtoY5vE5dYry8bx69ztbnrS/t7DuB/Iyb6N49F/wNhsSvUnW4ovaQrCvaFUarq0dEwzdzPbqXr
h6RSbd+F+4UsRTLOb0WxmI0fWnV7546maPc1zmMne66AnqFzVP8969Rpq3h6JWWk+i6bnMCDsSBa
iwahcsXHH/hEZmwjPREHopruFs/5pnnL21gBVaVqJDAmzLc4fWf002nQ4zejRDz3WfJuFsqNrZWf
K6vbzYb60DrKblxQLH358z4Fj6tbQAbR8LS518mfZZfp2flCqcNZ2pwir6soIf3tfpzvPCsaDl3S
IWKFGU9Q6K04Rfim+WKpxhPeXvWe6C4/zJMxHhSE7w9ZMacnJc/NB69Pl3t7tEFwc0kcUnvRvvwH
pAINLLeF6bjAulktnfEAOsP04f1s4fOuALyYeGrWqFxJHOxawnte6jlyMtMOpD7391m0lY9KzLBP
VROF8nDqdoox6EdFL5Z3sVcCHfQSUviisE60pzfZ49cOcPBm0JARBpFkg/MJxkV2mtPUs4NYIjTa
pkCLR4/MoxWaCKvlCzqnrpLsCqltrub2z2YoB+jTeeYTnw7+2Kh90EDG3DgS5Xe9+O6UBABEkz1x
7J8/lqeATcm58oI2Du+52MuPdhbVH7sBDVehqj/txBGnAuJqYCwI87286q7NCbkGTSrUpuCbrK4b
fRyy1E5DOyDhmfdaMi04tSRbLsdXIirK+4B6JaWMiH91dfZaOLaUcGkXVXjMWmE/3pdz/smEbXBI
O+/1eBxIXlhkgSp0yDLWjXZJOOiTxrGDPg6dQzgZyb7WERB+eequtKMYBucFk4oq+dNauqpoY0NT
RtokZZb1PmJA+Y7C8ZdFr739zP//Ns4IRzSNdWtEFXK77htXsfZxP31++UEuZxejdCTqEfSBZ4We
5fkCavRWs6N81INpzr+Scuk7S4HGG2FND7Cq7DbW6+WNx3Awn6SVp00Za1V4qK0Bf1+71ANzUZTe
pwzS+0NexHe6XZmvbmecj7VentwMCBhmlLNCdbq37eGHoyPF/yfmD9scRHrZfThXnc9fXoWZ1djg
C+cZpqXbe+rBmEV1cJqOzMqZt/L7axNoQSGWkwj83JSB2bODHmPZWcJetWByROdXqK69JRgqD62l
TYeXX+3aUJShVNJ8KrPU0M+HKtUCXQQUqmiyl+qhTwBCqZ2L75QTZhtDXVuFtnwtDhEIf+smHnKm
0KARwydhMs23RiXELeqm4hABZrsLRVlvLMPLRADpfVJ7eBaSYrhGqnFcz1mcVLzaolLYGilOHRJ8
L8lbuuIQqnWxV+DW7afc29oBl4cmQ+tUuuGT0i1am/ABm070Nsq1ALv25ljhw+GX2LRsTOj1UdjP
iPWgIbcuXiydMteam2h40mrmruupk8Dg33JHvbZC6OSR0CCeA0VrtUJE3wiUOPlsUgwdrtK84Fso
sEIx62bjha6tEKAl3LyE/+AuVpsZBWENflStBWra5n4aTfa+iXt9H5G/+h1U2I0E50r8AchVwxwM
MSoL4ST57s82msSaLaOCum+udck7xUX2xlQjy8+Qoj8ULKDYN5BR3tteqJ/UWl1uTL2ud03ptLtw
FOXGir18fx6HCB4xFClNtm4AhC3JFq1ZNaAeYh/myu3BomVYk0F+PEAaenzt3j8fbnUtlGqlQe8z
MX1rXYg8ap0EI/dlAFf2t5dHulyp4I7Y+FL3hLhsfaC16AEURclIUrXi6NXheMi1st5w3LhcqTTE
uHmoGpIHwa86/5puW6IWW3kLkmlteZNYeRSUgBhvKCBtNUqvvBCOVcgMEZVxujyhVJ8tnBYoYKdX
1hIsFoLD+Nz0OxUR542E7sp6YBS6ZS4tYFboauu5oWr1CAMvgdXGNZX5/E2YhQ/a0Np8LWRXXvuR
qAwBH4EQAMf8opsq+pApMyY96HWjDhD2yBGUaZVPL4/yhJA/j2ZBoqF3j34ssCBaUOdfySvrIiLb
VIO+b0NjN6pT+G0pdcvY1yPKP/6gtGG2H/NwIZ7FVf0uBWgqgqip4v6WvzJGh6rVY+WohJkYECZU
mvfz5BpfBzM16t1SOcs+xrPvoY7HvsRxYwEL3Nldg0ptmbjtB13pv1vpID7hFZZqfij65Uu6hM3o
d00PJTIeFJ0ORTrm+dvYHcmgCi2tNUSAFRZU1gB9nZzqk5qPGnw3YzS/WW3P7TXJfsv+5dm6XGc2
+TxQFOoGkrm+WgG4OtEztQc1mNqiOzZTopKjxvHXl0e5IpvFbSXrmXQsKIqs1Q9iwnqoaIiOh5NC
3zcZ44eyXBoE9FBFSO8tMSspPIfSSvdYmdVQTN2he+elvUHNNTTm+0SxxrusD7u33ZKFMAPBWW1t
Bnn6ny8c1g0lL9lYwR9oDb5YID3luE10VJQnxMhtEe/of7hoDo/uMu2nylQW31J0Vz3WQ45Nehh6
QHrb3LZG6iCj2e09cKF3lETCR6ttkkKaY3X5jbBDozg5Xkd0lXa1AbYhaQ9W6yATatQieaRRPHjH
KLEYIEZEdvFbA+dIKFkuxMwK7FXpkwaWmg8EQdQ7s63Ck9FRBYT5rOsP0HyW+8RpnQ+qOeFAptZd
2e5DB8cwH7WyuNyhNtkfNB2xkp0WWt7kp5U6wO4a9PZ+TkW+S+GrwhQusvKxtUo8QVtV0b4mhHZv
kgqLjtNczFRvkCTXDy6OWxWQEZDquzBFj9hv48ac9rlr9cO94RUtuaoRo5cS046kEkxZ/uUFdRl6
gcQhdAW1AKLJXEMbRzVL9KnM5sCY7PJOclr3xhgXD02nAGgpvBgyeFu+tbNpS3j2csMwMvgMKoik
XBdMC1zqaQN7tOYbSx1OOrDUveGWw8ZavDIK+baBHQcxg4NqxfkZRnhuKmPKwdz16YiU7IJWvjnZ
rwaI4nIg975kXxIyr+4zzaodhPm6JYiqLrmzwYjtErtw/8S7PB9lFXRlNVRxo2kWyEV1vy/quQo8
Az7Xyyvi8m7mXQB9EGUxYShInM/Y6GajgvIVM5aVtV81ieGbWbnsIk64jbT7yXJwdVAApAMryJlp
kPGu0rU6b4yhnnVwHWZPWSaeivxLQz7a3OaKvnAiKHl9305qVN4pWQNrOjZGjEkida4UPzUU1z50
i9k9ChEP955rxuHRDOf6k0fdO941QoH7JiAFouVVe4rvNUuPaV9V6g9dCGd2P9RaulVFvrKjWG2y
BkNxhAN69U5ZhqPQTHU0mN3MvZ3HLqKN00piraqXu9JtlYNSzFTk49jZv/zpri12Dk0gOwh/O4Br
zj9dXo4pFiopny4y1X2eQo+nhKz+mVEkYlCC3VyS7PNRInC9TjK7c0AKSZ3VKsa9YoRbidllRCWJ
AWS6fyBTzkdp1KaAxGhCAZiN+PNiDd0RnGJ+rBAA2hUewnMvz90VjiW1URo1sv4DXnAd0o+LnTc9
vdigAPl8l3f6UO20ZPkSGSHC22xufxLkEd6sWZ9hS3nvMB8XRwespG+4Q/mhKZf2Rq2iAe8oDByU
QUX+LanANI16fTKbmtxFpD/MTo0/QR8qN46gy/mSpw+nKTEhsIV1J9luhdOrtTkFjamNwdiU2X08
J/bH0Jp0jH17eyMluQJakZ0tOIcIU6L8YMrF+CywJrgZQpRdJjSfPBDcaRLdJnEb3k66+smejDRA
pAQCCZqHJ7K1YqdVZv8mEcZGlHrtOWjYyHRFduqpB58/Rz2Hqa1O3QhgtRR/B7aVQw6i+/euElHz
T0WhnAVIYCzKg1GP8/tScxoHAzHnsTTHYkuq4vLwJCuWWm+EgZILuQqZpzyxWBpPat70FI3G6e8t
hOb2xZzrr74NgAtRDOLWlohya3XnOGmMy1DOUMMwRt+GWen3LfCdjUzt2vRS96eSRmwgueWr6cU4
ybMHOx8DWgO/IaoT7vKBbu28IBgz5fdLZ91OzmjuFH24sbr0HxRqtoBwV5J/kmzSURJSYmtA0eef
WJ8tZ8jnmGWdoaFksZIw5dOjt7lp1D5V0Yr2iWcEU9kXu26c29swxcuhSqJuVySDuXFSyIV9fmnx
NNT6yCjJ+ChInD9NJigaDYo1BEViGx9EK5b92FfRBpvwykpC4x01NdnzpM+xuka02oUe0TKKUus1
QvxR+7FbcDDxVcVoN97oqXry/JUkZVGWKaUkKUn/ugo2jlDCiafrQBtVHeu2tEPUTNXjBCnjJCZk
jpql8oU+GB3krLI4DXbV3+Va/U0vit48QIBOSejqKjNB70VL4feRMX5uykFTbvGgSxvkEvISegdh
8kPbxcNnB5mfH/lQYQpU4oqbDirrBr8oeytjWt/H8t0oYXJGyW4RCN3zz6WKUjERD8POBsTZgdTT
/Tqhz/y9x7Yn0LvYfZ+HVv7NVbLoxqxG540pFOGj5UzvLUHrWphDc9cUjj77aaZ6vJTmnMDgApOO
IZa/fAut15Z8WKrIFLjAHEnUwPnDNkIodjj1dTCapbOLl8UhdBmXjRBvfVcwCgsKJRNq/mhIrTv3
odNIlYC0DkCOQRXtSXTyWFR+mMzfStAkL7/TBeJTDkd5HHYZQHwJhTt/qTxyCwyugTaNbeYdin6e
97052HtF+ju7i9UCqqyN9+YUmydVxQbTK1Ll1Fr1P9Jm5DrVo/Zgt33r65ne+dnS1DdjT7sJmOpW
OnTRAedZdf4nob3IeQMDWD0rOLt4ICgNqtiOH5y5Tu6NPPbe653d3GhKRXetM8IGP4qm+gArc/6Q
OpXsmswgVVIzFfpuaSvj/eKZW+LoV9YGHTBaNahb4Mmz1kYvZ1zRLVHUwYRZO2Q+Iw6yKtpyd7iy
XYiCGAV6AQW6dR3DqVWMYUKBHfXc5A+ItLdvsJwadn1SWm9EWNpvUKPNDjHyuhup6AUslLnHUAAz
JWDnYMLXBKyw0NHgw/EkyK3ic2FXnh8ZKnIsTab2H6facB7CFhqs2YZfRWaj0ZxN48Z1tz51kZOk
6aG6dCJgFlFoOf/8eP9a+ugYQzAsmJEnjd3e1g0VLAQ1tkTGrw4lO31SuEjir8+HQglVSToXtbUl
c3+22WzczFXyxS7EFh3iYl7lS9nkBORYJAYoxJ6PhGJ4VQinGII6xL9SjTHncbLM+GjPTXSoMwRb
JsTz9uGYN79larkcTOPVlAKegdxYBmgeEb2xvmHsiNnWBq8PFhfshZEUHddFt3V8XplTmYFjekUC
i7/uak5Ta/GgT4Y9hNcyA07ZhjsSpf6uoAawcWdeGwpqFg7BoJIoLa8mNW4B5TmV3YNAydW9Zkb5
bVXN9e00bknirXeknDqQoewLug14IqzW5GIZ0xhHABZiRy13kUKfqnet7NTgtuwbi9F+wPS1C8AK
bZkrXtiHyaGRlaJUz2VB33H1kni3Gc0omj6IkrnHOszQfEv0UOu9qPG1eCmp18Zl/bGNZQ6uLke7
B3/Wa424m2NPnEKdHJftZgWGUWR4y5vLb3VYphu5z7VvIY27ZY1fVvnlz5+lIgM9oDAGVhqoI5AO
G6H6YxOJ4QBk2Nr47OtDGMiJhFoTTXBEgINYJb9E9HOPJ3kdeJ1Qd7NJWNSP4daV+aSl+jwgYxiL
8hjlU4l6g557/kbUPQGYRJUIDLNH+xvI6vzNUFkFfjQ77u2EzQ7cGGw2H/KpbXFcjmPck8pZbzSf
6naaoLJpjOFBlLa+z2PTaMACOt2+gUIUOHOe91JAPRRHMUBq98nfza9a39LDFkuCxXGUtdVMIjti
xoAeorid9Q6/PzVJODZU3Ib92RtbIFhpk7S73C7dH/wi9adl9t0nYRpRtE+HdijpU0ON85cuqY5p
PpRovIe5eAxTK3b90iwtgEL2MMSBF1poeril1r+3Bg2L1sjIpGwPwvxqXCy/FVkI2ItMx28S09zT
66uGg5mqCoQBJXEpsdiifTcuLUb0L4cv62CJT4GWqowHJOnz8krwUnM0U0sEeTVMe9XIxHH0fCya
hJY4G2PJ82n12QnKqOyTx9PXsVefHfmQGdR2IQLQr82+8PRwj8JvBl6Jvr9wlHCPHOjWjf/U0zsf
FfaajY8ndz4sgXVC0wvYn6C+E96wVUCOJmae7Qu7kSbWw+K9terc6+m0jikw4JAfI37YqN8tJ8aX
eJmhrCT2HH5Dn2cZD7OdzA91n1XW0ay6Ng5MHfHbsAntjG5fvojDhJz+fGN7TfJhhsM7+EoMwfuQ
1F2o+yW2D4fQi5FRM0jdp52SGhMWQ+SF+p7eN/R7p+giCNOR3fWBM0ZJhoaEpiJMb9RYkeIbNi2H
euxFsS8MAeA6SZL8R4iI6AdjzJeTKc0vZxWvLAYz+98Utjve5MvgVdwYFjSUl9fPRZHT8gjZYCuj
0MflS2x5vpfLulMLRbQZBRE+aqqktKSLvl/eJYvIClgnVebramOU7KYs7k5dJ4yOklqnfFtydKtu
1GWofhr9kgAdpJbq90WBkJOZqORcaY1JuN8OS07LZGm7QyqEXRyiVF3qE7p0uDqM5VwV715+qYuU
nGOJhSIdYgx6kUz++UvFcW90Wd8kQYevMpylweyXvWko9btw9hQHC8nEE7tMibk3csh0zX6YhJfv
xASn7FC5pkYBO6z+FUL+55nSevu3/+LP3ysxg8eNu9Uf//Z2+Nl0ffPzL28eRfuXoC9/PHK6lP8l
f8n//KPzX/G3N8n3pmqrf3brv3X2jxjp9yfZP3aPZ384lCA35/f9z2b+8JMstXsaIPpZyb/5f/3h
X34+/ZbfZvHzr798r3r0mfhtEQ//y+8/uvnx11/klfOfz3/97z97eCz4Z/uqSMrkO8W8f/2yP/7F
z8e2++sviq39KpHNVDqhI8kYl9Nu/PnHj2jWuSrUL4fCK1fPL38p0biN//qLZv3KhUcYIBUi5CIm
RIE7+/uPKHYB2QGSxNrj2Prlj2d7968z5l/fh6n4/c9/oQrzDtuarv3rL0/qus+PIlQ2peivzAFk
J/0pIHl2k2vqmMZdotV7vStUxNVdFW9gU1f8UMkn8JysusV3BOoxvpnPpQeHI2/3qIoifJkVjvDH
TnV/ZmV6a1IRq3e5J97BRdKPfQvizPcKvfynDp+g9z3qOAKRzM5Eoanp0n2tjdF9YoPU2cVpZN43
7tjfp+4wfxGVjkRWbA7FZwTB9E/0xXvsErPl1quT6S6cRAV9QTRNsqvh7h6meHmg+1n3wdOXfNXq
/rcr9Wx1/x/3wP+Dq1uuun+/unePc/FY/uWmzR/LH+3zNS7/3e9r3PF+pczDSiKNpH1FRet/1rir
/Uqbk44Tlx0nGCvsf9c4/4qGBnkSdyAxl9Rk+2ONe7/C8uWog1JOHQlrktes8QtwuMTUAbVEXU4+
BTWY86OznIaxLEWMiFCSdceUnPetXsT+tEBu09opCjpDS76infTDHfXonaNOmLcs7V6tNVx8siHk
7qs8NMbnyo+aOTV8kbj6YSiW8F1rDtNOG9Kb3h6+5hhRf6fDqt3YE7DoZxN/Zas+sVeeb9UnaCBt
VXoVJpqUa1fCGO38pDFAhywGx26UfXLELHy9HjF/sKe4f5jn+RjXc6fv9FiQKaRiMnZVVA0nGtrJ
20qnfZJrk31fK5Nxq6pUa4VbTtAH8qH/2LiZ+DAt4ouab2miPLEuzx4dqqJEOLEODNmikxnXs1NG
d7OkjsC6By3WDvFBM5vfkFSavlZmjdKSh2TDzmZTP1azWX4Q9fgJ+1f1TRnhpZMUZWHsTKNM3w1q
IT6n9ZLPvt56IUwNuyc+94rxZ4wm/E0Zd18BvRo3hRoPjyDDdQLcuSjfd25f7RR1Blkwqc5N46Fc
7XsxGYxfddAFzLwUwRwnX1Q7D6M98LuQIGm2YhTxEkrs//9UWd+Zcp+/cKr0/zi7L+Xf/uMsMX/F
xQt0wpOwLfDUZ2eJ+StQTp1WLxcmN5UMm3+/L3XjV6qr1NDoSvHfaUo9P0vIGoEHUQKRYkPGa46S
dTJKvgtjH+EtMJ8MYzHM83Vc1V2XYfA6HFss44PG0KJ9EuvLRsq7zq7lKNJyUOokI2m35hUIpXLE
aOfDURGwBieK/PB743SfKMaWJPPWUMz28xeC0TGCryiGI0/03erQOgvd0NyhFqVuFPpkk+b5EcBL
IXYl5cponVFtXI3kumNu5rreH6tKgYiKiMp9MYwt1qZdLI6D54lj0aotAAut/Tp6jbHRPr3y6Wg3
oJ2P8rQU3lp9OgBEodRt7amY6DY9HRzjndCoXv/pOKAlXJziH2t41apqRdxqoRSy0oSi3C1pndxG
BdFU070ek8iE0rVgHdInlNY0559OGwsXRwMspNtpcI+OIdkasbfVX70ybXSbWYyI3njWBX+5NHoR
uU7YHXU19Oj/dc5HCo5b6N5ro0hHA5a9JOmt7R97h7JHLszuKNzOvJurKcRFpN1itK/reixBvgtq
C5wPAG7XTodVp7uSydgdI71sbmrNpPhC9f0GoJtzG0G43CFi4u0x/96SZr32fi4GjnhePYUhqzKD
mirk0GXXHfue9AwipziMpPCHZ4folQjhcjPTqaUiR5rBw9IsPV8RzqIi8Fjo4liGWrVDsxP3vCmx
dwibNK8sAFK14KhFOI9vxo5eSzCFEJ7Ulnj+WGuFc7vovXNTVHbzUDtWefP6t3IoYJP7mvBS14C5
rhxicykSkB9UbPcl1LNdhaF5oCz6qz2LeavnQ60CRaPGyLYrcobqWuNUmZl1N0XF1gtdLobzUVYn
0TAovcD6sDoWbHDo4qYGTjHKTn9i2iSojHeSuPLVSZQU6VzUUcS7LNF8smJ9pG5nJftULZL9y0Nd
faH/HWp9Eg1h3IV4dFfHkFLpDRoVlKUT/efLg1xb3Cj9/vE+60vR7oGbQsCsjiIF5wca2kGjRdGA
YAyd//JQ8jOfX1VSrkGqpVBwIaVZRasoxIVzqLoUUFurOUYdlMpExe8kcYvvnIb5xpe6On2eFEbB
bJxm7arCHUfKksIrqo65kyiBIjGvmeJkr/5IErgCuIEACr3LtepkPShOCdG4PFLx+txPQ3YQnjkG
L8/cxUeiFUDwRrmeqj2tSu38BKq6VMeWWc2PnYu3q41uwg8DTxz4sg2mhC+PdTFtT2M9YQykeM6a
4sNtFVZEijkVdXt6DCNCdpKQpNoY5qIlw22O+hcsKQJPijIy730eIlXAOIq47PKj6mbxg2J7CfzL
FguPDKvRpSn7t5odT2+wpq/vpb3Z24ya6Ze+L5d0pykutUIjXt44vRITcEzpHTdA+7GEJLfB2LlY
tfI5mXRJrELvb02mD1FMsZIuyY991Hvfmi60HjS7qo9KZDp7FT3Vf5X+zip/z0tHV+afOiuIGSnz
Iak55/NiomVZtpGTH3VN+Tyr6G7nlD9fu2ohVsEspEIFSxN5pFXUmC3wVjK1zo9ZmDeBU9TDAXHe
fmPqLlnukr8F6wLpIMnxXMtT5HVvqEqvZEcsQuNHkcfGvLcVo6Q8broUgdtUDDsBiXlXLsX0d8OI
vWONFt5vnOS6H+ut+OhqkX4/zrVzXxhMhF8rw5j5xdAuB6oSVTCKSqsQgB/E+9fuA2BaYJYklkj6
xMs9+Ty3hnWGeqxJsy/H+L7oAWc1KM5v7OyL2Am5OAmFADwO0g683fkoSuSpvUuX4Rg2Ivw6C4Rn
qnGOgnmwk7tmaJr7cJx/OkiofHz59S4JGHJkHJ/Y6TTVAZafj2wIpwR23KVHJ47TCW3a1PhoLbP1
WIlmTnZj7zg4rtjG9H5O1aza12Kukb3/b87Oq0duo0vDf2gJMIdbspucoBmNbIXPuiEsyWLOmb9+
n5pdYKfZ3CbGFzZsC3B1FatOnTrnDQjbrR9qG6kvN+w753sG5OV7FJvL7GUGKuZHdjDXx4+3Bfkd
JBG6D1cC5aBylWmmNxIAa9Xg6KTfjbjEzr0vFm9ZtaMmx973oGEpC0UtUQkWp/PNV89FRaqV1zSA
WaJ5SPPjRSGeHp7ZJ2FgZrX+fcgyM6gXs/xy+4tcH3wwXY5IxcjVQeNt7yt8p5cuHtJgDs3q3Me9
6eHDmgW3R7lqeMiYBIF1hVgMxFRoXV/OEIVUc0raPA2atG1LN5dRIjbHYkaKbtYfLEphD8uixF9W
6jhehdHS/dSMoX4ay36+RwPNee81LX6PeNMZIlaA7Lj8PQmSqUpVm0nQFXLG5kdjt02Go220s7gg
tpD0plbBdb1FIbbrMq8DIj3BEEvzOaI1eVZSQIi3F/dolM0nVJJwoQnJKNNiFeeM+9xVy+zQRuA6
HXiF1FErAdNAAN+EppDynj0sehwsY/HRLmXtzziJWpy5YjqcLh4VQ+fVzaIjySGZyee8ksE8UPuP
fRuI8X2C2mTJPzrqL5VD9buereTIPHlvJaDiUFcigIKA2kSXvkokBbfgOEiRDLkrVnt90XMtPd9e
772FMJHgFQqp4sm+GSVrViVK8aUJkqyYHgynwZ3DGeIzmft48GnFsbhIXtmmtJUVYDkUWtlJl9s0
nvIOak8fB1RXfs+p9bFLdBzyeutLXYd+aqs/bk/tGq9MdYCSCr0qavUwlMUKv4lEsa2MazuXcSD1
TRYUGB9GbhJG/anhCf9RUdYpkFqzf5xTxLFWIyoB8GjxC5/S+Hb7p1yvsmDQ036AfwR+ZquUgQys
jHZiEpMR5utn006VUywEfTSoQQfB4DraXw61CU7VqvVxOjKUSlrtY3KS3RnoRAZz4kQfzAEFsNtT
OxpPXAdvFlnRu1FuQsajiJ35ZlVrv5Ismz2aMciLgWw9uO5F8na5i/iqIrczbRomoOUux0vJdXpH
ruJAi0PlrslkPXcTi+4wZqSj8iSBkfAmC5+BMOztv/I0VH7fnvDetmKJobZw16DAu3XsibVMajqF
fRw1avOpBfD91aKb6w1hqD1OfOVzYxV5kC969uBETXge7NjJ3Hp8b/mBcAxTCs3z1/rUluMfz5Xl
RHkbB/OkUMfj2HnDOLRuZIJCuz3nvf1L/Qs4pCiUUnC7XPRwHlslqqI4QPYk81Z0UN1sWWwvV+sj
ka+9/QSdCIYlVuX0xDZRoq9SZFVzKwoaOY4ftHiezkWLSEK6JJK7xHl6sJ+uwywlV9EFpNsnGHWb
8bKxBXucaFGQrXH1WLaj8lu2yiNKznXsYxRyBqrMKlPbUieaOa37DkfAQK7C8VsNpU3A4hVftcbY
m3mXnTBdOyr57k6NHUpyIHr1W6BlRK2RVLOMAlAX9Z9rNUyfYkWbDgLATjqEQhg8KaDqQhXq9by8
iQCSZM9zLqVRsOZ68Slbs+VnRFh4oB0ZPqtTYz3gGhyf9VKtqY+lpTeW1vwCnaVwrao8Ivlf6/dw
KsBNwZcQZWgqc5d7NW5WAkhasNSaU33MyOC+lvEqcYN2DS4qmfaHbJdG6xqL1vxTpYp2lotFv8OI
MX2q1Si618osPrr79j6FCeydGxaeK/XWyx9VyMokJVITBSCptH9Ato9eYY6A7W+f0yt8rwDVE5JM
XIl5+XLdXI6zTNrSmX0cBQP74Uel1s45b4FgOsVqPNaDWd0vThvfOxHUw7qo60/rvMxHmeL+r7Ah
rAj6E9nLJiFlLzhDaEmIAC7p+p9yanUPFO5w6uO8Qz+5tykBO9mph8r/jCFh6RaJU/3n9lLsrDgl
h1eyB/V0yDmXKzFahCwgUpJf4HX3CbkQ42w7WXuw+cX/ZXMb0cATQGNCh7C7vBxFHLvYLCcJU+D+
q9TP3VMSF37ZGDPxyzl4cO4NxvECJM4LxIbxdTmYBmNuzcZe8uc0A+DKY+9MPmGgal7aj0T9IzuY
vSUUcEfUMXVoZdrmqgU7Cvc8H5ic5kBsUrLJkxIrO3CC2B2FziniH4I2vXXZHkq0U8yhlXxrqHK3
RrbMT8P5qFyzE4DhMvD8Bd7I+djKW9HkiNe2YZSxNdKXaLGLs9OJs4+XNmqzzfQIKiw5mJr4+tvd
8XbQzTmI0MwfkFaQ/BRq8lNfT/1j0y9OMHaV/sMClHvX2fYYhHV4pIq3s6gA0gUNEuIh4hCbElhW
StRzkkjynSjWA3kk6q9jvQa3z9hOWsBmFLRtFAE57uLP30T+RDAvjHbGcLkwc29u18gzKkd18co+
AmrsTIh7jAouZGYkNbavoTFslXyKW8eHa2p/sadmfWxRGj5Iqa6tNOAmsXDk6uItxD9ezkjtK7ld
0e3zzRZK2IwDcXFWwhQlqGSWf2rKVIJEk5NfZmrnqzfD8PwJl1V5Vlc5CywzG084CUcv3aBJkYvw
NhhssLqSByqzfopLwz5hiTUdyKkpO4EBiBwuB4D2xEtuk8PIPGpCK0zwXs/y+lnPpy4MVkVr7cS1
CyCid6k0xMgiWvLyR5KvOug3OU5+ZlKV/aFmRvgSL5aauD0eqRid8clr10TTr/SWKRqiA7zozqYR
qbOoRlHup5dxucRN5gympAyYd46lcnZqJ0HzWMrPVgu6+d378+1Q27ajPIEMbnvhRtol80euie5e
VefpqZnX8OAbHMxq28RYxikMrQqHzRhLts8Izsh3Fr2TD008TP9mVjjDQU8Cr4Cy9OUCgjaMUofu
sD/IbTuctDqNBy/D8vKP0C7M8+0l3Dl3Qr+FL0V4FkKwl4Ph1GyM2LfjCWH0qyfF9np2JrRU/s0o
KEwAYEI9YysenzP8krbsCSr34DHLTnLruDwSRRM7axOOmcv/jbLZeZltrPKcN/gZjk3zFX9Xut6h
pH8wKb66aSGhY4Tur+HJAxaarmmC0/4X0yT/QyhBxORtTjJZuRLqMo6yUltIrox+jIsPgOH9i1FQ
kIeVgp8CdsSXn2xdnUxJsppdr2Aky7/FrGgRHWQ+uxuDvECYzb8Kt1yOYi8p9klFicWp7PyO5yZC
t74ZD9ofu6eKR7bofvBI29LVBgo4vDXZ6kkz6M9xLOVfUX4zgq4Oj8ptR0Nt7uqqxVEEHgFuv1lf
PAKZdoJen1YvnWEP3P5Ae0OBURAX56u8xGYoWC7x/xg1j3KEBlCfdg/zUiYnZ+qtf3F86UyQA4CK
4Im2aY50NNyoa3J8K3iBZG9VeybjUA+O705yBYwc/2KIhfSqtkyosOwQiBlTPtM0Gg/NkiQPOUi1
OxQqNDdR7fZxLOP62+1V3B2UtieQJmh+wHUvN+CIQEc5ZpjHpONUn0X3C2N3fXqs+n79SMm4p82g
JQdhfu+mRRkSxB5cIFiFm7NVt4412gu7vk4z87mYJs1Xbak+G/lgPVmxdmTqvXPKhMs7aRyVfV52
4s/fZFhjZqy13HOWkVgsT0PSVyejmo5MnnaWkho4jp8gBwEWbNXpsdWTF3lkFLgz43mKZPtU8p44
4TCrPMpJo7qNMxxdznt1NHo1VJ2R2xWc1M3erOoZnt6Iw0xdUbD0GkntPqlRUla+OZT2X0NOjNRr
rXyJOkz26kR00yY0Tx5rY1UPzBp2jiQYMvi+gDFJmbcxU9i9LNh8IGBfhQkSHUPryXLY+Ih6/5tP
ipgqIHLAfvCbNzeqDjazzfA18Wugz59GlMtdPRrtg0x2b+MYyCWTywrS2pZpZErVJHfUoiHlsD0H
OS1OydC92/uYGXDDgDtF3w3k5OYTRsPapWHKKDVweT+1hr9X5LWD2wd9byoQCXVeMjTzaXRdnoEM
17Y6L0DEJ126ouGL/nGLycv7b02uMvBiAFDE01mckTcnzXZWNclzTF40p8VtV8UYY7Lj4eCz7O0z
QCjQRYXrEe3qy1FQls5bM+7wuegW+26SIuUhlOLiE/Sc9nR72faG4ukHJkg07Tjdl0OtKCShkIVb
QmuV5smMzOQs8fjwy1jWD77Q3lBQJYQVJjgPNsLlUFmsjNY64zkBUKE+rXlf3NWKVZwgKB/lcLtR
g2INmQfBinRuc3wUJYWqAbrDV1rjPskkCHOVdKY2/R9L6jF3j6wvpYOyZ1PKhItO/T71zY/3rywv
GCSwgTWIRvPldMMpCbOMFqCvEqgwXbQp5mV6eW4bZzr4iDspq0h/ILBYgrGvby45Y7b7rJDxUO1q
VXqMKkM91ZEae1WoKE9GosLXn8rmDHVr/GQ33ZHczt7R42rFc4NXt1CCu5xp5PQZzEvMC3Kcol0L
lw9vJFYepA/X31Qo6BB7xY2qI6uwScwrXMaXZGywwMCMBZJiEpYuzDrrl4Rg0qOxKrjPoGd0bqu0
+jJM+ugn5dC96Omqvt/5F6QKFQCRPAt/ebEib8LA2ijqjMCh6fe2XDzqZpI/oOT57fYGuhLZAYyB
WhbiehjjUmXY9gOnesYiATi7ryOes5zXZlAamL0FqEt5HGYf8vPyK9QyEqkGyciZIgLqnouz1pZr
aXHeupOeKPOpn6piDsZedsZgNLryN6I1GTTo2UoLtw3r8VEe8gbSMMzc8c+5RY/L6ujWnUdlqrA6
M5SxdCXAKQdhTgTLty8tCDV0AsTtLrjLIIAuVzGCEV7bzTgGaCFWTx0PBa8s7URnt67yXT32zRc5
VaV/bi/rNgy9jkptSBAQwddt0ZG1EWWFqsCBMNumO6dZDmGmH2W3bLvufHsoEac3E6SHLdS2hNk4
l8blBCFahIbNXQcEpMDQSlfjl3XVLQ8tKuklroVoMuJ4f/ernR2wFbZLSzGUdMki+yTcciuKP3+z
QZ1Yig21XEdgAfrym3Lsr1XGJa9oo+YuM+3obl67+e/bs90u7OuYFJwFd5mBt3IzsbWUrTryOfW8
VU9rNCM9FVe2B6puObiGtwk2hTe0WIXIBBIwaJptQoFhp1KklWYThFyjKHwLA8BK5vwDdHQls3QO
lnMbYMV4VPDZqkK1nzr+5XKq6LAW4zg0wVxqHaLv6no/Rmkzu0OSzWclnlKXzrl5P3NvP9JZxwbx
9tpuQ+zrD6C2glYyrUHKVZc/oMFR3g7NvAmWvrNgrnPBuYU8F0faBdf7htuDfgQUdoGW27pn2ANk
WyJvHTh2EpVeXarjz9kcBdOgKpN7Wxm0UwF8NLg9veutw7CU2wUJimt7S67BSJ6HI52YIBvz75iU
pV5bN5/hNx5Rk3bWkSoRPCsqY0L+cPMhtdqepEZZqgBOpXFfNFDhl0ha7t49HQMctCAk8xoD+X/5
tdZoks16bKsA2aDp26SF0j25d3mSSyk7UoC4nhFsMnjWzAf2BKC2zVhKhuX9kpZBLOFZpFud4oKB
zE+3Z3R94IDqCUcVsmsK69tenVwtckL9oAiaaEBKQel1D+JrMOlK5HVSeKSqtTcpXj4U+njykctv
tvuctnVW8sgLpGp0PLBCkZ9n8xECeGdSvFmFPqDGySJKXy1duhaxUQWDmaGjtGpemul3XV+k7oQ6
4cES7syJjwy/GCtmkQFv0l/kACyDzKwK2lleP2l9tfiTI78XTSseWJoAuZIJsiG21tJ6iM6g0ihV
gG6L/mGCLvtVq+Qj/43r88ooFAOEwwLJiby5uSHSo/XV6zAMVjn0IT5RncdwIJgL7VBshI/w9g4V
E6K3CO6MlxDCGmJZ39xkqWw0WSbJVTAiKwT9vk5ozw9HAnd7H4fdDW5FBb9iblMRifq1kc857Ixp
Ujy1Xnt4BtJRv21vw+H0BMaWNNkBm3Q5F2eGt1vWThlMWWP/B00C5TwsjnnOHBR0WqsJDxKsvVm9
0tG4NSjLbyGo+aAUWaOuZTDg9ufblhR7BaZ1776bcHSlekCuKjyWX9PYN19oHmp8q6a8DCogReey
y4Hrm5V1MMrOlqMPBE8CfgCXsbPZchrmHa2CG2IQTyOK7npZnFeWDZxp/25dOfYcD0chKwfokWrC
JqbWeZ8UUsotQXG2d+3UBpusfaNF+6ON899FPj7GQ/lntTiPddIedIN3vpm4OgDqMrjgYV7ukakN
84niQhU4Q7R4qTLWAE3LoynurSZFMEjIPI5RCdsEWJWw2IV6xShVBw64J8Diy/IpsdujsHedOlH3
xwmO99KrGctmJGdtTAkORBWAPo/9sBkM1+60IQjzLn3W1kj1KmAdd6A9oz+aXD+y1NxbTlr5NDrg
ZsLMFn/+ZnPC5LXqZkBMyqqcxWsl1fDpgb5Xe1psGApoQg+a1tQVCpdEo5CNEXJS3BvdS7pKYLsT
TAV5yWRa4ZaZPB4ch+tETXivI1CK9xhhfltMz5SilJC4LYO8W5pH3oe8/qJKf2oVXAFcdF9VF1xB
c2RUeAXaETNF7Z2cm23D42mzPY056kopjAlh80pfakikLxHS0Q92q+o/8WlI3GGItZc+KdsHlUzx
6wC4x72djOzMHTlmgQIhWaTtKMLsm2+a6MWkDLJTBErvSA/pnOZPuky5uzN6aKOpOj4BBHgvtICJ
A80TtwPqNYTvTUyA5963E6KIQQtg7A77KQef1Kg/yBx3tqtBji84SVD0uY82UyNa20ahFoGMfeKn
Na7RdaKycL69gNt3qZgLHxHNJCFgDh7gchTMJsuhzKciCJseXY21Vj9CU0WlD6HdE96Qk5s2seRW
zRCdbo+8E3eENqBAXGu8i7cQ0b4Y1FRrmyIoajShZR5KbqZhS7Cq8pEy5xXE73WWPJw4/dBMSIYu
Z8l/BTM01UUgmeZPpS4/GFL/1CfOKc3bF7Uf78ypcMgo7PtmaU6ZlJ4bLbpr6+rb7TnvfFPK0uTM
FCIpCG7L32rZRGXPpRUMQ0sERA/E7bNsff/OgfrLa1+8pEA9b+KslsIYyqM1DxpdQZgt0ww/Mrsj
iO9OBsNi8uIQ0GYK4Js1lee2UboC3LKO97Zblrl0LwE1Q4kkcjHQfG8rnE8oyHPsVLILkphNhq6F
szL0tYWGa1vjT9CU7V/6OK0HbZ2deCJeUJBVuHGF8cflRimsaEo0JcsCw8nm7/GsdmcswFu3mlPn
IW9G5SEdI+WI/3mlHCwmx8zQ50MDgaxwE8bi1UnLGK5GAAy1mvDjyfKggKVzZ+UmMj9pNJ3DYlE/
rUqhnOAh0GrGlNyfOp0erWHnXlSvGoaajXWQglxhdfllXGX0esWzW/Q5LhdkkRC4Bt2aBZVWjW4q
hZabxSWmGLrzwdbT5zBMEl+Vo49WXHxIy+m5aGzVTY3517tPDjgPioRkl2TNW5xV2pY6Rjtw0iSz
Vx6GzmkwdxjGg2i4cz7FI9Okr8ce4C69nC11xnkwSikN9GbqQEGb7UPYGz9vT2Un8EFiFJ9aaIGC
ULscpCtzu9YXMw1CEHanOY5Xz+ngRQ3OcDDSzhGln8NGpkXJ4Xkto7+5HbUZyO2aLmlgziu6nAnx
rbMivh6Z//ptjbKjx+BVYZ7tAkUKxzTh7wcz7WpuU5aPCUw3e8XTwdBmtJuKSEr+xMrECGpnzk/S
nLSnLrcdd16W+LFdqtRbzaQ42Ll7nxKlHMEhNkRDa3OSRaY0K2GRBoo8tue1KiRPAlD5TvEIMV9h
2gDilYY7GJ3Lb2lbaMjFlZzCtq0ifyjwW0UcDtCeXsoHoel6Qq/VW8oGwnieM3k5lLzE+mSFRRHA
u5Lu9XD+0U26fH+wN8Xb6fKNzSiWMIQHvgvbZjOhsgk1ZyjjIqhLVD28aamT5pNOIrec4ZaFnVdO
6Eyds3i2I3ca665xuU/VjwJFDy42nNYf1H7z0etAi6sUhOiGnWJ9bj/JXdbNBI+q/mFUVvQri6ER
g+8vwv5xRaJ9OTnkqqZXALH/hR5x8nkq2hlh62I5j7LafszSqdVcSdE63KXytiyCyVrWCE4UVgB3
EhHwq9x3UxV0xtKikWVivxsq2vdGA2iCCoFWnGuzkf9OEKv+R1p0eTlZ/YSumN068o+4kRbl3OdD
eKdLxtqcUYktVnfMLBCbKnq6ro6FenIQcHaSaNabdxehQMBvt1XWRW7StFc1WOFpvX4bW8f8q0kN
zOoVDO/qIlaelEK3ub9b9cEqcdhS7Oy93VjSWH4DRUPgemTS2wcE789cRSCeK8dcI39WR2FXY3Ru
r1tHb5W9TSw2Ft0sBsSS43ITDxOuk52D0oHaIJ5WLXgA8sp4/0vPoUpP0xxBA4hfW5chp9aMsnHa
PIizULsziml8zqHTHZz9vbmQTEKlFSpMdOgv56JHGUu6ThC36uozPm5REIaFdNBuuL4sEIt5M8hm
wWJ1SeJsYZAsSelxpnYW1IkZezTOj4hNu0PxihQ62LzPt5dfGa1DZbVjHoyR3EEKw2A5BKTqDvPS
H8zq+mJiVkB6Xwu6dCg2UWYFpbMgUMcHwnb2AeloFQ5tVchejg9t7OblfER0uU7sGJE7nWqOeE9t
08c0bBOnTRnRaDrtyaLk7xnLZJ1au1I9Icjij6n2/kIVg1J8FVwnsC7btC7LUgqZTpwH5phMD2Ol
IYgNKYNL+FBpemczQiphw/OYE27km5qYPU/jWpZOFixJMT3lhWr+nTWW9P4SLC1o0QETPm8QxTaX
kNUV4AJbjWEMdXpWu6r7qy+j4uAW2vlYnCiyCB4X0CW3WCReFeT/0EeCtMojL64b5R4RRWX2oFIr
T9OYmKextewDqN7uqAaXOS8mwPzb3B8m5GAuzZIFEYw0v9GxGVX6OX02w0z2q0hPv5qrYwS3L9y9
78Yc6f4IO1ZohZdBBGltVVSlsqCvlfEucfrQbazkvaJkRHiFHhQVUzAhXOqbKMJS6kpX9VkwrU30
Ya7DvHArY6wOIqI4tpvk4WIYMdk3+ebSx6Y+I7gXGL2d3pvkuZY798VPtGQyH7dNM8hTB3LDUsT2
g9aHR47qO18QkWF6wKDyePxugV8d5nlh3IRpsJZ6/zwi7OXNeoRn64i99Njp7b1UFNHX219w54lE
C5HCKeUgFMRI6C9nnXRLkdZNg36FMSbNmYvGeU7q1uIp3Gm/J9tuf46tbD2SVo2IdafzXSxJamDC
bHyS0aY/2FE7YZwOIMgYbDHJTrdo/4LYqc5SnQbQ2ScPnmV+LhdFPjWxFh+c053Niw6hUDNh8wLN
3USDwg4XFWnlLCCr6N00brJzmQ5HOdLehCxRnNJJSAV68HJ90SpvZRyReS9lMSzuda39Uk5trGWm
ozbg7oREt1ZoAIviyeVQViWHSmMwVNw43yPTLh/kJD4iee3tUlARkIi5AwFqbQ7jMMcQXWw1DTQ7
TICLNzNWC0v0QY8XyYsj07wH73n0MtubmXACIyliXnSCLmeWhkU1OCwbggLh5Cq2Ov0xj1Xz5fZZ
2LnX6QVyyb5WSJ3tows5s1BXCx6clpFMHzOsv17KNETTZCid3utDzTiIOHvTcmCv0kqDKw2UcDOt
pan7MWopnCiVHRiS3vnSIh+pEe5l6bwkETRj6YDibqsPuSQXo56NaeDk4/Qgx9N8PxUK9k71kL1E
ETRtEpn8HiR58nfXrdTb8J34X4H6/1elauccsLToqqGKRRlkK67WpfhP22tEnLFX/asjYdTRyIhV
tOF4RKPYWVYOm0G3hkkjdLw5csM0TLNdLElQVnL5t5Po7M7OKU+3d8veKGRjdM40eO4Y1W0+njqB
3V4yBGIk5XtTgMrUMEx6fzgEqiPEmtn7SNOJH/HmTqKsTJ2jjJNgziLJo6w3eqViLm6hYpRwez57
HwgoOFh/gb6/4tEU61RifGHFgRJLfzXRHJ6SSX2RMIv1/sVAbHuGEJYyV+VsR6vHxUKMprLMyKuW
Tj5jdBG7SvhuPgiZA5Sd19IbzfArDRYc71TEFFR0b/SG+h/W6b4uRfb59oR2EgcEpyi3YtUoxNdF
yHz7kVpjRF3fTgKagEhFwJoIE9/CqKs7803n87SY1uKFoF9Wd8ohd/AYl4wD7tBV8OLtQ+VDtHUE
D3b7NhX40T7qOF8IZ1YfkzHtvBHkrkumaJ2KogzfW6YX44G0F6VVwb3ahGSMyFtkrso0gNJQ+I48
Da6t99HB/r86ZCSQJCVoqQr0OKXTy6XVTZR0eXAngeJMPxtpGE+y0obu7e/3yuq7yPzEKEI7QRTp
gR6JNtObD0gzgBJy0iSBRC2hdpekAxAiIXGXx532h5042bM5YZqs6q0UWKkyJG7RqsWTpSItGHUd
XiaOMuLw1UWdmzcovbbaNOOGYC04uknSqU1iw4ubYZU8S2uWFwl/2q+3J3F1fMUc8M2hP8N7jabU
5RwK1CRbtWeldIxDulPTlAjfV7aZJ+5MQnsQLNSrzpsCPZkDRT/comO8ZbPoiZ6l4N1RY1FVdB2i
pUnPdkiJ9EGmdhI+dJZA3ObtDK8gnJtf7bpEz041VajVCAtrO1TsB4ja5a/Y1KSgWtS5cLvIqJ6S
0hqf40yPzsMQJk/VOllAWofSHREM9Ept1e/7PrWDcpTbu2LStfsmlP4GUn3Eob/ee0wROQc4lFCu
iPKXK5oocqkAi0DAqcqN5yXrUjfT6+TgHO24CaCuRt4hPBZYz225x0y1SMnTIQ5CNXHcYVV9uVb/
iJse1LvztRvUR90KX1Dfy1290H1exfeOjmV4WLZeXC4vczl+Dkc6G5M8yW47tX6TD5q7INFTafNB
6eN6TURFShBTSDBBHW5OCoxvR9LpNPp6OS6jW1Z6gSPuMEgH++s6mjGOeACAHoHVuU1ZogyZDEQL
bCypV+1PbFTLHxVl/4JGfV78sVLFPRhwb2KC00FnEygYf11+7Kyz5nbgavBDZ5TunZR3lzbH+XsT
PkBzAuogOHWidbzZUoaTwEak2QG/oZ3ucQxLTkJd79/MBaAICbqoBmx54KZW9WtdMJe0X+KnSG4m
ty6y5OD5dB1wSLIAE4tnIxn3lpAY22o1ZhO0kL6pm5PZxO5oV/+UoFMOprOzF0Q2BzoPYTPKlZsX
R69FfRV3tumXUbQ8Tk3OE1yzeHuMxvSlWcyjc78/HneNAB8C/97cbIlu9EVDluUXUHu+TwPimnhT
Lm6P2OZ5qhTjIHLvbD3BwgONyr0N73xzptas7BW0vEzfVnv1MYyN9EzNaPbfez+8PkAFnB3mGnLh
lxscwr6DZJmYlQZ0KAaQctdpy4wukHlEot9bQO4iAqeAuYFVuhxKW2zkBrUVfgvV34d1bbSP40y/
Y/1gtGl9sA2vV09IBiL9Q2edILoVtOoTo6q0MNH8Vl1MN25bPtQkaQcp3vVmF204WqoUQ7nsXq/D
NxlChb/mzDCqbzfOj9XMFM+gTuu38E0O6nh78wH9oJMd8ygEIn+5eD1u0UQEVfVbR8pByRvDqYjy
8N2BiPmAfKUnzWfierscZdEieYoiTaUNnaZukg3KF6lThs/v3XNggGjPAFmjGAoJ9HIUB9nJuAon
1ccfJ/TRn0n8tDbkPzvVCA+G2lk27k5BrgV/gMfzZs+tOgLIlT2r5N3NfTfqxuNQWEfif7uD8HFA
+ONkRF/jcj5zE8rIEjOImZcL1X78KJNJOuoyXZfkRNbBjib1ELCKbVW1HHN0XYtCwTG2bD+3cQ8m
hWDfx5/wlhvTFyWcus7N5BrPcSssa9mt4VRH99XarYhLrUh9nlfTwLPx9ue8nj5Z0Cs2EDSnIB9c
Tl+Oin5KIFb4emRm/+QgLun/y81Bp/g6elA2l6lkC+4rbf9NUcQplqLLjVJmkemv2faCtHyUfxjj
pvaMIm8PTvbucHA56UyjZwUmcDOpFCN0cCuyz4FZ78taV/3ERI8pGoUzFf6FB3H4ahEFAYcEQLTe
hcCIiDRvIskYJnqrl7rh66OJqxEegmd51d8Nb2IUMKLcyjzNoBpuogiGtIjODbjP4gr6Sx97y2u7
RUc2oP8pSUZx8PbcmxNFCp4CpibKLpvDN9dJ2jWtbPhzreceyvP1OXK0/CDSX30psee4I3ll02y4
AtA30BSTWtJ134nNKJgdugD6uE73XW2BGdXjI+nNK8H5V9YtPsCcxVcxic1OTAbaNgMaqX7ahHQS
63XsQzxDurzFwVkHDqDrdR1TmlbRdO/WXDXcpo2mrxhwGOkJubmq9rRRVQfPjqdeOeeVImlcHE3V
Y53bg8jOpxo/v9unVITui8csrQMeLgDZYYPQnN9s6CElk0qVRvfbKJ+/lYAuzkspmSethseGVpL9
YQY2cDDodcx6HRVlYSoggkm6uVCG2V5lK+J9Eq1x/lwto/PoIPLxaOc2rmcNlhFuZlbTyYhqqWQN
TNunEFg961Ua/hg1c7i7vQo7W5LCBng0WNNCwHlzzCL0HUY9haXvlLH+vKAc5Mr50r33GmXWiIQi
bkJdVVijXB5mymU9ljI9qhi9vnzQp9qkimWp7z9eQCy4DxShvn1lm9dqaoLoR6b7C8YbnjGiej3o
7LDbK7a3b5BQAKTI0x5m1GbF1FLOLG2yNR8zhyr0CjufT4oDS8ptsUu/40mk31PROyLq7XwovhCw
DUy84Eht2eVzZi1KrpG/STQSXcAIsHV7pz1Ywp3J2aqw6xQsARF4Lz/UVOqD3Ayy6utCzdtRGOeM
wJqC9Tv3uZsQFPESNPuvt9dUhNnNWUT6gB0CKomMeiv2Zy65jsbmQsKgzJE7LHP+OZ1m66zUi01J
Kxzwgw3lT6G9/L49sPhY1wOLZgnUD6HEeTnfRrHQKif2kBUP3bkfi+E5Q4/+fhlM5eCkXVfPKAAh
DCBeMMQcpCsux8raIamHYVH8MpEhWbdxnXuornXMeq6l7BRScvsZYyR9Aq5tn2lSD2cztVLdw0O8
PyMj1z6A3VhP6VK3/kLIfcijGKsXq0fdV6Jh5gxV8thwQNx4UQtvSJS6OyhK72xDeq4AdIkZNO+3
dDMHQS6ZT6P4jtGad9KcpV5Iz+TgjO2OgnyIygiCRLJZqq7QZQooveJLZvux7ULrpQ9T5WDTif/J
5ttzO4rIzwhcA5u7v+qoZc7yoPiJtBJwk/GHUxcqCmPj/dLxTL+903anRDpo0RCkELAFhZeJFg9h
Vyt+j++JK/eadZ+t+FHdHuXVFW47KarrXMaEQUr5m0mVWAG1+VzLvlwapeHBjG7/wkeMiiCFEPuH
lBXx1ypW08SbNaTbKCXOU+fnIzVKN0oHGUqkrXS/G20Oa7dF5fMfzerWv6ewHTN3xhZTP0OFwMdW
anUj91og1kmAdh/3Vo7Bc42+tmP+bRS145x0bUHKjL9Buq00ZUzIv0NMrJNUL78XU2j/cmjq/aPw
/P086vb0Ze4lrMONRdP/wqkhm13Y3cY3PeqgDkB/6RVXhq0HsFW1Qa/leiTPXoGy7R92Nso2UkEk
cGd4ndWfeTJlf0VtM0eephfq6I1ytbaeUttzKcgyee/ywxfj/F92ZVmx3ZWYrYZ5arpmBD7YlSu7
/HHwaa62GzBSYiv1Ju5ZWNWXx9+x83oF9yT7vMqsszrntYv3do0f1Hwk3HTNhOARSZkUxL4QF8Zt
43Is2RjarFub1Y95BzUeT771nhd7ybVbFEl7P7fpKCEOGKfDKR8i8yteI/UPtZqKxyEpw8Fb8okC
qZ6V1c93r4LQdaL3gsQRG3WzP+e5qdMKyhJQzUb1HMiQJ3qHiqvWzVHt/Tq2c00L3w/hXC8C/OUi
EPsipzXi1W9DZTojjqv7kmxPwAXHowW/vjYZSrzducQEFnmTAQ9yL/03e2eyHDeSpetXSct1Q415
MOusBYCI4DyIpCRqA6MoCoBjBhyO4en7A3MokcqbLO3uNburSpVEIgJwuJ/zn3+QfuMsOG0mtJxG
l7TXxmoTv2vbqXaFXxepO+liYV31z7fzx10FUEJnZM0sEhjuNZXBkU6ZJfa87JcpWE+KJvkWOJP+
RlHw442ET8CoZMtPgTH/um1JK2/yDFkv3L7ZDR1Dy/a5xMZ5HbS3fB7+5lJ4vmy0ls0DC/rEy2fm
kj6kfLPk+wDHUgrLEc/Rxh+AF523JJE/3rutFt/0+jbklh/KxRGMYjJEu+zzRvVROtrBZTZl5dd/
fkK8cnzml1syz4hBPmbQSFqQab/8Tu1KivtsBMM+aaYiOOoCuWi7yjbWYmcly/zZdjp413qTWk3o
ysD9oHJf6CyiyYW13A1JEmfNXBqxciphhpgEa3aYS6vLQ8OYjGw3B61j7iiaZnuXOXN3Owdrk0VT
ks8CbjdmFkfELIL1dVUwd3vy0BHxO3g27+oyWayjdcraIpoHYOqQ0xIbGfIVRBrlCYDhRVtVhMYs
a+mJqHLM9FO3KF+LWl9lfhzUrX8GfS+1j9y0g4Xr9U0QtsVk3urj2KWhmiqN6i0Rqdopt6+KXZJW
+bUL+7piUpX6Mno2wY+TUU/10DJn3wrxa+mf2t5IytgyFrcNi8SsPnVuX94icSivlZ+6X7tk1G4g
8+kF0VWtceN1hvFxtEZfC+feL0eSrxqgiW5oHBc+tTmd26VhQrR25uCyHvsmIeHdE060LI037wfi
qvF99rS1OatwV2IcvTZogFSujSnDSp8+tmv9IL+gbd2S55Uhr4D8B6Qya6bfdcov86hoLVVgFbJW
VbjmTpWEuYU9yaFz26xC+WYmImaMary3pz63dlNpDu1RlfXjB8vJrAdmyBJTk40sn/euunA1LStD
P2XHuUvydjjNs9Vcd50dTNkmpmusg2zauo58vXBj4c+VH9pOan8L+sR1MA1yFih5dpZaBKotxqWa
OJ7CIp/0D8TW2P2e+i0NdqyU/rpsNNUQP2CQNGWspgROcrNAht4itKOhY3Ab4oGpJZyQ63JfDEXH
TfM19rhs1BaCx9qBNlYFLftfnjOFCxJrfPQTx/6ija7EUKTy8pOVn/6i0m7hyfQ+te60FsMZwNJq
7dtBWbdKBeVI/apnkh0znYLINWfTJZNszL7VVmOfmc6UXzFyxf1CK/38qqSKf++nXUk5HXi1imXn
M+zQhdE+9utE5NPolRNfTRuSJmI7mHBhHy110mSF86WATcFMEMyUb1YFq71LRbp8a/vCuTEn5Xq4
0JsGwzvpLlM8eTRIEfmygLWkBWVs8I0/rkfQk4YqSmSqXylXQ9vvwnSICG0H55mnLJnDyvdnGEMi
b7+ZjZN8xiKpu699ZJnhQDd5PTAosCIzoAVHCGH054N76an0rMvb5HZqO+0bjeZQRJ0ahzrCpdZ7
mhBc3AsxmsahD0p72ZvKqqrT0rW521Mu+kdUXU5NqF/mZ3tzzIo87H0lLmqYySLy7MV/aLtOPeUg
U9fcnQSZBYtojnS8Yp+aIBu9CGW+VocTSaMP+PSPt8sy6e2hwVya/9cLlIytyrCaaMT1OgnXthC3
wK55GenMBY2wxo3gyxCAEe2IJzedeFwSVkhROsknfiyHDzdOblikk8ii3Om8HYRJl37G0bz3Uluw
2nNE4YeWMcir0mpxNSOF1GNZDtlmdJ8HPIOh9rI2tKDxngaTmXTHCdbtas8rFVy6qe2TqDYvcAps
o+nTcHBNhrE5joFeCKQ43VJHrn3II5wExadhnfqNu7y3KqFHk7BQM0/6Yp90a2CwaI3Mn04Gc2qR
A9M6yggj2rQK+YITwXqeO5xqjptfJ66c67ioS4fwGaXbN0mWVNdu1g0uj7AxyD1zpXHkMCy5agIX
xZTHgInaFL+fbjfY5DJogawhDo752Ypp7G1nm8a6d73W6U5qovm6aMgVtsTLEKxBlKsiO9uiblgb
9uTO+4bXTe3XWTb1QY2irQEBa78+KtpeQbfJK7iyczN8Kpl+DFHGNPbgJ6nNjtvWeN9Xw+Sc+WOP
jr00O+NChx3mRlMlxnOjGzBCqwiJPBD7yTZakz6Yn5AfnUpCWbLJODiuYtPsUNjc9oUoHzNTm9KD
k/tzupdK1PmhxPGLJpKmwDrkzhRQ4LcZe5NI8/YzF5iBezNqOzS7gXFDWkjBJL/XKKN6ytgaxq+2
FBHe9ebHtSJb9dDjGaofEYZrZqHDUyx4MDnapDmoZie0xsRvQjSh8lPl5zr+DkJHVFR79vqJOG8S
4dZKmte+WZTH1ghRIsynrplDy8K2YCe8NB+OEnZjPTbT0dOwoWu8mxS3dDcMjK4/73npvBPPazUd
P3W7LENT1OVTmY897mZYK93DFOhPG/xuEzhqRg/823o0McvaLldJsGqK6Jy6YhPvE2cOPSHQmwvN
rnnM+Hcfl3PihA2t1GHsPD1aU3mGXGu4UpPmcBhRCIvQJBxt2Dttq7gF2GSQkZZueZ4M08crO59T
EcKSS+8HR6vGyOkVwgFGeeJEH532awM0SffrjI4Iha3TntBEaG1cipoWIlmWzgjT1m3yeFk87Wys
8EQFjHKye8uW7vm6dFN+YKe05rjVTA60zBBa6AWCQMmxsjs2zE7MV84ohvuqScomshovX9hMnQKR
2WS0SbzCbynCZpocFfPClMEurZR8WBnbHLDgXvyTKcuLo67n7IiFR4X/UDiFu+7yYkqN46zWss+e
ruw2tjLHFLE0UqLa5so4yDlv9kPeolmzraIzonppqzPupaCJzZuhifJVS9vIxODvYi2R6X6xlxlg
eiyke9v2jvWUBS7KYHcoJ31XSh///JovO4bC4LwOdb9ne5CNO1wWfd89yY6T7oADI0w3a0gWOmO2
3eEpnUafY0kHz64TffloWHP1pFbDpDzo+sW+LZQ2Pcr+a1buDVGtXwmt9u/ncq2p6FpQ8zmRsFpM
6Bd+qCnP7WKem8PYmBDN62705aMcS/WxwQO8DDu0zh/y2VNfae4o71rXaKdwMQfKOxtrxfJmq0+u
s3HRsoMqM3wzA5LCVIgSAh1L78hxinAOmbNonVe0SXqQq9u+N72Pre/IT4WfD+MFvgj1I4rpwo38
wfD6sEq0/sKbh/ybI2vzk2nZLRW2nSTf2Ng4mwfTBrMicbZKQ35P/X60a+Ou0CvvRnWLDoGo0nCv
hzFRdvHMNqfFvI1lcEwZ5c67ojHmY3dlOcE+3lZPgbwCi5YMpa2fSu+apLGiDOeszVCd4ix2rTel
lcaTJuv7NimcpwIdI0W0UMGd5piZhfWBUz0NSaBd1v1Sn4vJmHe5MoplVxt9tQU95ONDVTXd49JJ
pGxVkrTr7YSSjyWRz9lNMwUU7V5aGB7hjggsQ5Xgwsh3KBaE1HVT3HHDCnWisJP5kDVaXiIEabT2
Yu16Q4uVDrAbe+z3bQjex4EkitzxDq1hgPdiRpE6cZlKM6fLGypxqU/u0twNOZtGNPSWvcbFrEMR
ZSeQ1xiv921UB94iw4qlelH3vX69lJpLCoc+sb1RetVL2IIgV6GRkScb+qMIlrAIcEsMGV466ZEZ
EIFHNN7c5yGD8HbcFdJPPxCuG3xtmM3BNvTmbA0lnMGbonNJDJKurn2uSGtZKaXL7P1kcoqGeQ6M
N/d2soZmBrsonJu0aUIt4XHyOtZpfeJIY87I1FDWRUUXah4Gd8y/zbIegSXMIokDMVce0rh56z2E
ZciIRI12jHqMSLWTiayuHCcLP7sVXqls9r9Fmz+Qdryoo8Bf5bKraKGJjtTdjkE+eawcM4GpOSC/
7tju3WTN66MOHcSZ2Uu5xIUlgNnXMij2SW42A+57lvNtS6SmFp1q3zluxmb+CkHVa08q20r7cNC8
BFzLTKuoQJ7xybIa3qRCehwkTT/Ow6VJvnF1lPZjGUT95ORFbMzr/KG25PiQQN1Mo2JU2RCZk2wf
8iDv0whmp/dYi5WI2LGuVzf0S55flBP57YS2JvuPUmeoCMWs8h/KZsSjEA0uYF1VOekZNvWdttOl
a4idNbQZIXiczFY4Q6dP49IVehpra6q4PWu+mRqmxVodlFmh9DA9JXIyXPA/ObheiYfH5I6g1alo
rOkCs416ulKD595pHn47kTFJdm1dz70jJa1xCPXEB/LDcBeXP3Q1CzxbQMTISVWnH3VDaZn3JcEq
44U2DK0f4e1Un2dL2jXHQbFkFxV1ghuORW3XIX2ovMerSF71BnHt4bw2jogCjWI04s1G5rc65phE
NX1GQ8HCAD70u0VQtouyuMGmqrTCUdUBAaLDOEyhizt1zewmGKaD5HH7hzwgFSTy00xlp2ZtBcsp
lRGpE15r+Mdl1+qw+GqMaKNSeP1NaRTjt7pgR4ynYuneT0zWrquxoOgXKf3hqUiGkr0DNQZxZm0j
szOt1fo59Je+VWRpVgVW4vnMGzdnU9OHWBbZD0johywuXKe9mmfyWI40yoBDUTB53TVKTz4vBXc6
7intisiXnX7djh1FozXpjdipUWn9dmu88RrwvgliWYxyCP016KxQ1BY3Tlpm2lJP6s1IDTOzkADI
oA9AGnSM0yJn4znJVC8bKpC0/ehpusyPCwRP976OO0O8rmm/xlVQE15eTgvmkFRQ8iBHoGPclhOC
SOXizU8VHg8ng3LoXtVKvliIpg7HIr3tqoTtyq9UiCVAej6gdb3ys9a9NjWfLdvo0krfLX6XmKFy
qZ7BoEXhAZTkWcC1xqKNgswP2tBcJ/3RVz2edGY7y6+dYF53hLIu2TfzGiSxWw/14zhYvR7/l5Wp
piVqbdoXW0fcFCbFY6fNuhP9V+vSs3cVBAZmGx4lu5ysW68FtksdnOgi7HeJIsOGIshCEPzU5rlZ
5Q2fOfhp008PdIiBvQ+HG9z29fTNyNXSWEs973tln2PZ6XIaD4DTPw0aeh60PSyVXbT/oLEvASmx
jJpqDX3a6yhX4RkjsKr15S0j/x/HK0QhE9mIUo+pLAvu5VXYc4csxW+erKlRnFciq676KihPjMSx
9l3jW29YQfzNaH3TFUC73Wwa8HF7BcKueWetjpNO+8kmQ9DhPa56xelmzR80bFZCv+7sqMMrOnRW
ivdKXAuXKrr/2XxFB4mStakErW1QBpHw5RfvpeJET02Jx5GYjqaWRKgaP4WffohcBWMeGNF8Y+O1
hUNhIt9JrUnukYOi3u69gfKAfJp/Ri9/wGMx5WQ+BuNf37gSrymyAGNl3qQKO/NkUueiJKQGKNvZ
yuky+udL/QDHYvsIb5Ux1LM5y+tLyVm26arKat9Jb4j6rM6vhjmf3oJjufkvwVh0O1CyMNsDkcWK
4eXD4cPb1cBz4eGUjJAUpZ4rHudEAbhp9+jaYJG/RV3/4SZ6HrSzTZMHhg6A+up9K0eSJKXu8Khq
UURGJbTYg3UXEQXw0wJAYHrWBaUIrwAFzat3wFwHZ00cuextsnDCnFblsOIC/saq+OFRPV8FQQky
EMbmr9OfSlHV02h3jDtabd1RP6/hajR/WIf99wsp3PCv/+HPj0279ITxyld//Neleurl2D/9cv7Q
Dr/sx/rrg8yb+n+2X/LXD738Ff86zx8J5Wu+ydf/6sUPcaU/Pkn8IB9e/GFHLK9crsenfnn/hCBI
Pl8gfWq2f/mf/uUvT8+/5XZpn3779RHpo9x+W8qH//WPvzr++tuvLmvlv7//9X/83cVDxY/FTZXX
+eND/cv7p3b8UuaPr3/26WGQv/2quf472MjYO262LigHNx7D9PT8V575jtMEMSOzx80idqMd1A19
52+/GsG7TSoHIQdHASbt23kzNOPzX3nvYAWZ26Df3hh/8Pz//JRXv79Ovz8pbsoff/6lHqurJq/l
8Nuvv3PPv3/tELjjBIJem80ZFvJr9kqrlaZYrHLaMbHyvVMBsLTsG4lj0b4oSnFrgsRPOzxCgInW
ZBBqP8Bq6MJx6MrTwdAbM7a0Im1OBqdc+IeBrg6jAbgVkWifP6yjCcS9lo31FfCcZKaCWXQVtq09
3tWCFRx5EwSC0JSpJuj18r4+ZmrWuHHp9f5dXhsNgCWWNhSp0pJLmNe+XYSDJzos6r0FoASVml+c
12U1pGGvpoA8stFLRMQwe0kPQyM8jVl0YV0UpnQ+GK6QbUScHYbdRjXjw9qvg9fuksZTT8HoeAAt
Wj3f9pTL1VHh+xtqYru2uuiyChO+RA1tF2lBhmVNECRfN+OwMUSyZNqxoju4gepZuue1MbRBVFDN
nU+BCsYTEiXNJVzawafx6+eq4pVaTXQUE/gqHk2o2CODLrLfS8PPqwvWq5ziulLWGMIo6fodLZ2C
b8mA5Eo5GFvHE3msD8ZcF3XoufxkBC1zHnY44GHsY7mJZkaTntdT3MxyzD5nstYv6ez0NsxXvwFJ
5DRWF9SK9nQY8qn/OFSOYpgSQOdXOy2HKX7UtW1xS7tZ2JHKg+rMyjM1h8yvqvPEU/rD5PnikggD
7wsu0fYQJlRxqP6JLp5DguptA23NIi5LO5Af2i4o/MhqfT0P6xlhXpwlmvVl9eZ0CYdZrHcpM9IJ
8DqZmbK50HL2HfxrsEdt1fJoaQb4An2LJzAJp53jXQuPPj0kq1E5h1VrOuvEtrPMpPKfEhU1yP+q
sHOM4T0qfK/bYziXnLeOkmYM7OE9bYP/8gI4xnwvFcndZ8JWpnvUjpZZxKu9+uQPz0lRxX41l/he
JwgFTxuMVabjWgNKipS5mBNtWjLIeJBzm0alTPEWEQZujpGhusDeYx+ZafFYOWURt4VVJget8+1z
262EjFI5QH7oiUizDrPB5GRf5AsUuawZxveDkXk0A4k3PRrVNKvQZbuxQ8DNTJ3VkikF1F/8EjPa
hTkKQEvb0DN734m0Qq3Hoz0MeKu4k47NimspA9CtRvEOgtsFsd8XzQ12UQnIea2lQYTznYFysIQG
dj86WuIz2MHMPHTmQvsoB+x2w8GZtQ99rqYpzivP+eBPk/4xYJCYhBTutccT3xIxQN1YrTnDG8uf
u8eg6bA8s4VODkkt8gVAuVdfvLpQV9o8z/hVq8VisgVh/BuADi7jSwENBgecDV+W1dOSQH48zO66
zNGaF4kRqsDHWCwnZoQNtK+ispyJOS+ydHiU8E1kNJWrf9amsBjCRnS8Nl6Wz7fZWDgXNqNdgLY6
6IwYTlC197A7AYxKFw94v2nT46rk28aGlCgpRxzpqrhpiZCPKQ/aJjadPoDrZ0ganopNmggbuycF
BUkbI4yAhKVlByLmnYPQG22keQ6DhWAGooxqlc8zJJdqsk7N1METotL1x8pMxoe6twFLnYmgOVSo
pW2Hi7uOxmFGOXZnC1EDPZD+ceOwCFu0nFkODJ8640fdBTALU4nrCJyfZcbDBz15G+eKpRtOdsZg
2rcnQJCcR2BAX03TL2mS2ee6LJwp1EfTIoxeFUEVpbOrd6HfaHip2YpIpb0/WoV4gwn1ukbBqAIa
KOYE5F1jCfTaT8JFDbWujsRScW2NXWImQQiQ91a8wDPL/uXBZm26O6otD8INAeMv60mz17NxmHv4
JZgESUYUveZGuuRlGMdVnGdC7xlgiuTzVGTOqbEy8YttZGf77+qCvzlhX5eYLt8SzQEiNryIaele
1X3ZYHVT51rdzm0q4wQoT907rRjuury2KSr+KkH+5lIbV/flN8YHFCYqmgs0K9B6X37juk4CYyjz
Fpr2mFeRsmdn2BXGxFMOZOsbZ31XQv7KKhMOHSQLfYwG0eR/WNr+VHX4f6z0XlSH/2EN+X9hdbh5
nv/1aLbi80V1eOif6oevD9+XhNsP/FkSGu/wWyD3F/4X1R282r9KQtd4B8hKT0cl5kFG25R0f5aE
5jtskWzk8dtDpvajef2zJDTewfok4HLLROG0gufyEyXh6wVLnw4NHHBga9kRsGx//528YyEpqG69
TsSW0EQ02J270ww1HDmz9OLv7srfLNgfNNjbtfi45u/OPXzjl9cyoIEYM+7jcecE2jnhglqYJLYb
B8Py2Sw2uLUos92mVyLYuL0qgXcIOmRi4y8ch/ApRFTI7jCNK9AgeORGMRxgKGnjYaqafaUawZnb
B8xVmJfVfjGEpP4QmFEya3GzlpMjaFZqR2ld//NX27rV799Fvhn9F+gKaoItPO4Vr94jjjEoEi6/
aka5l1T/kTEPzY7TowstNCBhOQZuuFIXvLHhvN5ef78yQMu2xCAYvtr3KNxhn2NrgE9tne4wdgAb
1O3ljUbz2QPs1RdEIIhhNb2IC3+S9f39MmGoYuRjEOTx5AjVx72jt7tizMZYD1BscMRbfWwKPynJ
DEmTR1jC6f2CxWI3icWLjEJzb2D0nHic9QeITAydHJqEb9nk59ewpGQdGjBxRs6xJmXeOo7idPYN
8Vn0sxejgwKZhe5jnVpQX47HyZk/Pj/A/7+LfdfjbnjHP+xi48PXJ46K9unFRsbP/HsjI6wQbiMS
Ff3Z5OLlRrapj0FyWB8wZP69kbnvWC4gISBXMO6hkP57I3Pe+cijN+EcsIzBbvYzGxkf7OUruKVg
UOLT2nKh4DXh2qVrCxZLjTFT5o9Jb65hQzpKPM20ONAe3nghnt+rFy8El4PbS64mFm8/SkXpvZgq
0mLGPTsY03XHlzv2helzSjrpyToNiNihD5IN56Re9pUYubY+anvLONaLVeqha+R6FubeaN73ZskI
sk6094J5kR4GvbVfDacJ+1FO4Omijpqgt7Hjq0v3oBV2eQw1uz8wgNHpUjofPUgHo2thfFeWpnmb
Qftuo5l4jjxQqLbmSj9mtlOcmEFRR3WnHSZw+AtsGrSLBc5RHctcKx8rZnHsnYkqrqcs8xmXB0q8
sVE+++a+vm9koyNBAh3haXEafr+RaAnO4nTCkoGbNn9JlFj9GP6D8zhgdBiZHadR6M7KIx6q1j7z
X3a6N+2Swb5GD0T7LzKIhquwYgSDOq1w4TL7CYYmvRNtxfSKUL4hwlcEXfVar0boMjyAZSTUCIcQ
suDOaFzj66CUEPuRTZmRpVgYLAmnC2XtHs26hBHpucInWhdS4LRY2lmDIGW/euv2m6yheYKndMtY
JCVvkVHPmmCa9sZh+WzK+epGgSAhNYKGa1JCv0Kv17UvW+QrAzTF1Q+VKo3QYaZeEaFJRDSpP6I9
w11TOxjQtqQxOpwu6U5m2HqauWGe1sY838hJdw5M5+B/DpBH9UL/gPIgPVTDXO6+2y3+5nT/wYwa
tBhFCmEfdMQBlc6rM7BMvaktzFLGVKYMMFc/OVJz8CnvId1BAB4gLDOGtGY9i+t8lftqs3csi169
MX/44UTcPgclFXwpb4PlX60wWTp0jU4q41VKa0dra2FBNbxVzPww5Xj+uptBOkIiirvXBhxCdJ1f
FkLG+K5tvXI/xz6EUsB/e4gGac1HAUOZ3aZ1DUlbSU7wYzEjp8FCyiiT5q27/+P2txmtIqDB1t4i
k+fVAQ3DtfbMBoUz/MPuzGzK9hgeszlF2YaxJNlUXetWAj25rhhpC3M9WWhlTseiry89Ux4s5a/1
XvDbs3BSdXI+jX33llJ8W7Mv1zRKPQx/UPDTa1P0vnz5Z8lcv0/0IV4n14zLID9fjfpEglmcjP6l
XKX5+235qWP9P2w7XrYq7VN9I/unJwne/f8AfA10/N3b+kOHcvSQy/z7Y/353/9xrnvGOyYHNOhb
8BGF5F+numeDPQNjc75huMAhzRv9R3ti6u+YjGJfYaJ54E3YVv+f7Yn/Dlsaj2UNCk5WDLrMn2hP
tk3j+xWzWYvalBuGD1+G/+HTfX9crH5vaeQ8w5BX4FBh3hAolOMEfdwsuZ2EqRk02Asr7QlKrrx0
5z59S2a6XeHHTwB6AbqAW8fr3B1TdEUDzc3bpVCH9n1nWZGd1cYOLszPinM3//xt/9waMe7fq4be
6XotqaAT7SqoRrHerk6cgXO/cbD8eEe5p+QXIR9B2IcD28s7mvklIP5o2zuNWuOyJ19wYBjbYAQm
gEvsvVmV8gg3Lu3CJZ3hI9xUM99/t/j+5qh4vQ1sIpmtt0V5hJ03A/CXHwFuOHQ/YaJg24JgW3dw
z8slCWJ6wwrgD6a0pSfa0T9f9Hfb3ZdPEokOhyluSQxb+AivLmtWSVfqvbPT61akYZPlGXWRXcId
XjOzDXbBbPTpseyNCUg26EA4E90B3w3aorlMpWbftas+LaGCNX1Wty6sCF253UORywBpQpOmYMHA
haedsULVagXOxhyENTr7wFrnIsyzZHXROdT0OHxSQx56P7NvdX+LCc6d2fTC3hO5/VVkg9ZFPtLz
aY9oKrnLrFx84mGJ915p2V/8oisU0lMjkEeVMCC3u13gvk+XIP8MwO641xLKR3Vnw3+ywsDB7ezI
HzX3PnWWxL6wSijld4W9ECfTiFURaFwYZmQ8g4u6rNRH8oyBHI3ZDtoLLKzMm9T1ACWXDZ9cn6FK
AFDaWqBJIMzmGc6sN2QTVpfxCMNFJ4puAz6bZxA0eQZEsY2A4Ns9A6U2meTnMPaBT8kQA0r1BAKq
cBTSSUPhlyVwK4vC2tfPMCxzCSDZLTCkis1nqLZqpi6LUV2kx3UPdg8YsAG7IITVPvc9TmJ7XNYp
LJPRufA3PDiFtQn4WK0rYRgbYuxNaPAiwu38x+oZUubgAl6mfLJjSObioD/Dz0CzQNEuLwo4Q9k+
aQzqb9Zn0FrNAmGEuWHZHb6dGUqJDeLmdqqrGti7eQbAS9HYI4x/JwMY3zDyRCZVtGJgc9Rrk/J2
CZ3KdSm97CwY3OBTn6rsCV0KwgpL0zfph79aEMRVd2iHUh48W/NPq2Lx1KnQAvu+Y6x3ZXZWw6gH
RucJbCdvDT1mLufzHPioAVYjuFa4xPQxHElYQKi74Y8VTQ7YbXrDLmGwAKu81u01UuDHF7ORjV1k
V3NtxAH4Yh46ppZ9aAuVXbdlUWq73G6D8YiUCjePyqFMd6T1zeJDpbhpdZiSfOyewIwG/2gxn6hP
Zlsk6xk5P6KKW7MK3ude0I1RBgVLRM1QrAfgW7xpzMV3unhMasCfddTWNR6yxm2O7KlMv9hqcZFs
B6WAeATL0I2kknbYBY14bL0GX0NLrjrJE0x9GmQfrmZdCsgZSbQQvCV3BaDMBapXOUc5Tm3vmVY1
9z6zukc8u3L4bJ2WXBOR4l9mhfBQaTpteteNHmscJurw5CFHvQqQjesR6i1xveSGTHci0Uvgj7wS
w953NOeDjYPt596c628M16AHB12pPg9UxF8MpLIdm4uBJMPBwJTsNJsE+SO6Vye5VGW/6FCKITZF
uFOMYyTKZjZC9vKSOGd9nph5NgXvieGJ4MqF1yVjU9U0vBVx5JFRj4iGmMo0cFHz2rzQpbCK0PXp
D+JiXCT/3SEejDOT6i6EcmLgHqM3rR2bE3DkNvRb7zvN1TBHK2X94KQNOl0zk43Y19WI6jCwNEwq
GgXCxstK+Fyc+1ZGeNnYLwYd1xAwXtDWMr20Wjx0I6uolB+7fkvo2ags4ga0SYdMz9yphBPRzn0Z
St4dGPhGl8GDN/C/AK7OTTYX5c8P89hrsMEar9V3+kxKSCQ9S1tpTu003XWit6aYTGE9O7ET6v6o
RSqykQH9+sFP7epqZfWiO8H0xAqtvlkv3UWrjQibj+QRubTYfEfUeF+mmn7baQxceCOw+Qlnx8NA
sddNxCiDaI00RmTW+8xlMHOLg74vgngaaueWBBXpHdWNJfq4dn3VnEyjZGXORe/ejSAIImz12keV
5A7FW2YGr8t+HPhpdzYAwrUBkl+7b/kNOxDSJWendaNzXQ7XDbSuE7GW7Xvb41798xn6d1fbVMA0
7hRkVIUvT9C1QYrnDsLZ5YjUruAUr/E0af5eWaXNiEU+/fPlnuW635/Y7mY6xDAUtw00vQS2vLxe
39drzxZi79SajteZn9dZmDmjhzCqD9YxdCBT9tGUCTgLAifq+g7ZgJbETAUlBMgAcmvc2W67IEUb
GIGN9YB4I7VSbHFUvUznVgBJNMahb1gi6AO5fPpf8s5sOW4ky7a/cn8AMgCO8RVDBCM4ioNE6gUm
iSTmGY7p63tBmVklktXi5du1umb90J3WmWBEONyPn7P32hUn33tJ0W+HU+BYsZ5yoiMKIvjz1eVM
sxyJUReObyEnBcF/b7vaDyMZew6iNXetU2qlWT+0WcndiMFw3+FH2TTRLbu1/KsA/NCd6L99YENz
7rel9uY+dPxefkfO8+JGtP0b/9yIrE8ANXTaGETK/N3O/EfFg8CHEQ7YAOKrLbhn/74TaQ4jGzhP
3L9tGiB0uP59J7I//dIH8t6YGyTMcT9yJ4Lvwbr//b2g2a9qBO2gCIIwAcDo5XuhD/ix3UbLaBOq
cKLB76XfndRgMjyxS1B51lWz9SRc7brW1BzbQl+1Y0CO7rh4hYpzwgfsQRZTWfYNamBFM2ZPIkBm
NpLYZ2jkRIm4eHMPzIL5urQK5cROC6C2kxyXu8p118iLmlbq2N7G/GszEHQWkux7TKKkvF6KTDQ+
+kHI31bsFLifCXk2QL0ZlKoFJkAOFYI34nC18XB6aWyKLyW5UHT1sDyfFZFe37cF3UjUcxZ/oC6i
S6eoK7TfOaw8Yumkm+1bs9eu+kkt3ZNElPMXy1FwM+GVXVsssqos/bKdDCxkPaUSGn3nosYbMyPc
0eanWHNn6qW2nO+0DLjkrOVF6aurlh/4P2n3sdFrXwlt03/gOoOAxfwu/S51q5u8Vs9jiIqxqafh
IPU5C7VVql/Q8xpf8z4t0xPctO4PO23bU2OaTDsED6s0voqNxkD7nRVZIFdHudVMzNM+SNX8nku4
gdAEdzD1mkz4cXrhZPeN3XPYLQn3bA+5eK/jfIyixbMHhH4+mgnlG+6QUUOkg8N3F2PbDzvR2d9r
RXeA6ynpcI+LIPm5Tdocr7aa6FIHCpp6pEl0IiAMcfiGWUwIlAo6tKSGHt96Br4pu1egOvg9p/AY
pFqeUazVgzkzo1HSb52hNLmnlGZvYBd1xdPYyjn1AdfNNV7tLtv1vZnej3okitCKEScpBq45b470
Cag5xm4chIo7Rf4YJVs6pxyNz1aPCYso32Q6GotBiB0PgM3yzin25kb/i1LI1Jw3lRnqa/RFVveY
Y7BZ7BBMVmHKj0hxC0Zv4Kh+51FvL9uQ2FCdMnvgEKMd+fJFLWRaxB212g6z6JVirxk6t4m4MbNT
Qnyz27mUjmcN/+uVlqnTX53QD+30l3/qZL3sef3fSTy3p/9L8fn/hnhzA2H874MtjCd1+SN9sdtv
/8Y/Yy3rk0Nvh/gjtCPo5LfZ1d+bvaN9ogylQSHIVmc0/vtYi9kV/4DqDXAsQo+tjfJ3A0wxPtFO
E8TM02dgHKwS7fWBDtib1UqjAs0yvS8E00zWXi0hDoeG+PiaS23h7hewsfjnBrRVv30l/6El87qy
2/pNCExZo+RaIVfeTpzfZAAYgqfCkX254+DbMTk/g/q115L5ohi16w8+ipoVSYOtbmoAxtfbB/7t
UaT0CKnmJokDjJga0o7dIozV7KTu3ss54Jd7eUy+etL2oX97Em3l1Fg7njSK68m4Kea7P3+St8BF
5LTom/itsQDAXn71AOQ96VByE9jRRUnarxyFFttIBTX+q5MrZXsB76Q2dyaSwfa5hHlk3Vicys0h
74t+/tIUaIVsz8Zt2582pUIycj1LG6//MhjjF9w9QoTG2EXy6s9/+Js1hUwJ3hYxCCqkW/all18M
WzR+YXKUdul4t5RXzLqgRnyUC8xoxGZuBWANXo14jRosZpGWIwbJnRylP5tHE+venz/Fm7Iacwlv
7FZWk4EDpXTbfX/7faU9ZPrM8G2H0v6xAUwqNByrQ3REDnqH8wAnt+a1RhQo1Ttr+M2+/uvJVOnb
kzfBx8snq51lx/jA0p11Hl8v59HVcEyv5v309Z1P+Oa1/PUcGqVsQA5n56vX0uz7Kqt1N90J7xuN
lDPhgULwx6D23XDdx7fuvvPfSy97M9n69bWizmErQKrOUnn54XCrRv3WYtkZe0J2LsyT4STarUei
2U6Ug3b480d8GyfAR6RaZo7AjX3LC3z5NEWBjIF1Kd1NvrU3jsplfdEdDH/2noZw2gGrCVd/DiNP
+J2XhO+ZXd6W0r8ej4WCWkDnpvlqDdlRbpNjQIs7OVjHlg87n0YH6+AEwwm2vzA/t6/Na1qSsvZH
b/UVx8+esiflUVw5F9aFfXAPceAG6ql9MN/5Zn59zy+q/Jd/2uudf2pidVp7vpk5DpOE+UMo+pNB
2xNATXU/booYQhXw8nnljZ1hyX2nePkVKPbmD2CfxtZItsGvC83v75ddkcMtoindlV58Apk0UHbO
EZX5iRPmF8q9cp+eDpfg6fgf4yq6ZHZwqhzUYDqrb+ur7micLN5759TbLZ3som3bQkzK3PX1zwXe
roFkIJPd0MNwOAfL3F1nFFjzO6itt8/hDERQumUrsLO8lqrVBHGTG0boZ1pLmCBLoUt6ZyzTOfzz
+n+7FbMR4ctzOHnxZLzOdZ9A6pUTEoRdGhs/rVI6PtJ04ct1fS8e881egvgG/8KGo0M8iDHp5YtG
AaBUTgPyKkYA4pZWqLvHKs19Ub13wr/p22w6H8cVm1mN0oXS9+WjEq3so6GXSmh6+fVyMVwqP4Yb
85RQ4aMbOpf5VRW2l+sd6ujqm/rDeWfdvs13xw2Fg80CPutuBPBXn7ShjFIIeVHCYdccukN0TPwk
QPJ+AOx+QffZf/zzb/h6sQB5hifIZHu7lbOVvC7RrHRdl+09qdIuBMm4mh+NF+EJ8N4wM+JZQAzy
ZmgnE70iFDrdLX7tO1fFSf3OdOzNR2AgBgQQQRPSAYb8r76yGDlFi70mD2O07PTYGJEYw9S8s9hf
P4U2JTUm+hBKpU0h/WpdKDnkMLmUWrDgdd8J3B6ngCuGD34WZs/88pTMFAc0al53RzJFTCzOvAh1
eGTnma1F13FZ1PuP/egcjOpG/KP3wMyWnI+Xa9yFTD0OxGWTwdhr3kQ+it86XRR8/ClbKAo9Qz4V
YU8vn9K06zh3Q1WGc2QrOM573m/YKHRL33lpXu9D28fB7oznWTepqOztp/utlhombPeR3vFxxhpn
h95W/mqUE2MS9aPu6u1RCIQoDjcCJ2Cbl48aC2gDncI3B4aqvVOk2lwUxCG/84Fg+m1tsN/PL4IK
4Wlv5SeYV7aEV2UuqKK0R2QC0TeKiwsRo5BJLq2+AjOQYsZoQG4gZLCZlYCBtz0AJivtV6A8iqcM
2XRbQOlZg6LsVBW/urraHpzfHk+SK+LFb+zJeiZjRVxSCGsHE1mxuo/HXvshktpOQhV04lVmCUwk
CaRxUurx1+8c1V4J7zTMkVlgq6NSK2qDTg5tJPBYaSLkAHRtNG+tLtFg2nSOdhKTdVectisgqsAd
pDmHFi4rODWD7IGlZam6ntqE+OpBlWTxGuiF2s5fslZE5Lvnwp1vBAwczfUSpnqDn4lEZOArhsQm
oKCEnGMwTf7cJ4qmB2vWZldFbsl5r62QGFeZTrdOvvCHAt1TSy+ZDf7EeeyK762MO9XrnYK1n0dR
f23J2DwndGLow8IuDRsulK2NAZjXXiNsLge9l5KScCllmRbI2bQKrBFWpSYY6EzSz1eb8VHEjbA9
AtrsC6uBFRGOE44Yz65S6/PITN3w14wZ385MtJEc6xUlY8UfBY+A2+bXqBXdNmiPAWdEtQqbMe2G
Ztqlc8c4NVkZgvraYKbs0nY6VcGYTflZjUPlymmcqfKTZeserrzxM4nsurKFWLVVc1yKhqdNaxxj
6GPJCt9qrAp5oTsBMBELcLoTbbFViGlqYT/rZtI3Pg0fFd6dLQfVJ+COJmLsZuvklxrULD/POiXm
zFCiKySh0RAmdhel6aGwR5dcvA7YHEKtBYJhpZVDGtqKu7T+ogv6ohoj6XNUj04fTIAse0/Ck4sD
mZm1DbWM3F9GVOP8kORrpXjZvA0oM1dQKDpZnXuxgJkSQpt0Zk9X0UAETTUNi5+l1RJ5ell2d+B3
U4ashhR0Axcjo7csI9LEbGvGLGZOIwpCsMDwRdo2b0ijqPX9gh/Z8ZyeYRVU4Eo2/uRWccvbtIqv
JEdUXzSjLB51pzS/k/5qN0E9yFL4AxZGfmF2uJNJpNoN7/RqnnSWyLQw4//7e4l9rsNcZTs/Zeoi
Do17e3xmba1tsFYRvsOVHCdS7vJhGr1e71UmibOZ2IehMpwC/6BQzCCDXARTh+W0BBC6GOnJSW0f
XLOeWd5u4yolALbeuWt1k9erRQga+22Tq9WJ3jYpPjPJHuqpS1Q7jFCJDGjgdqKttEbMNUvVdOu5
GKvmMjP5Sz11Gop5HytzlxzmmAu5V3EP+tlnJY1vlaHTjSqQaXh9kqpKoNc2vDFrzSKIjWviCL+1
GBv7g7vlqKciw4AWkd+pewp0uTTM6FI/5HoNUVqxZ/uOeM/xoTGzJg5iIs9CRSkJ3yxjUewrpZAX
jr2oJi9raZ6ZpUkztzaH4Q7v43jtDBV2wbWyMNPiUZv7fWtkw2mvgExAummrT/oMVg9CRW9fZA0t
BUzAbi/9WGkRmSYzQWSgPaPYTA7MWR2iruAaPucU1yo6KWOKAtYbZ2MLLWsJtBGWTQjfbNHxqsal
5nUpRG5v6WojC1zcrzC6yvI4D/p8Y1aa8lnvcR0GIzM0PRxrxXyKlcpwD+TJJN2J4w6W8OK4Twfg
TZpRAQUjJxnuSApaKupKnbyZdtXIT0/BHLmVyxhhrnrInblot4kiVk5YmapdQUUsOlY6dsio28Xo
vtbQqYkm2y/gOPVg2KBwfq+MSeV1Ca370EiaTB7sJIr2fdzkmC71tFh8kSDE6VaCGEPXUFb8vXZe
3hS8UbmXTO2y+g5uh4lIsHZgM8V+3vnO2GjsSmsPKxt2Tf+d+b9hhnOJQulULkmtnxgtcCYS2hPn
adJR3EOP6jFNoEW1Mh+ijRx9U8C82JHZvn518SRrvrK4beLbedOcFZhpNV+SlMCTkdh0HlafaDqf
CHnJw3bWmuRCxo4Gmq3EnBNIRwAvWHKyxPnounEfV1I3fTFBhGozJbFC3vTI8SR4t/xAwp4Twz7t
2NonlBuFv8ROT7DfqPZPzdLOKyDCFQOvucziqkjQ9RC1aPBGghCB35dRQz9uRm18exyPhAUak4l0
IIkRuIOjZWutUgniMTcqE/j+bEPo0hcVrQIRJ43hU3W0td/Dw3uw7GwQXiI0fENLBOzTU6SpN4ga
dPuUDWVkYTTlwKgM2o3WQi5LO3d8iKWY65Bc5YWDwMwGGTRRa+V+X3fpPYHubDzRFNePkVzjimOt
bLRjMlvOinA9U+0TLGB6BjSqMD7XtL1uV7CcOEC5Zj5mbiVPXWfIGZogVI89uqMMRUqsvpej05SJ
3+iTeITbuTb7iStw62fR4o6BhoCaYJ9SprftqMLMUjr0v4Ej+gmF/hQb30uzsp8W28UVrE8bKrRv
4hnV19hRQNjJvOzrdvvHkzTrHyiDyHNt1K0s6TUUZOA68YT70H0XllbZa1vuC6/uyVyt/Ma+sEbl
YbA1Bn5Nr+Vil7hN9U0BbtR6SF50ImPaLrsfjI6dF6gXNQc41OwbwkH2n7aFV+zxSZqn0WqYNUIL
GsC0FkY9w99swbyaFInP1qj3rWdPRqf7Pa1WhuTqOjx0pShloCh9KSB46/JLoa8prHnS2ozAzLTu
JuOg1UJLzcabaJauipbKmFffWtnn4D0V34002l4Ou08NXoYiXR4zdVahjypqY+HgdYqqucDlPDtE
OwMg3Em6Qd+x7GurL3ilDrLLpOmzsZpfi9xIJabvITlvh3JxfRsZwvXC7LMAbKBZjxWjq59gNHHn
m/nQVf6QmdF1DTSS9R1N9m1qmUugxsJJd4zUNhTJptM5WcH6x6uXpHSUz1rEed/Gli/kcyVV+3ml
75CEvQBlGxQ4pOUe94KmeaBgRL9f2StEWE/COHNbINUeVliz9JvETGG/0by4cwenWfdCic17OFRc
utW6T5Jd3VmgLBnt4o8W8eosHrqE+Qpom1P5OaDIn/HSr0PQKHNTBCZqsmf42OiLZtDSVWhNkdnB
Ps7GM6mZmes1S0mXdypMtrhWuMNpwYNPWexjGoBhAI02rg1e6inOBzc0C5E9R07TWbtEVlFYpwME
8MKgGFIB9tnhoi3lF9yvUrtKIR/n8QlG7q59ZmKmLHf0ysWSIewv1SM568rPtdSGmhGpGMYpWCn7
p72iI1Q8gVfYWw/coxrrIonaZjofK9VpLkQZR/nncQCJfNLDc5j2uTWNwuvbaLpPoJAZIVRlxhNc
VqplD+iSBOss591DlNWqVApTNuNCT3M7/ewoHVXjUlQq9p1Cw4eelRtJQBdx8pNWsfMER4wzKZ7r
RIMIUObGl8GuIkSOtqE+GPy5yBgxxqjnou1X7ch4IMVHsLgx6ZG53uv89nKI2vksjfLZNf2S43rj
h5mU5HBgRje0oTNipsw0E6wpe2rkuGFOtsKPUZ9dEa6DXL8NXWxAuDYEKDiuOCOE6LxVztHPmA7M
LtIlfLZuk2gH6ACGOwe2M6BezWFvp3s1K7Th6wDQaUEjaUR9yu7SabAnpZN5Foy+GAQYKMnLcRzF
dKKQBc7mjr20DDtpWuvOBCE5HS23Zi/XFsdizAsyr9rbTRSz+RiRW7CrRu7tgDI0vYdHuNwrgsbF
Ppoqez3OlaL+dJcsBSrAuHQ6sSL8QT7xa92IvyRJJnOfrbGaHlpGQ8lOluBwwn6YF+0zXbXRvtCr
vHVD1GvsIurAEBtt5RgD/a0KzbhGf0N+xthHpV16bmn0Tzpp5vMe+MM8HyvM68Ux01YtxePC4XyJ
vLbU91iHdPMGrUOmfh3XrjewIynmBvnM89w8OBSH1kOq8rPgexCWBQSZV+O8VyW77yBF3313W+K1
QpoNbg7gpGqtXaFXRnzVFUsyc2da5RQWmQp/2ZXFnIcw/6I2yNAIUUmWORh5ErN6Xh3MSVgwLa3r
+SLnPOKa11SR32XLMobsI076QEoxQodqqBd5DeXNLM6GVNQQXcHCar5VKrURWKKybyq1W6+BmThX
s+xFvS8ttftplvYqj+ZIf+VzjbTyaxtLV9mzG7iTB8WyLjyyAAftXKqQ8sLWRuDkKeYQTw9gcY34
JB8hoOJC2aD0kEg17XrIU2JIkJlre92J3GctXZviaKzcjy56lZ8qsPk51aOdI+jcTV0XA1C3u3w9
jGVXU1WrTp/bXkr+pFYEs+q0VInKFrdW8vuMgZOoHI2ZnRuPQiAjPrYNQARa+uvUTKc1rBEFA5yB
NDFRR45ZNLzdcGGJbijQ3/YsNvJc0RpqGBHMy7pItfi0z5J19gqI5I5vII/VHFrx8O68Vo00oHrp
WsroKPTCMb7UhsrRWDTR+MOAtIk6QjhfIiK1RZC21ngnMAnLGxOJMwblUSRPaF5ksYMW2P+Exqdw
566W9QhiXcn3IpbrTd2MDercLImfkOxPXWAoZSEey74eoy/dlJX3S5skKZTAtDlHW6kTM1BD9vHy
buKmYtA+eHQWMN2HUq3SZ52IEsUHiWzW93qtChngNLOr07oExaVQS7mHuUVSBK+tKUfuIqm0Tis5
x7zRmszv0NO6jk/WwNRd0V9K7gqzABGk5XaRH/AbgR8u1dH52lZr+3VsogGqkEFGnTeYahsRmWjA
5h1NBZdmrBozXu1xovC0rKaNT7YdqrwcNgihr3fNpPnwRLhFLLM+nxUl24eXZIUpiHBCkIy2Lh9t
ivxau0tKdgRkJ2l+Axqcsx7MfD+cG9psVTdzPwA2U92u0pFLrkN/NipcRohcQEkfn5HbV/8gJ4uU
J31oRjwZFVeGIC6btfYG3cYrVetW8pl8x2wAXw0RemekKykGtNgRNI8oPJSwbSenpeUD8YS4CMDh
53mVLNppCqok/Ul9RgzF0jpO7HdjMw5nWLKqK1kkzug3cW5xk1stCf9ILl31s+9i68qycDHss4Gc
GIoPXXum7wJihVSEodsbTpYkXkbyrIp0GnhrKDhmB3YCAd2+GQTUlBJUcnJet3JswkRErXIyUHIm
XmFRryBfn8YsQJIFs8fi5nm16HW3nhUywTfhjUppJQ92Eje3SyKU7IS0Ii5XC6+qCZjRVPujHQ8R
uBUFqb1XEHA7+FTr4+g5TVzM/oxme2PrxlD4tkH4t35wIKR2CnWFN+dSfEHLuT5YmFjvp7Fo44ND
ej0QWXXhBVPiTJlOsjiJU78Z8rW4WubK4A0QvSSTYzW26KPEWr0t6t31+dKXIohA7cKXo1+hHmJu
USBXiSX4WW+GDC9uy/hcT6GewN2ptCWUrT5kJws5MVcRsuNv0ZpE11ZGmuIpQWxIxyJGNfs1USZG
XjLnzcsF0CiIRU1f7Tvu7kfczvNwxI2UXKVjm+SeOVawPGO3UYLEqviBuGRwXW74rlHEFT3tvFni
J4UcX1ODwWlNqKP7/luMWvXGGO31JirhJHuzNjswEtweU7GTTeP3xmjmHwiszS5I6FGO3lim/UFr
C0R2q8ZLBMe3bu/Qj6gPIuK3C3vd7BFdjDOqwdFW+A+lyzhYiEr4gs6crgDJCqk26zzdWbQrgVPH
CZRsS0Psl7aB/147n7s4KS/nikmB1w0qyrUF0RfrG9AQDeqkhzibRPZVI7Jq9mZhx9dda9vZxjZd
HrEw94VXTbF1nkuVat82YTT4dmVZFyk2X3M/WmWi7PqMmAivL9Fv+K7VdVegyDnL5xYodb/OynMa
l9ylnETECqF0i64H0BEKwEL5xn/JHOYlh6hTHTNEJF9xv09oEFCwxHRmiP9qZp97lDsdeX3WhR+J
BBe/r4AO+jSbjDNT9nYc5ODXS0/tCHrzMDrYaNYqN+Ee0caZs9epGih8LDdB7pFM37RSaInfVnV8
AjnaSvy+042bOrLsb3K07DqY4bkn/Iem9tmGMZsDgyWUJgAJRNMBW0v8lI1G/9PFb9aEpL2kz2Sj
L3Sptam8Gxp3fmgTtbzETjA3O2Uyh8tZr4DMb3njTxVWuYdRTm2OWj5bCprVlvm5ZrJwZzZDxcVR
KwFMEbC3NpzUimR7sCZT9QyCBZdTK1rq+4GOq4rYr1CPWF/a1B+LiFpNjyLnJ1JK/Ltpmq6nFt5X
kKhp4x4LAcUe6tZWMQ3VSmYrBzbVxyqki6axpnML3Lf4ZvVGut1dsSVTn3SO6xu5JJYafVz9s19y
8ompvcg2ceaohftm0urybMtqwYE5ywjqah6rH8SHuAcMZWPmWw7bNWiPuYjCdakqvBhqCXZ3qCmV
O27aaUCQBDW0KoUE2a6xrx5djNw3OpjkZ5nBvOa0TuxbgiKnWyn1cvGwD5qhpLbUgnkV3BLFUGJo
iOpifMQSj5KktcG08Qt/T1ICFMHCKtkNBCw9LERrHK0ujnetqBLpoZIURLnVpK/gQbKmrzYlXcQV
N8suySBxHwY6EM8NGR0nuq4IGdJZHgZfJ/nG3+6WoZ7sYsuSli/cZrrE22LcrslYXNJni84Gc6lI
b03wlegGPaOdzSl5XOPZfjTVtLBDpE+iPjWyhk1mxeN12zmDehpXDjEYk9oMvqIU6yOBJLxEtGj7
+3id5QMgN7zls5It33HqkA2jdzbTkNQwszOu8wWiLTrMsWeCEEQJ4a79d5TUCHJHW8zPLm0L/muZ
nO/mMRfobxigSTS1qvvDGEZePN47eOgzW+QarE1ffzPAr68+DjcB6p6aRWMDnOwbIbnEcqo18hwA
PSHRRkEx4alg9gsKascAWj/ULWkMPWzqaOzKR0dt7S8qE3ZEB+NS3qZqv9kB6GcEqJvLnlyP2ca7
l2ZQ5eaoL7GhG4PKOCRPo4th6bAGGA2VsJcUlfvNTRL8f4oT0c8Qq9ZeC6JNfsTUT41Hv2NrUxCQ
8rSKbr6zF7e7N6e54s00kif6lGxxEaOvOhhdozsj4qL6WTIlBq9Wl9jhgeyLQ6aNWRtiM0zvsPuR
ZoMv07424mxLwloj0M9iQCkXxKpTaDvT3lKBOmuCs1Y5k2jCptVMit+UGsGXjWE8LrE+rL7duOXj
SruDd3WyV50oJLI88AAlVeZ3XSJ4laK8/4nwfSZ6xB0x0BKOgu2INr6CRhyrBUpjjZiGNkpRASk5
X06YGS6y3TTnLFesTOeds/Txamo1qqJ80AhoGqAKf7Zrt7xbwUsb2Em16AfuHdguDoXwliVkA3BA
aqteLqIyHwx9K8o4zqSFeAVwlTcxze312ZsS1HH1rCA9d7iktduMDO9cK7d3Vhj08kJNk9EaTnqN
nWyWU6ri55QVnzki7YmsjAbiflrJbIEI0etYf8potILZWvqF9dIkachkM5Inwxrpve8YXEfO2f0t
/R2R2q987N+HkDb6A5vJOoIqMgjgErycdsZMt0ytbIuwsZ1wzvdZZh7W9tLQsmNv3MGD3+vLsEM9
ENaGE8SAoBU4XlI7pSF3oekVBpYLQduPaTc0N7kzxwNoTK8z5kPpnK9kHH104gxIgGmphjPXRpD1
ShDVOsOouXIowrVuo3tUI/aFYRMy9+envBajbL5yi2HzBsXCWPZaX5P1m998NbPQHIr1VgVIf06b
wD44lH6hA6nug3qeX8/bxHTIEVUD//PLX8EeaKBQAWVhIzpu70tGUYny7Z0f+z9+KoSV/JtoX1AA
v3yKZOSK1MfIYNeqaMfwyJ0YJgWlofTipEH4+o46YFs7v68tBvaAJ4DAMeeGOvs6WRHAUmHauXCC
cttxZsO4UInZonJnzKBbRGgkRfzOR3ytE+CR2M34dA4bBOjyVx8xS/UikYzWgrpOo5OaABusCL1J
eGRVvfPp3j6KdYjAVuUAceBrvdI+KP1KEhMe9EDR3co32obJe8zwch4xXv95OW7qhpdfJACETZOy
GdIN1sjLH45txSJXzDACJUroiiWdYwVdq3F9+fhzDAThLEdeAMC+L59TLAK8VZQaQT4JQUgfB349
2/o7Api3y0JgDMLYwL6KcMh+9Qo3S89oGkFRQO9fXLPh2pRVykYbTZL8mywqBhZCzuqHv8TN3YZE
yQEVgcn+lYQkKxwtmha6R5VVNzu6J9qhNZtk99GvEK0csnHMFGiJXOvVV5hmHAKAeIwgcbrxaKak
UrB9fHS/+KVc27ZAATgeXPgmLflNDmPOeaIXbgbkF3EON+0tfgsW2Tsaotf7xYanIYUdHjQrHLWt
ePmUdOBSI4dGBFa34jBfIzKQSaH3aBubQamm7dWHvztY4QZeAgMT2xuahjm1hJKauQi0QpM77Dfj
NZko89Ofn/J2+Rnoj5D9AaXczr5X62CtUX3TeySSorL0S7JzxF6abX8LoUa5WnOGQInjULb9+alv
d4tNospWYaOVZoN/9V1CYnVjgpMEe6G2em5M33Sz1XvV2PxNw/uQr+a/3kG58UT/d1PN+fduAIne
StbGX4D1jaKOiebfvhr1E0sadMtf/hgMB//y1cC9xCHDGrFBtSFt34Iv/uFeGp825hWEcpVXnGHK
v2w1mvFpE4jjyeT8RguP5v4DrhpnO/B/3/Fd/iBEgvQWgbqwXrdX87cXvKDgJoEiqUCstOQlubYd
nWREfkjPWpb1thwTgwC63N7Nk1iDJJbTV2vtjSe6KNH3RrFPpLGMVaA3GQNsY9ZbAsSUfdU1NSnD
s3JjDL1ztkIDuU0zQa9uyoq91CcgJznj01b26m09pfKpb8zPcUyD26OLMgZzNban2YhOrS9NhKuK
mfhW3dmCSXdvXDhbWqpdutTU8+hojwiGzXsK0O5qoXEM7nLub+JG34qBge4n0adiuMmUiprabIpn
eOQuzcIFARTFsaF+QefHzDkjodCbcL99ZuwpEQc1dL51ygkQCoTvcDMzCfIohtGsd2LsieGp6ZVF
DA3vLSsiRB1rJi1FdfwWlS3SrW6aIaO4ib2TzEbJsiKB5FC7uf5Y1GO8b3N3l0n1iruvdkc6TPMo
4IF9AV3HLcSUWrKPiCw7rgJjoF80hL5gcm8PFnqgAtLeUt4TeUvI6ELd73GibbT+f63kq78Wwe+U
/NfFABQtXE64ulS4qO6b/Ys0IUQksVsFptW7AfuXelAXxQl+PeVDm8j/F2gqk536X1//Gyv2eU1S
wVPXfR9ebiT8S/8Y9PRP27bOLQEFtIoQmd/rb4OepX/Scew5vzBsBgppKp1/NhJsfRRzvNkaylnL
4v3/25+nWZ+ovrBN8w9NLDyq/pGN5I0HbPN90XHi8ME8iCnhVbE1OlPPRZrWsLREf5eRhInobt5L
o1AJtjIm7Tgpk/hctlb9RMaYdZUqK7NEcLtHmuTywYpzncCnXJ7qhREfFgrsa0vDfvPX+fih9fbf
fmghwv/TWrsiSWSo/891+rP+fbH9+rf+WWwmR5MGTwV3PVXEi1PL/sTvbJkWdTun2i87zD+LDes/
yR4GpkYLCTXuxn+vNhujKAIfjKK/HI8o6z9ybL06tRxzq3yxNqiEWgGFflXkiBKYczWv+KAcTWGe
q9xOKRIr3cqep5Se1JrSv+ZKkPq/fU//YUv8ZWj7/bikc4E9FLIg6SR4N41X9XCVjhRXWV+SIG4p
YcM8OjD60k493S5SAiQTQBsU7MdFt28cVZJmmVfctbMEIumqItmyUI6mXYvYjnHJmCnOmVUkPxbi
+I5J0mIzr9pTZokMJJTRvYw5Co5tsQzhnz/Hm9IUlSX3PETnG5Aeg8rLU39qDC2NtLRE4oTUQVlk
H5RRemXC3aCnPyIOpQ/10cKUWpSHWZtAHevNa5MoAcqkXYL8CqNGzQPhFs/MDb4hpZ7+OlHwW//n
dBf2wRclDS6BFw/aPvxvJQ238jWFwByHQBa+dRnph07p3v75C/xPz+AheKW3Vc229/IZqBVgsAzo
V0nRc7z/Ie/Mtts2ljX8KnkBZAFojLckSIoaLZOyZd9gSbKFeWzMT38+yNnZIqWI2/vqnHWychM7
UgON7urqqn+oe4kfRkOz4uNRXigar5cbrwJFSSPXIw20wOAfDoNWt1rQa1a82mldD4sVetHuV0p7
G7et77u6vatBfdkUHtfxpN1mznDipvTmZjY/AIwLrpkQFd7wLqyCIlgZAwxwk+IyxbL1CnHKapF0
2LEjROie2F9vqKwvL8wBwqkED1G3j14YH0whATL7HrJbcHyq6DHEoWMhA2da+Kl9k7sIqNamcYtt
7zOac7uPJ5zO9dvFQ71q1gWcaRmzQsnB4hH5AFwHBaVV5JbnqBVcp8qkrwwCS9CW0y1eiLd4++ab
rCspPtrpowF+S0TpZUnHdBFmJWXgMcJ/Q53CNZbUxqfWcK6ryLylM3TpKNb1FCfPKjlsHjn4HI7o
0o29giFnS3ETKJx/nuGx9wnkYQn9RPvRpXjA1OpsBOOL20kkYpFP0c7Uqu+Jb+2lA8ayNm8dlZEN
G/Vf0aOCZ8aPNpIZiwocjjePhvZXvpgfg8ogxhm5ve+LQizKQbs12uAR/AlIyVb95oxA2Lr5r8wE
NA+IkWZl6UBk6cbXZ5Yc9GUYM1Qq8xJ+No4x6A1NtwYAFC+S/Oqyyy7pLdzGEtmNlzfTY+Nq7Krx
wqDFT+MBdlWu9MO5alfJVZTI+wRFSYHw3YAm/ZQt+6Gn2VoABKKRcl2JHo040/qm2DL/2qCU4WFJ
7i4LjZlTMgx1zQS4Gk1id6MjPb/Iq+zRSu1rLgbXYFeLs0Qidp8mrbseTWdvzUIqxPDpyimNbmmH
YQlYOJhJa3nnceJdAz6YrxkudwsQ5YvJFrdAUh6TUXyBIat7ri3v/SxMVxkahCDH8vFu/q6+nV/G
Dc0dWnHhTev6IJVsYMYlzWraHarXlcYMlK6BcEoc0od5kl+mcTBQ2IodWswhPjp3diD0lVowCZTJ
3DVwOAQPQtVdOpF97YbIH5j1CBJvBElPAf/RyKMYfbGmXKtQqKBW9PpK0i1a91JMZ0VB8zO1TBx8
WApkXuYFILd9iGfAuk4YKZ5cmNsB7ZhKEYlnovSyREaNskHOEVdV6bPTl/c6HIKXZ0ffON+ouQ2g
ZcJsaJge+k5/xnZpX2EVvIZ4U+Biz0vS9H+2RrAxSdDry0ACE+Um2v1so65BJG+sgEClt7SDig0t
TH0VCZ4bjPW0dn15j5OpCrLVSujCuiCMoJl5mmSe3DCCMhcDReTGxKrJm/sJGBbYquhZCYx8U4z1
fTPYyWpwsCLtFRQUuSnmi7weOF5p1uJ+oN26Gl7soPBgDVCtBumeX86bRkUOawOuG45ByR/P270N
E2SouFaC+zAknlc+v7pFzXjMkmezY5OlE7obNbDKXrvS/f6mUt19hnT/Apm95KrCKIwmQuZuIlos
M+3idvKx+6nk4ID5sa7zXAMIlkY2jWP3WhvFbRqzkXQreISzpK/GQmMMn9aaXlwiN3OvKMzUaEdf
0cTBeaDng2konQGJCJV9HFnjVWiHQCgSbI/Mbt6i9vTUCQ0tNsfZq9MEEyxT9twxwCXwJyLAvE6m
j3nAlqUKuJchWdUcfJvGTrxK1vdxpt/WUcmmxYsWnA8LX/VDBBRrnyK/gq203pt4YiuYvxqEjMmu
h3OoIsP5gN6DNwsQ4vWuNguqjOG1AIPpL42Az2lLPo0peUhVUeIryGW0vVLoOF2ZPpoNoopmFtL2
jiBKKhVCiXVXZE/ZFG4TA4KFW7LjZVzf13b42In2vs7qe9T9mXujAFRh1QRlm3VC2w9TbSd8TqNq
Wr/sU6W091mqThv0+/BdwlB1WRd1cVY6HbsCH29P6VgkTqfshzFhcSnuuZukcNfoyX/ujDj90tk+
xq2qH4+b1PV/wlNPPH0Qykox+Clf1W/TBMg2R6b/gF4c1Yc57fPdOTTCM7gUNr7bmIub2gYce7XS
Tbu/0Rq+Jd3H4RNQW56k15IVVDsBswC91L5maftVQ/+Oj6KcBRHW82mtPIxDEH4STqbDpiiKs1Yn
4Ccg2SwqHGwb7o6XYFXLtRZM+mdtikDTd8pYX3T2SKQFEEjrMlTgaWEMxE9qrXKWGTyyBkpuE+DH
uqrHjkifids6pJBCnxxWTlImNJ6jWH6t0zC8SZQ8XZm1+YARaeIZEKC93pWOh6W5ek8lxbyQQ1Wu
/Uotv2mKM2yc3B+vlBT1O0+Nw0cZKMlnaEAPkBHaCDO7+fvFKhhG7M2Vld5rYBr7yvgBSrA4izTR
LZOAzdKllEdyFMhXw6hLD61YZ23DE7in3vQ4DBzPc3CCNT+cCw5sB2Q+J1V9/3Iskk7egqlGExyB
w6VU53Mx8esLHLqx2XbMazGxDnObbVASMATaUp4O2ujC0BplKWV/Y3ZN9L2YQUIvMSKJrGtVlvlO
yePHAMQjV1xa+s0sIUyIn8+UdJ92YERjBDS8OR4PExpiCJE+t6UOZKi9qgv7yQjTb7mdXCQj5I5p
IkuQQ0hukWdUjjpVX9YRGw5yXglanwJToabWAhdv5OWTbLwAJJRc0u3nouI7tQfRzF+w6bZ60u1i
2WVrCJKt1wzm8AnWFPKOveRGXhLWySjvHXgsHsUh0EcD+zFNquk7pDMMJsPHKGD+kjp6ni1Slxro
1sXLTL6kCxjU349W8ohjQ8mZJRGfRw3yRKZoHZNakcHmJgauG6oZKfJxooZ0mmyhrmFdanc3YWR7
sBHOhdHd+glMC1RQUnIC2uFqnXrkBVdWo3zR7Oo+NsKNneRIghmcq5MhSJ2SGCHFCnfsah3X0y5A
9GsB20ZbAuLa+o36hKuFgum38pXaCgjVGmVjp1xXyLmESnCnyfZHrKdnWmBDZmV5gRZ6LgFEwiOJ
zi1QJV6adsO1qTTJeTayp3KfACpsa9vPOXSPKtpi/vZmTI87Z/fHAn2CLCVSySa5GZ3SAmOGO/cS
yDrZG2TeZdTLadk7oKKyMhmWSjmJVavo5x8nxG8uihayFzrCTtx15yYGdYXXdylUJkpLRo7i0TNU
Vrjhkixp1nayg+e4JIpxwD2fGPG4Is2HpSUDVZgCBJf7Y8MHHZBmU/mpQneameLjGCCdSDHhkgUr
KadvrWMjEUl0z1Jj0/nO9ZzW6ROBNcPmYwl6iEQaORxIN+kzPTFOHr5yzaE8iuRxCDnSMvZylztU
mTpPxna9LfT0uSrre1GScbQT94tY3A4O8daVEA6jqCQb4fjVwyhddY1xC9qIhIy0T5k4wTOSYamy
SwBCJytUgMdFiPYm2ROXh5fcqqsxxpx0Z+9IihUK50SS1MqZ1vO1UU+9Lif+Ty4090OsyX3h6iJa
yH629AhmV0af4/TXCcXdJ+gJ0D2Mr9UwhMDDXFkjvtyXBLiMMxHoAG6W7qjMCdaMQEsesUNMvDnt
EVF1n1hTsyKJ9c9BeU3fXz7fb5XX9kXGv8d2Aa/10v7ZE/fg/9r8LGbjWXn8q+an+V+mvcbF4NU6
f1Pe3T3gRPvHRdQ08o+H/Mcf16Cf5GHxjZ//V/EN0zMKvXRkUA9BHmKuLvy70gsEAKwDRVubku68
If9VfMMiF4YgVTx+QhOz3NrfpV50NwFGOCo6LnP5Sv0t3U39TVGA0cHxEPsRRratF72cVwWWuIxG
tMID1YvhzlxZhZF8FrlQR7ZVoH+CDZRuQqcIkbqCIgD2uugQ1Zd+Gy16m7BNTt4MHOi99lSA7Vyr
SE5+iVCDLzBhNMdrvdEAs/f6VBHbzEy5AOX53Qm64RFBBQtDs7BKlrZq1D8NzfhLFfYfi0dvVJ+w
n7cNVEAExwvTa88v/+rlXAtkQt6DywtMK3oAPK49D5qlXMY4PiGBryD1hVWstlWAl+9cKkvaAgx1
dD9V3dagSf4XVOK3NtT/B/HCF6mNf+6PfHnI24emfb1lXn7i15ZhNdIBQaQQVLljg734e8ewU9hM
c4cTrxVUtebv/deGUTTxp8oXJoWgC0pj5VWXFbz+ny91SlIL+ikGDh+/U68+cjGiRggyiQUxF8bR
rDWPVeDiXod5nDn1rjMH66vjG+MSAXIDT6IwP2ucpoTzKMQl5lT6NqpxfavzRH+wM5yih6goYLHL
6sqM7ekmwIrAE4GYbtjt9ob6T7FCCKJ5fBWe3ql0H+7xXw/sMl0qXqXU2Q0a2q+3QTCpUWmGidz5
o4/2xzBNMM45BAtdumsN1rL38XgvGI9/lzr/GpCpARxIXZWS4+GAsTRbZ0pVuUN7Xf1iVO4NFQps
IzKlX7WD8zWBKnveADQ/c+1oVnHvSaOMLl293OVKpbtKmkDCSURKFQXJFunWQK5A31RLdXTkonBj
e42aqr1BdMTdilAfzz5+hcPEZX4D1FXAhGkczoTvFx2zV5FjAr9pJGNGo5krK7Q5urIjkNOlK2S6
GlN7p8a1xICsPVG0PKoSvwyM6BKxT2N504U7+lYKurfQIIcGiD2ea6OiRxs9KKOLrG3acxdGMnFX
abdF4PdnCF8pXjahl+E4ZA0fz8B7T8L4s4kn5yFF1KOPmOLgVfrpzOLKTXmGaL+4dFAmuYzaqjkb
TUN+ap1KWzdSrbc2xbk1NCXuJEBWTz3JOx/D4aCjsQnSUEfQ6XA5lcaQaPibTLtkLGB1+4gRuH3b
31WsoI09psO+HiRkuUF1lhqSFdfspmSVRRg5+13lb1uIWrcYaqdfdQjXV+Akui/IKqfXauCKzYlp
e7vZMGym04a+HMHmzQcUma0hBpToO6fqoys7rMqnEG780kS64SoU2LCIobY2rT/mu7i06nOry1li
45Rra7VIhrUoYJXy19Em5wi6gcmnnphQ+s6vmirzGhMoo/JdUbVQ4RscXQSUNqiMII/FzuBCtwFW
jK2cjj1DDJxh8fvTMWMricjESgORg8NvB94sdFXA8buuAm29QAohnxZWEfaR12RwDZcxoh77Loc2
h/e2qn7WTWRa1xFiQOnKLeu5vaZFulxh2dQOazuoTOtCiVztayfAeXz8tHND4DBuzU8Iwgugrk1T
9GjJS4odUxNqYpcipbypO39ah0ZXblSsRGD2x/pFlU7jNlKc3MvgeZ74Li8apQfjz7p5XNI0iz6t
yfFyOFn018s2NWx3J7TO/JaOyNKcd1mAQHYBsmXX+MFMusuHmSTkQ9RdVCn4IshnqcjBpkvze+am
I9aHpeZuNb80wcwog38nkIJ6clX8zwGhmBdJptlyaSUjNJvQcoZ86cAZeaLsiaVLizYFd7PMaa8Y
XrSL0e1juYWohySi21ZFhRIG7NxFhkPF5DWtPk2ISeQZJjP+YOw7F4Ak0iVm1SxQRkt+VIXm/rD1
ABq/P2ZBsnScRO5tM2QrUFmafibCQl876C298koDHSs4tE2ibsYYawYwPmXarXF/dvVV02clclSO
BoYe4n3O9SjL0BdJhT2sUE6aKO5WNeJYI4gbiXB4HV+oiFOXFDhrgDYZWXhyFRdxUi9bW1IhB1qf
mR7V531s1ZB53DaYS1210NZjrev+pmvqePCqBN2IbWn28baHYg2NQM/CG/hxoPmhiJrqEu2VVPM+
Xo7aHOwP14Omo+nNYuD2MEuYHa6HIDe4NsatvbOywV2hL6ei02Sh/auUxvfC1LNP0JnxaixMcwdw
JPwxhOkpZbM38WyWewZcOQNBcOM43hNaUYQZGun2Du3fZKPjbgIvG+xWh3fYWWbrpzq+b4IT482A
WzFjzbkYHQUnGzWssdFDZ6coUX+WhiltjCKw1447ncJ9v/NqYFQFgZpiCB3Zo6GIsbFi9pO7qwv8
MURoButE0chTpB6sM91N1x9/z3dejWOMxJG8iLRRzM/zKqnIqVvSmnHcXTKZwXKqDAQ01ORnrqb6
iUjy3ptRRQZVoRF0OTMPR4Kxoxn4rvm7vtSKrdq70G5LBfNKDgSvx73yBBXhvZVqzpes+caqcqmd
a0+vXo2yFU4Cbg5GMNXnLl0tVl2UJjtKa7izWpxoUdPaiwoBllWFYcCZm8Tlqe0yf6+j7TJzFDjY
qDWpYFMOHwLv+E7WSCntxgjTG1pgIF62SVVhZJpGyB95JsJDhDLfmOQCDX+3R4nKxbyyzm1xN6Gg
Bo8I+Svz1IMd1jc5cDENBBaN6wsHIWKXRwtNiMxJ4Ia7OxOW+XJw/W3pu/lWqyxtJ/LEnh3FwBgK
v6NzYhdk52N/3VmhdWIBvk3MyeeAl2OsgFokTh9H64LoB2SLXvU+bTLlyQ9kdG8WrnFThaL50TIZ
KFmNDZXWKk6HB70gzME1jALNo7uuaPeudJMvYZNCRhVm8CVWIniNo6342lUiS/VOQDy2vCiEGrvk
qubbCItlTHOZGiJYRmU55ouP99Tblc4aRxYTRZ1Z0v4NPaUuZ6Wr1t8pIV290qLe306WtpZh3q4H
UZ/aw++Nx7yxzoErgSw4ymdakVpqNln+ztXrs7SQvhclyecpym5qBD5OLJx3vhd8XTCbXAl0C5jS
0YrWtV7qIZItu9wx0l0hmuhGn2VFejQXlnk7BtsQu1wKq/pMl256TwzcC0SrP0ki8xX+fiFsaL/b
pLqZnrmxhahJSBV0mSFshnTgCPDVruW0SlETuxgtKooCS68Tr/HenLHcZnwz+C5SzsN9mZE6qK0S
BaR5QY7yh/8di+QfstMfU0TdPl4Pb2MsMyYMTg5yOHIocTgWPll61UPf3SEj1SzzTHwPexTSbFN8
+3igt/cjAuxsk8tSgCMCQeRwpL6VUFpNN9gXYdV8r8ZiehDmiJtZgdyDshwrM0aAIkZShot2102L
QGus772WudMi05SmvD7xQG+zBR6IJGFOFChgHQPBUKwABVbmwT61avsM4cH+UzNO5pIuY3ymxrJZ
NZWaXrZGXq4c13duuJb8nkL+HOnQPJ95OvZsocpt7WhSsK1yJM3DPSI//bbEGWRlInV04ngz+C2H
gV6Y6D1zqZj9tgEOHo6Sy1paSTVE+wlJAlQLaVdHbfJfLFuTmwsXOW5yBM2jpYQOC+KbehTvG7RE
Frkid1iUb6HoImDWjj8//nr626/H3ZMjlKoXTCPdnN/51Qk6witRnLqM95zYXh6oeYBfRWvlS+SO
am1Th415baSdbnt+6mfx7QTDGvJrqY0wVvtaXU1uM96leul+6hyleNTz0tha/rKyqw0YS4mYiJ6D
PDIbuz77+Nnn/Xv4OahYzOU4XNvg7R0TiywNZZpJ6+M9EpXnsYVWXmXLuyI1LlQzfdI1mZ0I+m83
+Tygi14VaDayjqNjzIyRAA2liPe9gzNlNSA56qetSmu0c0/ErveGouYIQBSx3flaf/hZ0twMMtFq
yb4vUcAKwaF4vYZuyKjR7Pl4Gt8bCijljM6nKE9kORyq1mPLNCWHM/lv7E1VEWysOlG2oY6EwMdD
2W8zElqAHJp8LOIxjIDDsYZQQ/bLaIp9YlTtrWPVOmR5x36EY6d9a8Gt/BBdi4hWHhaYQmWJfR/W
Cqot6FNgs2S2kXKHaCX5cgxYY9HDYXxKkslIkM+MswEdYdjkXjuaFXng1DeXfpnUk8eSFBCcZSQ/
5cAZDPYRbP4FKsP1N0sprce69rHX6gW6CMuubqYAaSoHs0FF1fobpansbRyOWXoZWN1wqcogTUCi
WD03u7G2IGelk0B0JQ6Ro6UHZy0jMDfjhRrQEsVFM0Lnox9U7EDBUzTrOlZjhFWssvqmZEZpIwkR
ht/VcqAti71pnaL0pBfdAk2h/lnrA8GxVbXrWKFiCqxuxt4pbZkGy2wcMXhALiVBFK52Se2DbrYy
sGZ/1yh25aWomtnxCqG6a6QZ7xrF92PkhMfxIm1K9Vfb7h/bHkf+D3MQxgOZxhLNIxTQ5w7RQSjR
cS6sEq0u91mQhRGqZBrimEXcxUCETNP2PU1FxJfbuGN1i3pwkkffqkdtWaV1fVt0dU/EEJX9dSJn
b7wW4u9ad6oYjIk/yC3iG2Kbj0H5JQ06c6kCWbtO6rAol2jyNNdd1bfpqnFEdxtZsfsk+4FSro4h
ACIMhp38rBBziBZFluoONoeNNqzsvonvo6FBO/LjZf5CRD+KTFwnmYsZcAt1a95yr4Jq7LpxY4i8
3huJ7j6ZecMxXMsWIVytK0tIQFmEms0Uttjdj2pZqhtL6VEvFRT5UfPQsmKdZY7bADPLam2ByYz/
pLywk9FR1a1FJNRvDXbEiDFWRn7FK0HoNaBSFUh/RlhsJEpCDbtJAzpNBqKW1w0fYFHJyLK2H7/r
2yBMUxCONnR+8OCY0xy+atkWse23brlXB11Za24O00rrnhoFWYXQGe0L1FpPXaDfRixK4yj4owhG
qZOGyOGYuunWjdvJYq9RtfbouftrHYnslVr34+7j13t75HOrm6uI8ARAaxxDROpOUwWCytUet7tw
ZQHTWLnoD55YMPPBcbheGGUuV0LRdmbO7+ELUUA2US+uqv1gJKEHCuAmbJVqFfiIs4TN+DmvuGSY
kOFWH7/dUady3rL0pQT3Z3SsqHMfx+NRQ6Yjs225l6QdD6qNaKJdqOHVaBus0knRPpUJ+gUWwc9L
rMS5plbq/kQayz6L6sw/caC/+zhsGbiKcy/tzYnedA3ZY2o1+6HUho0RZXu9RlneN9v+EcwQa1x1
xlun0PJ1PXNhh2nsblGHVM/1MspPJLbvfHp4jQBXbCiw1BeOVrYVG3VuDKrc9xWQEOwPQ0/NO/fE
kfhOrEDKBRa2xkLGzuH4rlUhEozmRtfvoyjWrtSgG5+apCBpdlOjWcWFNdYLjrwKOK8hzzOedVxh
FRWCTVExhV6kaspBhFpMQT1VaWtnWyF/g9CdH01PqMUj6GUCncQSKKhCy5vAtl0MqjJmnuPzH8Dq
ujI5A/NoPvlRoy31RsmAmYx1XJzIaV7yo9fLnCIES43JhC1CH9sSh8u81RwkJqNx2OP44G/0TnJq
JlJUKF1P64Y6ziYXUl7yRe6mvIvvslwvNwXCnIuQrtg6C+KRkkVVnA9+3q0RaoIQFvgFCgDqcMJy
66XNdPysFLI0ymVoeOCwcfis7qhZyKiaWJ2r9vglrYZuOaZtmi6iJHVXtYwVL8HqcopTvKJZK5+h
oilb6ZTFeWUH7o0eus232Gyb9cdb9jj2zXM47w22LHYsjnqUg5ZdG0rTysc9ctvBosTz8KLVkdN3
EGT7L4ZiPTqQOF/y0KPPFcC1s/JGH/dtBKuoVM1q2aN9tmkFZNKP3+r4FJnfir6HACtBCGQNH862
isaHb2bWCCYoCpedHcr92PvOMoirDiPVxLkCP1GdWI/zBj7+xA6EFCpCiJmgtXA4qOZWbWTZHYNW
Bkg/QLeL2hiAqCEp6KlVeKrE/Ca88ZaselyQCCrINR3fUrHWSBvZNuo+k+64FiQnA86nUXgJjBTb
cFTCNurcTABgTz2k0+66umjvSpG5V30e1CeW+Dtzzqelwj8r6QDGOVrhLRr97C1D3VOuTLArb4fP
BTWHRd9n2rqq9WFlDv14Ys7fiwEgLPjUAAL453hfObUhEr10pr3pK8rF5M44YSOqZvX6ZiN101oJ
DE32ZZ2na3VK1L2k9eZRSyov2r5BcCvVLszaUG/bUmm2ilpiqTD1hVdZyiklk3e2Go0xuhDgLcyZ
X3+4PqaEPgg65dO+DqPsS1y0+pxdueu6AwL98fqfl9rRUiTLIHcWLA2QJEf1i0LDUqM2Um1v2O20
pUsxblM0qNZmCvQwGDuVOwYuE4OfNCfyt/krH47MdptRWCptbiiXRy8JlESl9uxOe6sb1fOm1sdP
fqw8/O7rQaYkbkHwBYUNxOpwJschzbjipuo+hwXjYXeRfc1VA11go0jWAt/k87rKuussaLoTGc4L
m/Lo/V7u6nO2KPAGOwpiYxdUfhYJfV9OBh6xjmJ8Rg0AVkfotqjYZ+hw1Yi7TupDLgMy5waTst5r
YCq3S1/N7BU9TFVdAugXLhszLO90GWJtR+u/XhYIhiGoFrvXoPBrlEIRl30edDNDdFRxpp1jRe2u
L5RvponEplODXFizDAJtCf9VPBuTWVygjGJO56M1mSiIm62LBL/a6ze+TKLvLcqG2zoC5rA06DZ+
aUYTLY6Iu+JNiiAgeGLQK9WJjOSlbnIwZUjmoexEIqrCseQWc/i1HIRzacpZyV0s1eoiyXUQ3kjV
DZf2iAfvKnTTSr9RaGDgpmIbGay0PFaXhZ+l2lJgEI1H5ZQhIG5UCEou/EbJm2VnVA8IHMVz/1Z3
AKKnkYJzBEJHcd4N4NHDPisulKYBQQELIdYXWVZ1nydcyYK1qzfm+ej6+MVoAKAjSECdPKOp4nTX
Rl7F3z5erS+B/3AC6JQJisYCuiQp8nxwvLq+ocTUIwLfVHeIxYcXZZm1Z5oZF3hxBFYeEIwQbFpk
0AuvueHEZ0GfNhhZt1YxLo1KUSoUvw3UK2skUvEVmNLuLBgSd5V2yNEvIEtqpgdwc7yCrkXX2YYX
WXqO0oePBi0qiE01ZnndRBllic4LTm+9RrkxsyajWWu4cpy4t887/OhtqWeScDMmdw/16HO3NTfS
JHCKu66rcOrgoBELvlx47keusWGVFKvMdOSZGoRGs5iypDoRgt6UtM3ZWArkA+0qrnNA3A7nG/XX
VrYOBqouUt9nSZFVq8JukjMkBU1vCsx2q/SJ3BSOzrmcimLZF1Z8G9rZuPn4y2tzNDiYC6zBf/Wq
QGPMSKzDJ+nUIRJIUg5YufbNNxsKCOC5JkTsN0mcOF0GJWKRi0Ev9ftJnbgjYUYS3GCGpXfrdEyb
2wxl9KWajOl/gYn+DyUHPnKp/t+Iep69Zv8ZtLlv6+QX3nn5gNiA/GMrU9DP8jWKkyPzb+Czrf1J
BgnYcKY8kyPPMMq/gM+2/idBbXYYpLllzin03zhOXfuTFoaBkg41UFLeWf3iL40L/opASDcM5iPy
cLRRfwfFeXjQg/Fx5xIZLtT8KpLO45r1qIzIolFgXOt90nwZM7TTNVi0npVS5ZRN9NzVcflFaMWJ
E/gwl/lrXNfi/bjKUOjl/V6HtGm0875U1GDNzCFVKQVen9ColpGat6eqvIcpxa+xZighZcB5so+T
eaay7bpuDNapM8NusGhaS5SjT2SS8xP/e6v+GgUpIXgbkD1och/lFFIaQFs1RgHMka0amfVr29eS
Mzhy+XkfDtmlUvgr3djUss+2r5bgp1+jvJa1OUydX8YmOtCiAdEGwfylzP3qgDD7lqo1CdqauqZY
2aFxWSvTVUHLeq3XkbaqS/R+Ph7ynQ9ImWCGGtP8IU4eva4wfXjIahqs8RaIOBdUwfTG09KszPDm
46HemVlrVp1jO8wXg+OGgOuGZd0raK4rsow+ga5SPXfKo62PQOKFIsfvZqJeOFOXnqWNdRL/+c7q
YQey4XTNoNFmHCVsliITxjYhnHWFg0GTPW3UsRILZKScs4wmiCd07AOdfGzXUYyWt97gr6Q5OK9M
yT1ZNj+kRuaJOXlv+mHzAw9iXYOlOErQJ80MJWRryNdG6q4trHiWHGcAzoClnrgLHJUeXlYX7Wqa
PtTmCGLHcDytivsoNaJwzUW0oODhm49h4aTf0bMy7yAkdp5rgW1Q43zbJpc4oKhIEFLYj6qhWk9d
g8SA5iPc9vGqeEPZIHTR+kICaFYNA0d0lCcg7FEGjTQIXYOAh1FjS7gYwEUXHuLVWrGonNTZQ1vS
rkU390PKHhekDE39a7cQ/Tl4NeVraw38FI0BqpyGNS2DPC+rS73V12Mu6BA0WeDJ2jEuo0B5xHJC
LENqjflCGaL0LEZiG2eiBrrEx6/2RngI3SNEOKlAuLRbgdAeRUcueSGJMF+3htm1NrupvbDdOIO2
WKgDWVgRqs+DX1gLZ1SGwaODhQuGO3b6oh3wZKGZEY5X2YA3x7LsSvdrlklr9KjD4TWtibE4cal5
sWY+jH0cXqgPsj+JsfZxEWiofHMsBhPl4ILyF1DBtloWeU6fzKyzi5jm2We64Rr+tlneXk2x4XyK
9ZZOSDz6SrLQuBJB0kYTmefXm2BBdtUsDdLYmWfsKtWSWn6nLhwj2JXF1H+KEPe+rSGhYfKFyOYF
3QvzE1zC9HOUmssgzddBpDqN57eNsalCqZ+jCWJ+BnLhIFEuB2ils5FPP+XTXSJs4y4GtvTUGE27
1vCEOhEq30YQl5oOBzVawcCNjaO9KjqzMwNh+MiqkVOm5agCaaaI8PGieX8UyjmgMUAhHZ9y5RTG
vuKq/srFms3r9fFnUVqn/Jffpgu8ygyFn42EgaHPYenVQaNAoJ8QmvQxTLEatAwm+77WBR7i2GR5
UQdXtC37eomnhX7iiHtnZKoRJAP4GHMGHDvLAtvAVwOixqoz8UsEspPg0pTQTKxlTtZ71wd1+AVA
8inz3Dciz/TXiTEsbzIIk9bEUZipQytSwli4K1HQelmIwfG/iK6WD7qMEwNFPByhM01V1knUZxDn
kQ45K1AIMJdtrJdyMTh2eRkmKuZk0r+seujjaO4PzSLJ03rv67Fy0YW22E9KgB+BlefhZyXJsycr
VYwbUWLUMYDpOHGxeHuk/gqcOCmDGmNxHn7HoRTVSJvPxSfU7dZGDxgTYZjPWFsQ4O2hBWaKIqHQ
w42r4IT18Up9f0rZcLSwkLClAHM4Og1yQzHU2l0VSdluUAEPl76S1wBqS6gsSdXdpEpW4DqGMIpC
B9oTGF+tYdKIT0g9j6sqd74ktl8shhAij6FPw8LG4vGsLAxr5cq+wkem171SLX8GAhR2m9UPaVQi
Ba8L5VSsnr//YeyjV0K7kTg969a+YNdebYlgGLQu7Gx7VQW6/XkinCBO6kYXIWKlDWoxSHfNBJdt
1PiGl5oVhjv0tvAgkcGXj+f16N46H9RU4ojEYBtRwaJccDivQ46iY5QU7JEaZHeptvVDh53hwhIt
/epJU27sEMUuWA84oMq6WySjfalhhvT5xIPMEe14TmZuBdgkcDBvlpfL10TcJORBqvoSY8ktJrzq
VhNWdEmG1uDlYqnLVASXo1SMM1Gic6PFBU61ER6UHz/LOytdsMJZbBA8NUjfh3MSCrTBFRK7VSUL
cReElO4tduqF1LA0QZXP3tiB9uBGzXiBGk91AhD8TlAWfBGiJXc4wzq+XiGz3thxxeiAXf0rX7rO
WmSQl17e8bf4lP/hZbxDJq+tf/5x9VDKP9Zt/uOhiYr8/wIZea7c//O1/BcZ+bJ9iriI/swbvtes
WsvN5O+buIVqrc0eoZiI4Mss8/f3TRzVWsrNHCzkW9yBAW7/fRNHmxbRLNJs8mz4x+6cHf9LbVL8
SapDFspFyIIVwFi/of/3UlV6vWnmvQu796XOOd9z5k31KpDUo4ltiC85RzGcwnEucldyUFBAgnbs
osuAzYRZ7Xr6eJepVmOpMELC28AF+x/2zqO5jWxN039lYlYzi1SkN4vpiEFmAiAIiE6kzCaDcum9
z18/z6GKLRKkiFFM9GL6dkTVrVtFgWlwznc+85pzdEyLHxk8rxLBdmu+wovLRgQ/15f7zg6jfTeO
xX7BSDPzUP6HkALCp79Qp2bPKEe/TBFhvy+wp74MIUZeS1ieuaHN/P/Qzth6YxtgQtzXzBI3j3yW
17k0zIXfGfVwt9gF2mFyz7kHGm87deGvrOavlva/AlVYFYfkn5f3hwZF5u/33x+I9h/Kr/fhc5lL
8elHpr38DpV7FOKRekMBFRjs02XuCA44NBYVBiwB+vcyV97RYAZ1B/IOieaHNtXjMpffCTqWLjIF
qg6B/fuLZX4cEUUJT4Ug+vgOKnyy+PmTVQ5dIZzq0HDI3sZ+M9D58cdp6n4tmz9ivx7GKE82E/QS
cP1CdsMg+rN7jzfTGCuSiUmiKwVJ8CHGJmjys3bA1tQem+hzGumStIIfUZuePCeT4i8D63ilAE27
mOEozuslMCAAmJU8tL6J5VO7nrFwxaPEpOHfRjIWdZWm9xc5MnA4atj29FXPgw5JWMSxNuGUd3eI
SiOUjLqUbHiYvs7IYmRK+3lBbeWywTARr0GE4ckXANReZXGPCmGf9Q2sLtMBZWEoEmyyVkbS4izI
gNWfJej/XCZse6RThmp6P9i1Q8aD6rK0mUw4X24d6MU+L8K0xoCq6DNAM0FkMtji8VwIMMvP0Rrr
0FXRNEPZKIrvYjr4GBu3Zn9XI1M7ug1ItmalS8W87zMr0c7mttHP1CRlKoSsC7TFXB0WhEKNelzh
foLLm021ZbhlGg0MkLE608X4Vl0NiC1/gJi7SF7J6fg+oi2Aft9oRFfoxuFxjNFbsKbBjV8knDnm
63qXoYoY1ykTK11K1ffSkKpfmQYwEc7Nyf7+ZBO90jc7WoxCbocZOBUrcR3YxjGLIc2nTrXmRkL/
qHW27bSosE+i/lQDRfTCni1GcRkxtGXWjr7hsU/MXAR25/QtYPi2GM/S2LpuBwWD9E5vz22yHzcW
LnRkQL3Ltk32U5DEJ+6BTf/iFkSXmXkGvAD+9/m2w3komJy8kmAARO0hmxptG7exioxMVPnADtQT
G1AUEMePTJDhwdmKomB7fj3QhlOqY97rVvmEqOJidB5Yg9QtCks5UcscC9iKbxHVJK6jAuQF9X/U
LakroEWtnQTujO+jtKnVuP0kzYOpruaICd5Kw5FoQX0xwb7YNNrLMpTlHyPIDma9WaLtsTGNbHcq
yuGiHrjvTQCG3Fnp2hC73djRREEPvY69iu1ju7OZYPYDJfMcMfb0Kioc65Cg4/4L7fVXB99/+pxO
cDP+fOj9yunu4uIbCd3DyddFP/7bpvlR3H+Pix/ts0RP/KrHE5CRC5wXS8BoBGXUYnE+as0o7ygt
AGzBqXwYqxARHrVmtHd4D4BAhJEI21Qg3B8PQLRrkEYWzgWkgCqTnL85AI+XK/1yZh6oQUHUgklK
S+H51ggcqbGlRYCkhwLs9JgXpFemwI+6ldPWCKihmHGrp5p2l6DYiVHb2NqXQ5e1t3JXrxjGA2DV
SzVY67jL4jEVGAlihpa8Kqap3KNk00WuIqnhB9vMTS8ftf5m7socC0zmrtukVU8Ad9Sj+CaeiL3H
HIUWs8xfIsw+OdNx52WDJkXqoViNkeps55d6hQ9okmiRa8wtLMO2RYIR3QZO2zI7aE2rX/V2lW7Q
eGzILTt82xLlMuH82YE5V90+Um5xSTX8YGnnbVc07fbJUnol9B+PTLhn0D4KCwHOE6Cao/mF3YCS
luYUjrSW5+tuXCY/HPM7WoKDG+c1TrBBO56oRR9wJU+ionhR8A3AkUIN0kSm9fxF8SU52DHDanAg
0d+myXxXYfq+UnpQ1qWlX6gmnukJaRg+vla8rvrCOVGQPkhSH98CGgRimIFkCBPJ57dg1bTBrYFb
qIrG8k0NYPysK8WnScHOLzMi6yC3COtFk7lsFCnB6mpWRW+5Q5PcnKPzKFaQeavSb1U+StAfT6oy
HKEdKNCAtopymXkkZxUCbc/vcLEKgBkFpqKOdhcPhx6dvQaZwKFTVkPRr+qmxK/nAgk3d5GnHb7R
e/yRMcrAqTV3U1irs7qRwnxDD8ldetvD6RRp7s8znD9J/1hNAncuYcZz0/T6r0L8j2nn0Sn769bB
SwFgQzDkhdRzHZFz5Si2e61UKqBzmtwrCyvCp24ZUaZcqhNN0RejGSTjARGBXSXBIDU/hoPbxqA7
vaMkNMGkeT3a2bk8V8mmHEZ00PM0OCA997XvEgioKF3jvrZA7R0l9EXRwlzZrWluumDITtzWy9fA
XQmVEvIMBbyKSA6exAOEZBtUGLkrpwGmSoqhumXVNVtibOnNEsrsD3v5r87Kf4kiUUxZ/3xeIpfY
xW303+7iJoyLV4EJ4hc8npL6O9ao6GlQID3Tl0LmC4MNG/s/klXj14H376ek/U4gkOjbIqIEZcqm
U/J4TNrvHhQS8OygLcI5+lfH5PEaQjUd1ISQuxG2QIi8PV9D89I01dSaDnM5bEX1cWrRljBXA9K2
2fzzyWt65Sw4SlaZ/TDUBAkIlw7KAw/x/Fpym4GJahPGfYWBQWYYJr5Zy5XvRO3d21d6mMs+Db8P
l6ISoA2FxsoLzZlpKRxM4nisZYzcQnPOB/uuyEH4KbOervOmiXH/Gc7MNJAwpK4+zdaEUqJ8iUJ0
+SXXfg7htUS95hsS6tvBjLc1cywNCCuINi33T2pYHR+T4n7pJogBCPgJUPLPX01iN7kxjooDiQ31
xqWtme2OpQgizLwrJZg9iTPGf/stPUzEnr0lhs2sMNQLsNYA+kan7mkAyehlZT2Mea9KqCvturwK
6+FnhhTFlTk1hzGI0DqVxvIQxRLW45ri67PpHAYaYOA4EW2uEi+G5gZADMCHrLlai8NqWB+q4W6C
irSOFWV28QOhibbgdGHkRe2ijPllNkxUYavyZmzMq2loJ7/TkXmeEb13e3xWfcOKN6khR6hNozyr
VMGM8aqD1URY+W1ZZR9bUU1OQ3wixzrCaht8DaSNeP+xRIWr1nHqAGEvHOO0c/DG6ycP617D1eYU
z+0cY1TmE17fhp/yrjOZbwZ7OcC+uelQAqhCc/P2t3MESvvnVtgngmDOUPMYuzOXKShLxsqe7MTl
iqOm9eaKmWqS25y4dUJ/P2O0FKteGin6SmmxQpz1xh2N+uM4mM2JlOZFpBBv5vftHLOvHL0vrRQe
oudIeGOGWh16g4YOmNbfNePyt8Nc8T0IRyAyRxmZhRe57hTmFIaO7dUIuq6cEYRwWJmnYMLEymf1
88PXjYswkVmzZVxNjo5QeJhzpsTQeKUsgGU5dV80JJ9dZOJwTZ7A+SWLN0+2tqsiRlqBAh7VqmaP
5owFGrg1M9mNSqvdmFN+XWlqgYjcsKX4/q4VPdLSzqHPlOCwjHLoYlC9Dgp18Ksy3ki6ZAo9BGnl
DGhEx4NbR85tYygXtG70c0R7a4/aBaPkEPYnyvOlX43JajbzDpl3z1biHr5PnnsoqTdeLlmMuqPc
1wU62cqCe0lOvqfF+DkM5Xpvo4EtOeHi2RNO5IZDSEnj2yEul5Vt1gr6WOgBc53ITwscB5yhOIVc
eHUtU4jB/BV8J17380gTTVk9mjBowLNnM0hf+KHhsqJhUG47Q/oQDVF5rsgokJD7SiuEreHLTYzx
bHfgYyfSRxFMj8Ke8DikZ0L2q6nH0yLLqfoOV2rbsxqbRmM7mkg1leg9f3PGVdWOOFFE3SkVtFcv
yogKrC0WXNDXn78BeUFMqgq5aBFSZHYOzuRDt9Kb+rDEDbimNME27hSk+dVwZgLFYwMJbPfxCLgY
mdEMdcLxDpq2ZSbj2zOdl4F3WkKjd5EU/ALVQYJgbH2Z5RTlv8HYIjQcnarJXhz+bGhkLMmE6BXA
ZDrqHgWdsZRVH2JF04y6O+fYgQYy9MbIwqQD1g269bQY3Dqcml3wIILVdravWtL7iqxkBxFeKntG
0civnyhRH6xwjtcD6xKInSiEYKk9/2pS0O0hRE3bc/LPmlVnF9n8fk67lTGaa0GTYvPIENJ07UzT
XMRY5gPQZaIF8jp+ktNyS0POKEUeVjO8xVVZOZ9bCHtu1kY5etzXsdq06IEnzmZCuGAlwaF2MfZ0
NbtHMTA51PZo+1j1fJ7iGfvqplqZ6b0pwzmUZlYHEvTpiHblGAQrTQoLty+RDuukulqNZnRP31Ve
Rcu8bktl2VvhRW0ViHrnuYqqfXsuyXXvjTniDRkvOgynxKODbXm4IsBgqzPmSvoJ0NxrJwWSEqih
QKRDWOsoqDLRqoo+sGxvTJzB03qJMVfnq118iwdK8yuJ+aui5D99A08Qg/5ckNzevFmL8NnftQhi
g7TCYHk8zKVY6Y8dO+OdGJ3Dq9AIibTP+dIeO3Y26tCY+KJyRUZN6GLrPtYi1jskj6FI/UqXaAr/
TctO7LNn+1DEKbrmzCiIkXCvnu9DMlx1DAs1wDFqWKvxvJnt4Ndq+WPnQCy9ty5xlGcTKmHGjVxi
ivSDWk2buKLhMjg3T97/K5XOix3w8CR0MsEyMew+JnZ3jFPCDkEqxFPGdann+7KcvdRw7ohhJ5oA
LzpNonRgoIgfMZNIMN5HgdUx0AaQlznw7GE4j5TuvERcHwVTrw5w+ilSN9aG83ION3qU7uJ8ft/N
+nYOta14u844b2TJPPH4L846cUvCIJKKkvBzLGWjJLqSlcsUeGUkkRZl22gMfWxBzkPxxTb2bZhN
J1jbpy55FMN1NZyBbgNkyuXwYzFzWcaHU9EjW5Xg0xOujMk5USu8tlyfPqVYa0/aL52NxU9T85RV
lriJHO1gK584ml5AjcSXS2EOBYEeAKpAR1lDYs2gocOOLzcoLxe5+IIy11biWsyPD2auHwazP2+7
xHW68hIX+FPXJ1a82C/gEAX4l1OJbtPzZ2x0o1dxGwg8c/hS6c3F0uXe3GbbtHD2dhDv5jDeJYZz
PTrZts7t26jtThwmR6JklEG8AgtMDwgQAX49Vmh00A0JtSHHuysH9L8kn9Um31dAIBGgvkWm1yvj
cCX3o4+y9Q6ubbuy1XhnY6fYKzgM4fsTwqNj6HfGUthnTn+eogw7yOl2qEa0ZcrLt/e+2G/HIYZ9
aMNZFZyuYxpd3VSFqUclX9lsHrqWc1fCT1Bl5jg6N1LbntMcORRy+/Xty74W2Shh4FuCZabjcdRo
zwOLDTcWrMZi/Oo0+WVVDn5jRtdvX+YhGTp+PNrGFKQPvNVjqpQWYlHfdDRx4OiCK7wsdBSycxxE
qq5cy4mxSwZ9BwR6LafSXoQYLKJ9HCX22KLtxyK7qoplA05tJcWLN1nhlZmOfo6bciehaqDhTibP
ePskeDaVaMhV9QVGMZ65zB4tfE+etJ2sDD4XhxN5ouJG4eGV747yhLaasBoFBPt8uS+4qqdSZzle
oTgfIJpdqtNwDoriYKK8lwWmB+IiXanasEas5mwyK4ij6T0tAd/Jk12i6eCk48/TNAK9C/yKkeY4
XaDM5mIN6FYzENDAcLFOilZBMvpWk28LCwYZU+JoNLfLklzPDeuyKVdLKmHO2LutMm8wCN1OFI4T
NtphG26K3Fjhi+OLNyljvhOoRNaWDdGOX6129Kfa2Da80ZD/Hjnje6OuL4L8S21NQAPaswSOzIxo
Sz9F1/OILxkVoReU2Fan6I6kYb53rMEPWsN14FjiZOKLC+p5ecku36MC6Fq4AoZT5nVm9rmeu/Pc
sr+PmrRu22lTx6Y7R8lumdQd1mirYFk8Rspbwdsw5OYeK4RdnBSXQxzmrhQ1F7TEDnY4bxCg3Bhj
fl6CtrLC4GZxoI5WZNxVM71XR7atbt/lSnyNw9BFXGeGVy3ph2GuyhWk8cvEQeVTx1UzjPw+7C5s
W4ImEX+3cfPhMNqUYYzs4ODHlvoRkaQDY5G7RJwLBuDi2fE7C0EhGn4bQzukjQ2oIvBFICnNnxHv
VsRd8a6ruQJJ4ev1FwI37i4F/0kzvk+hvi0EvJ5jb2uZ1bWS5PsmyNBLR8p2HM/hva6bQtqL31XS
XQ2X9sJJo50VBX7bZftpCHdwD0GWGfOml/QPMc8xwMZsQX8IN7ZcWm4DzTiYBgtPWs7AuB+6sHcl
HYcqZ9oUqrNPCnNbS86ViDpSLG+QATrYWbTBD86vE2Mbpkw0++h6LGjTgXkuXPpdX+dcWif2IP5e
VVLBsdkCgcmQDzXMW/gE/tQ1zIVkFghygvukljdVb6xyxPZypT1raxMbM51hUbSTunFdpMnONEJ/
tIZzrcTiqZ29KujOssFY0Sjy2o4Xi39RHPbXAZAYu24uYBz4JTxtbc68sM69AgGCKmQRotXkAr/6
1hZ5KgjSuOQ0Z32r78RXHWX8O4SL1JbupKE7G/XRx/wLxurgZnW4aUtprYfTGty3vWqxACqG/qwb
w2uS4106L9Cbgoc1APBuB07o55wuwBpwX4wWDwnpGxMeh55xunCwmuoHFFvwjkx2BqZ7Ia+1EV+N
qKKa+HMLW0XPAeqwToY83xpKcJur04kI9VqQh7BI20JGRRgCwlF8amozs6FqeJrdXFioQYcFPtmG
euLYfzFpfmhHM5sHMM1wnxn68+skAdLgNdoZ3uikPyN2cWOGeEeVl5kxe62i7+I53/ZioI5Evl9L
xWVahJ/EmSobwcdoYCW1dMRMu/toUb4GsuEm00lNideiNTwpcKbI5UEaED9/moDhjVzkgU3zTpkN
uuQyqlrO8m009G2iaruJf0qOssOF7uuiqQfdmDYW4/NVWJ7qVr7ss5CkIKMk5jicGlDFnt8Kcqdj
hlar481jdB139ge9WL726bzp6NGZFtWv1p0XY30fW51bWwQLDD3fPplfXRtPbuHobUxDLuUtXWTP
0Kb3Vh0ivVpW9wmAgLev89riwD9Ih/8CvII1crQIUR6IJbXTxGwl+1zJ+gETbVwAjW23OA97pBgC
37JmWuWJi4LVp7m50B1prRGFnKBBvGNYN46zL5t4h8/E2Rj1J1rVr6XNnN/MUphqOPyfo3dhhjM0
tUaMU8qQJsrgR8gBtlAbk3RcmQi8C/PJXnJupZAWVM7x9vY7eqX+o8mpIH1hMFuhif18OUgJCgL1
JDswVr5MbeTbgfotJg/KilPl3yt1D1NAkA7GA/j9uLGKMrtVplnteGpylveabyaql9BlrNR5o1U6
EfmEbAAcW27+KAMUeGzmltT9KCUcvVzkXgFdIg3kYYLrpxwcvcHwqIH3S6LbKGq0smponPxQVJ3C
fbPX7ArTpnQrVsRMUabXNNK10Z/1YZ0v6taYs61pZnt0YXbt0py1XfiJxheui/Kmzwe/Hgc/MXNv
4jMYAfgWWVAThgeQN/s8lu5ont1MCLUldXuhoP862M4+Tjn8IgNtE5AmobFL23jX5jA5m+QqT8aV
RaOzNhO6nsUXnA7v5KzeN9y0+Hw3DeuZfnhXaVu4jzvMpVZ06/xR54ybok8iG+u5HkaC50Yd+VXW
naE2fJiSxFX67kKfA38gC5wXfYf64camzBa7pHf4edtcyERMdL62Ilkax97t0/BTqEu0OIUnarKD
P/FzsNOtRq2sI9BTO8tlX0y4wCfD2kS3C4uwM4U8WGRaFodtNwycbtk2iCQ/kqVrOw03hhJuOO12
+jx909XufAmn9yJ+z42+C9QvcR1cL1UGWEE6R2ebM7rCJJJUJBjsvZaEZ9l0MKPii9KHmwAl17oM
7uSWFNy097Qh3Bk1RpGNBkvnthWrwImvQrLPmqzXKvF06Jw9enKrrIl2qGq44h0OXX0h5+G1wwQA
L4KN+Fy8kBhyosqTsR0m7SA5/D1KN2Md/5x4f2XSn+f2h2aYqfQMFyDGupMxMeTAV1NGMUF6lcJp
AW8mZEP8piN/yjJvlOeNSGRQabmzdZqhZqAdWmnCFc+6DahHAqe7sIr5/YCUlp5y4Cd8p6y10BlW
cprvDRPbxfxisZLrpCHpbr8AtnYhll2KnpEdkFYZ40aptN2YD2fVjIUkp1CnL14Up1fLHLthOZ4X
FKelkV4VFKyJg9+q1PDa+HA0JCTJVXQjeiFijZgTXqmEqWEkPLEGxRGLn/fZbOHE2S4bXc5Zr6Pv
6N2ZSXTtAtYn/AO1WZDrRRmT76aReh8wGtbU0o1V8oIkyk4otMaUbpWGTG78wJa+fTvYvTz8BHpA
jCnhQzKrezEZVOSk59mZDIbSjagHVL0/X8gqxTIoEn0bp+GNBaE71udNG5AGas6JsvRFwOUWaFrC
dEMEGhbQUfunlGu5kbWJOQdKNdi7oD6MGw8i5JgquW8/LpXucQAUzRjT0lQZfqRAYTyP7phqS0Uh
hbanG8lOwgObSV7XrMCMXFvy4mkLaXyrp1eSEfnA0TdJrdzV0fSlrqPraq57iGLqLqik/RCNawoZ
aM7jV1OPXXsKgaSVlJzEBgVUH+bRZOqS8JBL492wZP2qs0WaI14uRRoTpU0fG1tlpihgSGyr42Y0
e1c0uxaTLAzT7o1Z4Us96gHyo+k2CPpzuNC70tIOWKfvDI3+kRVfU39ct2wdGH3vHTBpDaTAVYS+
zWLXJP+zfiizsEBr31y1ubUAHAw/JvYSrTBbeF8oMy7xogLNiFGa2qH8WhAFl3yvN+Zh7KJPhRZf
SWl52TU5tjxT4DcGRUVFvOxzixjLWmUiMqvBdaMENzLOwMUo+cThh6fvZipq7B4kDlvEXaPrXg2B
HcvZVte7r1IT/ZgnE89tW9uaRXVpm/3ZwPaVaEVgC3ydJinjoyG4KU3DVTS+gbCW9nkafuw0KkIq
x2JApTyoB59IsAvjfIOp7S6wi8vOoKhDbGEXUaypBTVwOaxBSUxuG4bXNVq1RGQt5azr7D0En5uU
a9Iyu1KCDiGzbF/L2g79kYNNPZ1Jji/2RQvlXCv07cQol2W2myn2NZMtSp3RG8O6q6JdlYzrtAmv
RZi1KutWGTHY7np3aBgxofnqPfxyJ9kyH0pXGY7HFoxuo862ncqhuDRbs+UHPWBwmEU3amWIIxif
BA17HBMCUW8bZ9jWSFg319qW0b+9KkoUle2f0BGqVQvTeaUH0S6TUhw2pveaPXtGZ0CUKO5RxbmJ
m/69lgmkSLq1unIvCu+EoLxQSFVy9zVqMnsl5VKDKu0y7xi0X+EJfmeo0XWr2tc1wdl3+pyABY4V
u55bUWJHQldxsmJXauCIE9HUicm5maK1HfpmxklZQvgdgdhV1Nal5EPDP5Opk7HS+WJC5RL5dqY4
IH2JmbjJB+elou1o+e8yy/zQ4m+wqhdkka3JWJWWxcC+xqlHs5PPTjFEuMPnXs+I5Fyc9A3i9m/H
jlciB9xVcmYmrWRPx736jvZWPrey5dnOSHbEy+TgNcUWhE6S0p3428sxc6VFLcQN4GQeI0jk2Iwm
DWd40A39uchPIqpmuyjuxUqvpvHE5V45CDCOAJcm1CvogD6gLZ4UZDNYN8Bmo+WVBP2MAhsNM9iv
i4xtcufGSvpFnqOb0U73cZRDjEAxzEmuHp75P2AeiKgkfx1zMhklfSuruaG/0v3bHweL4nb+/Y+1
//bwS8IfpTBvffYvZGtQJK/6H818/aPts+6R0iX+5P/tD/8hWmKP/eN//fdvZV904reFEEqfQfNF
Z/zPQ0I8u+7j5seLTzyOBu13irCXgLDJCEyo6/8eDTL/EyM+IdGFLQg9gd+jQfUdf5Kl/Fsk6d9H
g+o7xHMR6kGQCdY2H/6b0eAL1iY8Ak2wrYHAU9C9WFrlrCZojuSKV8H3/hiZWelOHXCX1YLtNl3L
ya59x8Diq8nqO8hx8k2j68EZytf2ueEwKscH+lMw6r3b1KnduzLwLWSnZCXCggxsho/AZL4aDS1a
t4M0Qqxaen8p5I7UOTVv+z6sstXYTM7nNCvsA+gk8wceI0m2Cmq7PpsmNQGckNqcdrNprmd7wKmm
z6M1Lwa+GcJywWerVZabJ9/hK4PG4/JPvBa6QZBjFbYcaNDnqUiThYtiBKritTgP0tvUSi8rhso3
kNf1JjyzzloMoP1cMvLNf9Q+u/j/lwwtats/bykXYv+3++cMUfGJ31sKZZkHfXxUHUGh8uU8Ttud
d2hkgS4UOeQ/8N7HaTtbSqxPBvEQPUDnk8o+TttRKxNFN0BRgUPnT/zNlnpQVHpax4OKZaaPyDGY
JLhdx0pacyzrUrRASUMMW/q+1EOEsP7YVedD1cgYgKumV5pWsa4q3XSLRf68QKk4B6xpAfpb6gCL
GbP2EAJSACG2g3YVQwV1F6VqxpU+tkWENH3b3ITK0Kz1IkADcUhKa6vgCJRtCzQjfw6DHJ/BBAkM
v7RLqpY89ocE/vihi+LztLFSXLXi5bOt1xgzGs7YIvbeUqrZERlLqQDOhMnC+T0OfZZ7CW2fiLqU
VsTUBf3uyXf7ylY7LjHEVqPG4WXgAEKMJEA+7TYuQEHxIyhVz8mMs2jRzsFKQx+yYG3k+X+hWl47
sFjaf95dN/df75+fVvzxx62lvRNiIEw6wW7+g5x/3Fr8SIDpQV3wLYFIMX6fVqBV0IMF/YI+Hbwg
0TB+3Fr8SIF9LTByQhDKtP5maz3QLp9uLfQCBTEcCyo0giCNHM0RFZxWrSWwVW/poAzPqbXV6sJB
rHv8iX/lqh0/MDrEcVgbv7WhcuYosXwGbeW9VuS2Vy7NniCuHsBu01PT9IPRff774P0vweQQnMQ3
llgM4dHv2w51jr59vtj44ONiU98xkmfKAO/IInkXucnvxSZDe0dEG7jbA7vj6WIDKyXS4YeFRU71
dLHpLEQZ0QCWKk2Tv2JwvBBoEzk1wCymNIh6s7RZ1U8DE/3POU0KhdSoDix3tgJXn+5DdLW3hdMP
bmsA0qfb2sQfQQCKItS8UY3QU3WoDQnDYHpa+ickT5N1sFhfwwxOV5O1l8oor7q+lDzbKm/UQJM3
2JRcldiodkkyu/+1IF9L0olXhJZTS/Jwf990P55l9/988HFJYj+PsgO2Cky9BFP2SbauvVMEWQCm
PZm64DD8XpL2O8aGaEgi74WoFB/7vST5EbRS8oAHKQuC5mOh8s/JSI3zR5Ddg135UfgTmoE6WnKk
pmSmz1dkh4krinO6Bu4Up5tGwffHMeo7I4ZPW911IVp0QVl86It5hHoS6m6axYDuZbrusQIrRwtp
nfdR7j15k6+c4K807mgSIg4AABIY9gte6Iidg1wYg+ZV6TiuunYotkYjn8N0+gpmVfIRV/kCk11Z
RdlyWVUNU02rX+lZeTcv8nxmAUzIkCFrKvtWURp5NQIgouF4AFufgbzN6H31tDcJ4pfLErSeNVqZ
b6RDDXlFS9ZemOqZ69iCHJiiFNpO9JDbeWXaKQD9aplRmZTP6btkvx78r2rif4VwL5oqrLU3Av69
iPgHdhfEvf+xbu7hvP/Pp3H/n9/wuM2I/IiBU3Wik/8rUD+J/GLvkRAC8oLbJ+i1jxk8pTSi2hBX
FCw0QEGT9z+mGWwzQr+N0jqVNtr7fyVlxAlSHW8zKMYmCBkoVNQKz7dZOqVtN3E+efOiqNuyznU3
0haZ1mI8rZ68ple2zsuhLzr+DlcCZooJIvS959fSjMVRpsTRvKRdxq3V+nkDtV5F4MXVyskNR2te
FUOIRaDpFF7V0RKfsrXdcCdMSvVN9zOWQ0bE6eJ4tg4ZW44jD6edvZXKxvrtm31R2ZB+iWEAMwF8
eYVq7vObVe3Ooh7RNK8trbswXVLIfna2t+3oUELxmCpELms2sSl2s1VvZXkuNskUMApubXllSBpC
/n2qoIduf03j+oNFI8utOsnNrVpeTUaveaqd1F6C5EpKG309MY7C91BNUIa9zPo8942xsL3kvdq1
OBLDWgvtBh+Vhd9j5GW8VtRkZ8vJeQOLWYvj73kAloybq8DDBDsjKA3/4aX8Vww4aoOJo/DPAeB/
k+wJEcJnlYX4yK8dD+3vnZBWoDbgCH3aBUPT7h1hgH0NEFV0WihG/tnvEp9BcBwIvJBPhk0mEBH/
bHhJR7wMBir/nTRP+Hz81Y5/3u4RyERL5Ho0EyCjQw3mJp6memFeWp0TjereuiiKFZoV8eSOn7AR
KNJfy+WPZzgx6klseXmloy20hAGlrTGo+9RWcJ7wwfma2WoB//S+qc8l/e8QEy+vdxTLJgW3+Uzj
ep11gRTa2ZB5wZSciGLil/wOmL8uAgsN8hFzStL5o8FdpeuJIdWzsgfe4iXZFzX/1ijJJsLF+cmi
eiVcirfz4kICAgz8XeEMOHqanHgxYUGi7gscj+uYTW1HbnrKgfyVqzCKECbH4FxE5/b5asgGANtl
Xur7cBrGD90cVG4mx5aXZq22ffuBxMI6eiAuRZcRfDGT1mPUrwXrqgizRkdYFaFtC+dLb9Kj4PD2
VV75fiwGFQRvYST/0Pp6uryHUq0Aumj6HqRU7GmD8aEPx8hfKrs6zEN7SkZCtAJePBXzLnDlMGx1
/VgwarBDqRZaNXs0CXsVzpSV35YjEL/VFE9hzNvUbJy/jGaI0TMb5F2ahs193+RTytHitAZaJkYw
onexNJk7MKa775OxCteK0WGFjVRw8qGcugUKhpz8jOpmjL0YCujnMLbU/nKYR2ebVGlq+OnED08s
wiMU1MNyFyQMQYK30Id4YI48Gcf07Sjr4dLrey2WwQoo9Xs9jUMvkgSWdbHcKZAucr3/Ajpz2WWt
hGZYY2snWBJHYiwPd+HA5+FOINgit3gUScwqqM1u4CUjCqswz5NXutMdEntG7HBO1vDTfIN8oXDk
M1Bap7b8ay+BVgxbBMlJE8cIEeievAS9tOSg0xZjr8M3d7WwQrdRuW6FC7negXaJE8RybLkGQJKc
pVKjXRjWZJ7oHb5yF7R5ySM5CQQ8/1g7q6NzCmaqN/aqktafzL4ItiSHn4chSbeQ4kBCZXJ66Oel
30h1V/lKECsIpWXS2ds77MU+5kzjCBMMXOpDusjP30alOa022qV0bqazuZkda7pZ0Jn23r7Ky++c
y5DdEppAZEABPGpJMI1stVbtpfMm9Kxg2U1W9d1hDIyqH4TpJIK5qKATUzfxIbx5+9qvPSEuFByS
hBGy96PveyqVFH/gRTq3lV2j0Bo2TwDgXgQp8Wy/L6AfHSLzEjZyiqj9uape5fNuaNzeOZONE6FQ
xO5nAReVPDHaMRi6Cfmko3y7zDCiclrHOe8GTXGV2LjRpWYd49pMzyZItyG4bv/tN/fKgz275NHa
QI6oyTE+c86ti6z+rKi3dnrbardvX+RFyD16rqOVMaZRCKTFdM5D+ctYQF49G7Orty/xynOQvAmr
PTCRHFpHXxCdX6wk8FHYS9KCdZPtOpBvpvBqgLbx9pVeWWvPrnT0JY0tbTd1iaI9TKN1adhgcaaP
b1/ilXUgMlE60uR9MFLEwz4JX7U9qFOOGfJ+rPpoMyz1GdC+1i9C8zwNqvnQRqhnvn3J156Kwx5o
k+hrggF/fskhm/uurjouGTabeh4/N6Z1+f92iaOlxoRmrsuaSzRMbFaa1WAbYZxKKV+ksP+HtDPd
jRtJuvYVEeC+/GVtUrlkW25LXv4Qsi1z33de/fek+pt2FcW3iFYDM8BgDCgqk5GRkREnzqEiCwOx
GNETOFV7ZkSZvLYqvDZAWPTe87ujTSWe6xzIzx6+L7v8q7G1lcC35HogYnkeUBN+DbhoUSxRE0hQ
T756J/toSPn3Un8fgox6w/79sTN3cQW6euCrfXAy4+qg9wi2o1O+9uZ/9dgQ+0de+SIWKQD2l35A
MawKjQ4jygczYzzDbcfkQxeNB5tqVbmWjC1+rTNrM0dH6d2awnwMTqiIH9Q2PVJg+5UGSEhQdPAi
xa3qYmP01krQe7l5Z4H2YpWzJFoZzU6KPexWwSe5RIvSaRlBAX7lBqr6tSsZL/ENpvvB97XtJo3f
BcmzH9yktbcJpe99dZeGP/tOh86oufP7jk4/SGUohpz4UGvGYcibbWaDjJNu/Gp8Q6Q7/0LiC54F
h0a2SjtNZIREe4AG5BRs4XaASMdIn6473FIYOrc0u1V7ozFbg9mGU9DeV3LxvpyCX371BRFT1YVo
7O9uwP/5+JzRN5EzCtejIw3IHBpJUCmXC+ucVuqtSQtOcCyAQLyp899O/V0RGqlj+03r7M8+D9Kh
/CpFW8D7XnIfFUg7VkCEJyh6MoYQ702aFGjLuLa19401CpGFa+ziB8523ovaQK5sh8ifowskk2C+
bweZjvc0rl3LS+FYzFEzE0VtgXLf5V6E8mAqRasEpyRPqm3L8Lzb6vqatNVS5Dq3MttxaFwDKDoG
jkH4VLdwP0nfmRM/pmr6htDFID/OJORH6VNcLidKaiPmcRycGOEMinzbqWuKRUvf5o8FaiaXFkI5
mvqqYymNlLixAxV1df+WPEbIdtNEAetOo3f2Vdq8gTotnIKTp9z7o3YDAhmGn2Ll2b24FCGeDZ0G
yOa5SHgeFplWAPQ+CdeXusdi+t4XK2+TRRsAVaiJID710qc8DyKqmctmGJkB04N33qRtUFyMjDXN
5dcPIE40ZfJ/rMz2S9MmVlgG4WlQM9lNG13d1qYf3E4etdEwUu9MrfhahD2wWuObUTfpzteqYeV6
Xopi5z9i5uQD8kAefJ3BaRrAvZaJzrwWyo8u2uSGazO9Iuf9WpFm0SbzMhDMUGqQXzbmLEZ74SiX
ccsnvE3HDpqdwbUhOdPVD+On6yF68QSfGZqlO8ZgtlVniZDUta6kPRnUhbikJnps/83QLIWPxKul
G+zglDt/NV3hDsDpDO1oF8XuuqFFz6SHKL+8VXkaXh5k7ja4OiiknDLpwY+sXTU+SOFaArC4bTbs
P6LBD8vJzCcgg9f6SorCU6T+tuCkiqP3jp1sdch9r69mRiL696UGGowpEVEFoJZ8uZyhzSSrqsPw
1Gmmy5jE1k4PZX+X/YgDyh/ZzbCRI5f2iJztawDM0spnW9hNICl0buhoAUCGquUiWYj7JAqtQSzU
eWi0h4D311ooWXr3X9iYuYZayU02GNgwdelAFmwdzTHcFfuG+a6xrA9S8guWlxU3WbggoZQkFiuU
WKg6zEILbMs9iaofQkjR30cIfqEwFbjXP97i5olen2qCBaGUdbl5ntU2EjPI4clrDXo3D5IW7yqv
XHGRxZWcWZm9vFpTipqB7t0pgPOutUoXqrY3mBBdfgaI+S931+VCclB+zCU24Wmy79oM3d/OXLGw
cKB4qFJdpwkHYNec+YDTBYnfZHV4quTHUL3rh/xTILBMyUphcemTEBqEBijjj5zgy5WEmlcHSWng
z+aznn6S+ocGvYbrn33hUUKz5Y+N2ZnJa7ofkGWHJz2Y2qMfayUDCHoByUFxTAvrS+RATS/b5X0f
xWvPr7X1zfaxmeRSajtsw0rudI+R8a1xfl9f3oyW7yUkXaxv5g2THSoD7K/hiRFAxTwYN+boTp3r
MTysPadj6aIioLeAHIqNla5t7pKjnG+u2ICzm7FRtb4Nei08xehnoHRTGl/CVHad+Of1VS7aEdB2
yMBZMj33Czt60dqxHBgkUV/N4YlJUr38LMuf3mBEMJkqsCtjZraT+aCbkS4uRc260eNDuFGsd8ma
Syyu5MzIbMfMTJFo8FtciCPzI0YdfjIrFXLaKtY24aCvqRAumwNgSTUIlLDA0p1/IDAqUlqqBFYr
SNzaL7Zmc0xKhsDUNVdYSJLoEDiMlAPLEYRil5YGXS/byuLeqMDjk1GrUb8xw3arD5Wbrk6HL4XZ
c2uzyKGMnle2Edamamt9ERNKVXKvAMvU3aB+10aaWwwPfU74tXaCMmNEaOW6tyzGFbposkBhoUc1
iyvZUMSeYhEjYZvN4QawzE079rZbyZ2+rRTHc5MSspdqjPtD7hX1irMuhpYz87PQ4pSq0ihiuyVm
F9sQZRzpYbUM+5LPzCor1MEEuzwRFIDk7KNOaWBLcluJAN24kvShROcjHO6i9GsoKF2rLwy15bdk
RVv6aSuPGnGmX9lWQLgJZW/1NTW6bFIUC9rw9DjmtRswGpl0Aco576xB22vWG95paIr9MSdO0lko
yyGSSZMKc/KQuIZ1n1TPU/R43WeWPtq5jVmiynj4YKkDNorumOdPYXs/Giu7tnQMz03MIqUtBUFZ
dsIERPd3mQqzx409PtfKivsv5onIofN1EPsQQgSX++V5Ssc4If5fB1AchaGb+5/8AjhqK/1qg+Ik
Z5O3ybrbJo5XeOKWTav4pcrsAxnQzHQBT4eSiys9LXzt1pzgdXZ6qJ5DpbAPlpzA+euV1YH6nnLS
0BA/mGnqr+zz4r3Lu4ZOIEgwxHxnGx1JCdK6isz61fvcHPN93ML322m/0rC6Q2X5pMHwI8qGWiHv
EunQ9bdhJq+0mBYd6uxHzCoxclPBb68P4alU7hyGSuX6frVZtngOdVQ0QM+JUcRZDLCNOu6SJieB
qhRUiTzHvDVMP9u1yWTcokqqu9U4vpONQl+59BddWScrZFQGgUwxRXN+Is0evqouwXBTJPJR6fRD
pCjTxs7Mbmv5hr1FNXu8vX5Clz8rQwc8Qojq6N9cGm1h+IqStiSsG9JdWz7E3Y2qMRnc7BVp61CP
bO1HL9Z3oZIwxi/vum/Xf8DSxaYj+MZwukjvXyQ/zsJQD6txa3bilRJ5dxYqMLSnVo7uotOcmZg5
jR2Fpln1PFHk/HEqSrRB7jSzdK+vY9Fr/hiZl72qANk3K8CIlBZfyU6j+K8BIG5ah/dd+DNJVnxF
HPlXlwXaWXD4GELXdeakk+fp1egUrCk9TuMIrfqRanOQrty6iy6JAAK6MuCL6OldekenMErvmbjk
YI8uMC40wr4nRrZVwvVzt7gkoI8msE1RN5x5opJE1ZgM2IoGexOG6qbJf0MJAypxLZQtOoSQH1P5
YIT02UFz+qRoippQnieIMHu/gnGvomtsvENzbnPr2MWGZlvYwI5lbqA2R3m52/fjr+sOs/YjxL+f
OX6GGmcdKhy8KHoKKuTEwuMU/rhuY9EpqRKJIgAAvBfQ+5mN1C4CGQhHeEJZwjXsG4SUNkH50Q/2
VsHkxIq15RX9sTZzFt+L0f0DxnwyGFivoHivFVjJ768vaTFenC1pnlJkegL5Nd+uUcuN6X33ized
5DMLs4vO0oA35TWbBulPY37yU28XBNM+gT/BeawmfyU6zSYP/n7QUtz65yPNwlM7WFE1eMhCdOjU
qcOHWAg01h/y8Fa0gtrwWAx57Bryp4iBWLgvtkHeuD4eGa9Bflb2dh5UYlPpozBl5YFgh7XuPS92
r3+9RRdB9QOYDQAr6lKXTj9NkhNYyUiUDNvfdWtNt5NpfM0GLV/JmRaDyZmh2ekq+9IYEpNNHeIn
Be31JCOlTlO4y+uVJa1Zmnk9zKI6GDksZRPkTGp+pHUDzGGb5U/X927x65wtaeb5cCC0hdb0BIyJ
WZPQfI5DJkyv21j7PjPfH6EDzKsWG5P1kAYaZFE/lDjd/TcjM4cHIwzVmIyb2XyU2PsN4mA1iVv+
KkJ0Dj1n3nOz7y9Hep3qA46WKsmhzyZYPX6P8nBqwhVHW96xP4Zmn1/zswBeR3bMKs13qfZsj/YO
Fb+V77J4D9uCJBeFEeaotctzUzS9BZ0AyffgGxYoLs1yQX4jo6cYuyoJlXe2r6wRBC6v7I/N2VnN
kb/omAcJac48ycq4w+MKBDuv+8LiDQXKEYgzsw/Mds8WJvsBL/uJV0X+O0401+xu9PC5k5nJ2A+Z
fHvd2tKS0HF4gb4LjuqZV0BT1kbO4FDrDzL5UOaSDoVY1B9q2LhWTL00YeYZGg1EMaBL1xWA/uXK
6jauWh1MJJCk6aZGkcHm0oqTXR3kh7w4OM1ePCL7uN7F0IRZ071htX81Lew/crOJJTl2J7iNrq9/
6VQYOmhyUFlAyY3Z8VbtbnJymFlPYThsSeWU7HfWSO7Q7q7bWQpVEPMDK6J5Cp5xdij6aCyawU6g
roYMyP9NE+z631/ymvO/PwuFUeBReZLS6JRnIHtMV1MQDPa/FCNUGVyQyE1et7f4AgfbDTwTTQzB
6H35MYPY0MupEQty+nIPHYe+n2LYm6IBdgC/UGNm6hx/U5qx4xYIPH8dHTC613/EkvMKfBvQMMqO
5lzQT4OPJjdMFq34j6ovb2iFSebjdRtLHw4KcCF3DykZTJmX64yzqW0mNY9OiEc91Lz2XeBhxRuC
GSGZATRBGgG2+NJIGZbjmI9ZdCrrDO0sOeg2MmigbVcUP+ui47J2IGW4vrAlj6Ela8KSTUUddpdL
m9SFq1HOx+g0ynd+/dAZySbOvyleuknTu9HJV5YorrD54bcEcpuJLga65lMbYeLQowjgbrcj67HQ
XLX9Fqk3QwbzlfdRKT7y/lzxjkWLkLhCNgOElKfa5QJzTQ4TKTGjE5rk5DwIKvBuGZtNrvuUTC3Y
w4avpWHvr2/rjDVAJK+I4zD5wMQBvUyaWpdma6NIi2DwaVT8tPZ6si3Td0qyaX94z1RoBmXjDKdy
PCAdziRCFx8nE1UZ4C3+ajn+tefyQ3jTIYYDBgss9eUP6QETJoVfBicHbXJ5q2QrDrRQGsbAC0M+
ixUQ50sDYyCX8MuDk4x7nhxNuJ1upMr7iDANSOqHfnges2LTMzCnSd77sTVXPOq1A2OezqRQY2KC
cz6SUBYWMlNTHZy4a1w/rtyejnynVJsGHbpv9BVX7L3OOBgBI48gfov5SWO2XOjUsiqDDOhUWoiQ
d9/rYth0/c/E3AdptHItLdkSXABITcKMAdbgcmuTQkqD3AcGokEDpKZ/TZ8lawIK7SIWcd1fX8dQ
nbYr1MvA0gBAzSFQThtYQZyTAEj67zgiiUqOShyuuMrro6ijyCIoauDzELH6cjmp0kAAk1IKakLa
I+lDOaB18TSaT1L2rH5x+pUX8YJnYA7WEIG1Fn3lS3MVlN1GDTnYKe9hdpKkreZ90b29Gt/auUNC
9ev6Fi4dhAt76qU9CURKmNU88xUz2ReesukK4zYJrIOtdI8auGF/+D0136XbJGzctYrGQr1SbO6f
1c42twrsobdHyiZSIN1Y9gB7vbf3rOIIVW6Eqq3TGru6sG+8vtmrcr4t4CLkDbByOhYSAn6GaBAx
q4Qy0avhMtmDG1ZUVkxnuFUbdaPL38focUzCQ53UG037Nra+22lrd+eCA3P8HdDa1EvJK2eJiJfK
iu/kCWEOUQcb2ldaOPS511x4oSgBjB6woxhIoL4492HKtSEEx6Ddp/GXfAjkbRGMm1gPNoGuQOXp
Phi35mFCN1By83qFCnshHDAcTvEdgUM6cS93zlnVSgSIEpEWqlbWTwW6tCT6XFXPTvQxin6u+LKI
LJf3NN/wzJQ4ymembKvVbanHVNk/ReNzbrwP09w1/U8wv+ombJr7PP+yYlOcjys251UWfbKUgmYK
5zWu3fo9moxh/i7yDsOPpvoUIO3Af3SHCtphxfDSYmkhUXWh6Mkje3ZF+l7Fdg8cnSA56d2zXD7F
zzUKqD6aHXbzWbf9PXzsu+tWRWI1Xy0aeiRdYkKSx8DlDnu5UrXjwPt4qHaisAv3PQO500bNVsLg
AlYNHOSZpVnuasf1pPqijpZO7YYpRqn+klXqjieX5jAzu8mlZDPK74Ii+Kiq6SFwPnnj8K8BPvwG
gVNiEoVz+hI2zvxpqL0pksVqO0lS0CbvITC1AIiYWpRvrm/s4hHlTUIGBrwCL57t7OjVU5AqY8go
bb7RteYmKT74EL9aN6Wuxy7KI4rOdK3lbdFkhSekc9UkPgXRtKtU7+H6j1m48lj3n98y23tT7SKt
zenLZZQMC2ijPOcptirXRHt9alM3CpBkX7sLlmLhuVHx72eb7TCWJZ7zxGAlfnAKtPsya2/3z29Y
GpLMQj2AB+B8m+vCNBgicTiuk3JT2QetdbZo6W5tvXqO7O2ka5uolW+uG13IZnka0d5h8otUc97x
zVH9MOVAofaSMCbRFTo0DprWrtxiS2fz3MrsMlFzCKFL+B1OqpQcmkC9act7rafwsIYDWDSkELiF
djgEaOLfz75UOhhd67US7kEhbQecD2lKw/qtcwD3Su3bK1ne4u6RLCMRzgwQ9Z5Lc81k2H2Z60xR
jSBkpnsEP7bXv8/igsTkIemxwcTHzPXitgZJKRHD0xJiQeNOkXNUfI6r1cWlPEMV3bD/GZrtXDtK
2TQIQ0pgnKwUcu5ARZeku6VLsFXqznTDadjLTvSTssO3/7bImXsMmuFXjbiHzekmmmD9/ljkkav4
44obLn4ulMcoSdEHhiHq8nPZBbOCHiymJ/KpDcM6Wjrtrq9kIUVmeoNJRPF4Eio0lxa0pOoTRkWY
fFCzLU1Sj0zZVL4mTbgvaDdb/07z5uVVLKZFYOsDQ4+5mXtoSRnzfzM5EDW70QQSC4nMyqaJPzG/
V89NzBxjhO8lYowzPI3Np6gbtjWsVeq4Noq+6OdnC5l9Gs3IZBWBB+Yqf+cswbLuGeeYiqfrn0f8
lWtrmSUmBckujAOsZVBh3k7KXTm8i4f3Q9RuimjFFdZWNHOF1MloCAMrP7VFfWdH4zEPnofyixpV
n64vatEQPCqC5B8d45dn1FnMa2OpUxB9ILWUx61ePiojWg4yBLfVSiKw6AlnhmZ5ADCuyvDFc7NW
CnJzRbwAHeO7lyGpdn1Ji9+J+VRgUHCRvereVWmhOFnMd4IXYDOiR0WX8HMT0VbT8+D3dVuLR/bM
1uwIKQBHhykCF2Lp9fQBkUD5kI72h8ZSnivI/xGUG3+Y8pQfrptd/Gqw3kBQTMLKyMFlpFBqNdUD
xIpPltzkO8tnViTPvL8yZBPcMoiGlVO8GPocyhHwdwrMz2yVNRRtemlgLrGotRp5zGXPjOGKzy95
CJVrpBYFPRD/43JRU+UVVlEkf0P9OMONdr8exdeMzA5WGNtpZwuUTawcGwNJafTq8jV+kKX9EoMT
VPoo4ZAYXa7EK0qw+Q61jtrSyr+UroRiV4rylQfoQu9GB9T7x8zss0R+qzdjNnDrOk5+k8G3D9Yu
+Z5UUbpPEgc56gYZBJRP2t3gtObOU2N523lSsM0gUN51E+R4fWJqEAeHDsnvhKKNaa6Orog8Zh43
z3/mzFkHXzX/BgFV6iY3e1ADzW7wIapA2MrWj633TnPiDa+9ZrXGtfy1haIILMyMiM12SCm9xHFC
Olr1jkFre9xnD9cP4lKsoVL3j4HZ2jQDIptwospEwvMOiKG9q/RsZxldSnknQKcjXDn5i6mWyE9t
haAtKr2XvtWPtOz8kWzYKApnV7RSvk17GSmTrI93sVpB7NyiZJ7ZPOoQDi2+VUa+VmVe3FYiARkf
ijBEhcvfkES92Qaeyu2kfGd20okqN4h/XN/ZpchKtZ7xTEDGlm3MzlDmwwSiejFNQGsrq8dSq7cS
L390evMnv15pj79UH1/56Jm12a4qTm7KmUbsCVV5D8+rPI5kyuM9TaBd1xR7qfqeaiNJWYt0ZX17
famL4cKAy4VqLNwG8PlfvDvgKC6CTCcmZd2hsjfDW8I33+qfvz9bnNchH4EuFomLl0JJjgRquJYc
i7D5av/OTMw8QhomabR6bgi9RFxFDfeq8q4e25sIKVvt0YCqcC15XTx5ZxbFv58lLo3RR5I2sahI
/5kMku06AUpbMfRRY/AcKfvrn2jR48+sze6mVJZUu5/wxgjw8oSuprg0Wr96Q2GGOx1CewgueRXO
v5Rid3L0Mr0QP5XRD3Ss3jIRwq1BURgdESYkmCO43DguhritRkLWFGxpwX2GTLGsPw9rrBOLR4qX
EoBwUQYmcbi00wKjSAKZQleCzBjEtZso/TyZAHYb001QL7O1HjqFgBJF2B7G1F4rDi99Mgp5dG+h
kab/N/tkilnqYd7zmjfU3wlIJ5ooLaav+8VClOKv86mEQDSt1NkiNS0N5SzHSAUVrabVbtEekggO
S9id8yB3+2wlViwcNMGK7fCch/2a2svlrgIbgYZaoSsNBG4TedEHHenWSIVGcHQeDSM8tvKxsdba
tuL4zo43SFem8gHUq1DVzSJUJZlV2ZpldKocanemKX2uw/iukUpvm8lW8u+fCgQrIO0AQuEtmTOi
5no8JPoQv+AyElqUhXLX2yt12IXwcWFDne1jlDEE4EXRqaFBOereMYZmNRju+vaxCu3tG7xE9Clg
S6MZMu9Sej05nOZ30QndLtHHTxu3NPRgr3pyskd790kqfUQaBvP5ut2FIwCe9o/d2WdrdDuZbKmI
TlKz0f072X6q1whFlkywLBTsBYXSq5dIzhtLdpI+Ojk92i0eCnXZfTesQKHF75y7HwShDBzQVGFi
braO2uxa2fExYqmgdJ5za22CfMm/GS5g4BVZeYek/dIbBqU2GJC0opPIEqFoCPcmCMzM+3T9eyw5
3bmZ2S1Za5nHww30Q5hAX5PsVftWvQmrdKtHX69bWopL55ZmtyNlt1KrRhZkjXupqzI3keWvg1HS
7FNQ3N4l2r8fadRhb/uzhbPAhOpuX6ABEZ0058mw7kz0RsrAZdDmvy1MxMeza9+xxqYmW4xOiDvo
PcxJUn4SxZ74MS4rNymqlXi76N9/ljVvlUSdZjSWp+HfE11ay6s3teB4bNPf19e1dF2yfzQSGVyi
HDcH4k2x4cSZ5IGMyUBoWek3JDBu5b56H+XNz7Lbd/Jz9WwElASnXF4jdll0F5ANYFChQwN0cLmr
lddVHtJ5INWQorPqItuaSsYYPiJMhcWw2gSH08/rC14zOasHQbTlIQ6FyV5RPiQtuQg6gUoEk0dd
3yKSvQv8/A0xX+A3/rfKWRiBrzMrOhQET7GJtnxg+vsq1XI37xXJrYLkJu27eMXkovuQzYmHOlw2
875iMUEYWwkQsZrsWtrsEeXJ2lxpJCwaYQZbDEcx4zsXoxukumBQhTaM3j6B2Qzah9W25eLX4tkp
5p8gTDJnpzspkA/sZF58Ya9u4pHhMvmHV/DqBNao3qjeSgawfBrO7M2OeSzlQZaV2CvC6N4vEcss
jvZ0p4T7Tq13sqe6qXYbI5K99r5e3Ms/hudjdY5UyhA5aBSsldtMZ0bRtHc0/z9ed/5lK0ALxZXJ
eZttp92kXh0OJtgb6uFWfqySCuqpw3UjS7cmVI2ymFTi6pwPzkPfZ4VNipHIUE5xlbzrdO/puoml
dQhAHcVWaE9g0L6MG6Ya9FRdMBGDkR+zJx3d7zXg0KINCJSYKeAXv2pWZ5C6t0YYkvE2R4lJv3Ss
3Ijq+/WVLGUA4I3/saJcrsT2O7hqTJ84X91n2rQbkPxU0qMhGSsXysuo4DyZObc0i7XmkHiwjTdc
lIGPZHtipO4AkOymaYNhV4VFtfW1xrqXJRgVSz01P0Zqcl/3/Tc0LwJX8tGdzRU/dAvdzrfBGJZo
cbaTOwRINyeV/cU2fcbscybra813bssoZL4vTIKDNTTtqQG6D3UnD6HOr9dYVpY/lZBmh8waON7s
aekVGlQ01J9PE+qzVtLsyNxDa+2yekEPvdpBxmt5vwpBtznRmeZNvMd8YM5GsgfufHS0cYMQtZgD
MXfIGT6oyV+qLlDPoLyq+8CMHpWo3HTmRy370UbBdupR70ONV75NbSFxvZfVB19SN0a2a5L3Ejxn
Lk69v+5hS+VaFJSBCwFYBAwxfwWkkZCQCMjGzeJd1Kf3YQe6d8pvjSDayuN0Qhb9rknBiGdl4Lhd
AI1y3h7KukZONdyqlnYcQxUp3VFeibaLn+3sh81OcayZUVEbQLbNdtgMUeEi5657N9eXv2ZE/Pt5
4iYkLhINzHadoEH7WA7Pmb1SPVkMeEwmg9YWdEXzgcmyHEv8pSI3HD5F6MHL8kq4WwwSZwZmawjq
sh6lEAN9soX6FPdS1b9i//H6Ti29ElDa/mcZ4lec7VQedXlWRzy2B/s26479cITTIXkfNSsOuXSn
n9uZvREqxXZwJgKRary3pO0A+hpC0Epy6Bv8wgOvr2qpcA0eGGIAYEccgPnXaScb2YMSLyMV0tRp
01vMz6KRlUuf6nobVco7HvmdtPZgEJnCq2BxZnb2zXJPUvKpp2CCSLsNjaVOQusW07BRAsutNWdj
DorbKuUatn7xK57ZnX3FsA/tBB0Zwrz3QQb5xMIUBuIMZ1eRUV/f20VbTFiLIR5B/zi7vMaaSZPR
4Et21jFpYs+NFabyk+6m9kIKvmv0v2LLXm3pmbnZDRZZRtjpFQ7q+E/0lSAaeMjT++tLWswAGYSA
2hBsJ1oPswzQqVLdyAdmE1RvMDcKut2TvVGmJ4+J6xQWF785FKn0CGluVkUP140v7+c/tuf3WDaV
aTf02O6Tj95Y3zR6vQEJ5Bb2s4Oc1nVjy7v5x9js4wWdVOWFxcwHUtIBz5IkP7TAZu+zeErfgMtF
owMuJTHxRKd19ujSlSCv8p5C1LvCKDcq8vW2PKz0UhY378zG7DaZWtgF014h0Mut2zT2ZkyfzCra
IoPn0u57w+adGRObexYrOQ5jDpF2dEqt4osihTvPsH6hFLe9bmY5eDH9DKcKLAPyXHfNbEu/CSpG
0gqtckcj+VB4xrsiPXZ5fivF0/siOxbOJv2xYlZ8+1cnDRksBAjJTYEzXC5vaOXMSifMlmie5ZG1
SYsHOLaa7vOAaLLW5a5GC/AwlWuYu8WrlC4BBWbelYyTXRpGGtOMJlQ2UFVIrY0VDsNt78n14fr6
1qzMlucpzDlXqrACX+1Gsopx68WEr+tWFg8YSBBBk4p2wbyTCOqzTYaKi8eCs7bdOYJselrpxYto
/upDndmY+aFeMt2QDjxStChQRW3e2EyJzCU3BpuBmaT/uKTZ5dJQZzPNmiVp3tHun5RtHK+NvC6v
CCItOs1Ud4W24vnJitvBCLQREzJyJtpvA6Ky5nOU/X+x6/+TkHrJBUQhHjwdPW3LnjnaiCBz2Pfc
JUkzAVW4HQN99+8//7mFmZOpfqTFqlrzWrB+5jWIB+9DWa5mN8vrEOpoQuOW6Hq5XVI4SInUc91X
9ZFJ5MHf2lG8pbW71XmNjZshuVPSG0mu9pn/Kc3eZ1614hNLcZcRN5pD0JBClCN+4VkoHOOpQ+WF
D6bj4DDYwz/W6rvWNLZZaG4nI354w76e2Zu7fOI0TpNiT0rtW2bXN1pb3En5uPJuWBqlYXRP05lS
hnOIntflukofBct04OHQdsW2su6cfnSL8khRDSbADiLFwHZT3m9atpUG6Mk/IyH3lpX++QUzHw0j
ueiykV9gZ49tZeyn1NnY0Ron76IHna1z5qd5HMaD1WDFNPYQx9nyyr0svsc8RJ3v4+zu14qpAmYg
9rF6z/Q/d2QvZSs+uLwGMGnQZhgUOWY+2KmdZMQNT1zb034EvmlvgkKZ3vQ5/hiZOV4EK0PmicFc
CkJhqR5t42fjZStut7xbf4zMImxs1JnWTyLHDYsbz7e3xaDcrCLOF628oMSgZ4QPQTzRzs6s3ZVR
bsvkfrlZwvrRQqFXd5BbTpKU7q878WJ4YKheCHcAX59r0hdKXox+hKlAMXfWV5SN3SG/MXp/p79p
7wBc4cxCnm9O6ZsEuUFZaxI9ahmFxu8Cdl6nK0XvpftJoLr+Z2R2KDW9Mbi8yPwcNTRdZepRm+tH
a6/paQY3mLaGyF3cP/RAIfZVgT7NGcBCy66QA5NxbVNSKEA20YYJmmAvKXG1zRydlknYpytvg6XB
ZY1J6X+szq4VPUiLqUHh9jTV1VGtp42pyIdRgdoqz3ZT59xaY7dVn/TOQSjT+cV0yHvL8E9m9HGK
o6Mm3Qu0kmCUue5Mi37LDCz9BvCnyrx+DRSgVCfHJu2m+hZbh0r3NzYd0/9mZbZ4I6nr0SgdbjSZ
tx6dUufBHNeq5It+BM7gRZuSMdiZkd7P5JRMNz7lKgLx+ZMnQ73mjJupW3HY5T37nyFEyy7Pupcz
JDRKUvRSK487/ShbjYvI4Fui4z/rAZZyaYZHpBzVHespnGGr+s6NqcfbZJVieKl4JOAZf2+bPadB
0+tIEsAX2BE8dU9D9iNj804UbtrmTgwMMvPxhusLWkn4HmArYJR1dn2lXhzJUsx5D+T3wyclZU1v
cLdzC7PLq+j7oJxkwlbQ/xVMz2N314ZrteslJ2B6RAjmMY5Du/fy66h5EduQXZOMZtFNkOs3zFlH
RrDiA0sfB2wm88ck7oLc4dKKJFm138ZRfArRwIaHeheDAKCboUjZRionN4pWPs5ScDSEiqWYxbWQ
T780qDHtq01eEzP/04Zu1o7eL18I8tplZ28KB2kB1VPeEpHBdaF4IsZx4Cq/NOoNiWN3fRqfdP1r
ke25TA/SoxFswqo4XA9Ei/t5ZmnmGQgOV0PmV/HJ6/q9mEENvH1ld9BXEPOcsvdvZG3NG5dt8vxi
Eo0B/TkJTlf2aq5NfXxqSzDTNGbzQ9Foye3kxGhSxYO84/G+C+PIXKmiL9Y6oK35x/IsIo65NxQZ
9KKnsRoZ8VV8EMXjXdsqSAtuQIcFroqSUxX9ANm9ct8tHQ+SE1HDhBiKoefLT5oljMaquRGjchB/
GbJxvNXH+Gs4mv5KMF5cJHN3DkQrSBKDhby0NJaBnSchmarWF7vcI+UONl2c740ftWa+64rHtHe2
tf3ruiMtnZMzq3MKCXX07C7VSV1z5S5o3mWFBNL4r8E/AtRc2cqle+3c1OweSHsVMkzRRUiBjNRA
2srqrg59moIP19f0InY6f1icW1Ivt1JiTXIs0FlV7mZhsitDAEZD+gzALfaoUFndPpYTVx/pQ3r9
1zZFEPyY909T3r3v146qOIqvfgw4GmgP4FcB9nD5Y1rLT60gp3RrVsUWfashLfbX17vkoyiN/GNh
trEhrTHIZLAA5+i2ja0dG7v6MFj2T+YAaROSa74aYpI9i5wyHMihA+OQMJGeywwTkXN63rafOjfX
BtVt2vadlKyNbC866Znp2SG0KyXMvYmXQpXsFeK3P7hOWkEe32x6c5WaR3yQ1x/sz0Jnd5VtpQap
PHl14DyAX92Yfrhv6hjtQlU+1PqhHyC0dOQPTSSt3PeLrsKwJZ1TDVm0VwBhL7JU3xDQLv/J9n77
/srBWDyBZ39/FmKKEFWauAIRh/5NUVUfrOxgBPkOduiVhSwbElKWoD3pvM8uwmiMnSEZqbjrar4b
kgnBOuUwZXsJPP513190DTIwGKMEW9wc72HoEZmlQN81qbwRjVzUt3dhbe9KzdhWayMgiyftzNrM
EQOtjmlQsoGSc+fZID/g0je/X1/RK34CSKzhRWHXaIrYPFdn/ufYoeYrdmm/l8obswlvpHJnep+S
8RNDxKFzQJcki3572qaC4eNZbzdjvBKoXxW45r9AbPpZEaAkQUu0sbLfB8n33NrXdXvbhYorGXvL
cLv+fjLet9NzkcRumt8Oa8yQLyp35wcQ8wx+8lCAtUlM8c922W6TTsq7xn6vhqqrVeq+/X+cfdeO
5Liy7RcRkDevlNJXKsu7F6G7q1qUd5T9+rNU9569M5k6KcwAMxhgCsgQXTAYsWKtdHxCpySgEE+R
elL8oxKsgugPT//q6nPU7YY/Y1BTPXHr6EMKkdosqKzWtEKdsewQ+itf/CMFrfRqYaXEbf7zoUgB
IrFkoxiiC+epQQm1Dcra8nz7HcU4MN66LbCzVlYd9SEFAiSmdnRIucPuVTtzCn87QOiBd6CBXgh3
Rc/x8yV4/aJXG42KV2QLbSCnYQGdZa8bR2pm+2SRfWW6RK4WBX4fHUGIbK+kCVmg5oVR65bHIX1r
uvaW8AdZP0a1E5cPhaHRsj6E1UIRQzxv/29Y/zUqbMSuCevSzzTLs7Nn3f7dGT4kXdcLqzg5o6uR
IcBTUYPEA0Wb5vZst2OXtIWVE8sLpKh0jdQeqZZq5dqo8peM+6YD3oVo3SMoRh93H22tuqqOUtRY
D4ZJkOgp7CXUkujUfoaN/T/p2ZqaLGZ2aqXMQIaF1eTkKJcb/57ohwR8CUss5WJEP9lBvhyE/UjS
IL4WprfmZaSBktHy4rSmAAK5Snxo6i1oSIIxoKx7vj3Tc6t5bm76nLOJHuQc3CuVanlWeOTKryI8
6uFSe//SkIQjaRMIDYwDhoQeeA5KIqtYyxV4BMuVeRe17u0BzZ1/kPOgCgC8IbqRhZ1jKTyJGy23
vbQlQDg8q1NrCHmHztySR54iVnGPnlsSXKLWFehxzjLbq5XiLdEfwyGhWaVtan9tdvUBfGVm+atu
KBRRwUt6e5RX4fTPNtGnVmuAwAEHF+JLOVchlBuWtqdstHETx/eJ+Zj5jaMqp1gGb2e505tHbu8L
9ZkEkCx/UeOYNtvbXzE315ODw2seWCpUvS83jzZoaljrte21XezwJnBGPYPaJ54P1kIFf+70GWjR
0qfwBe8wwVKWKyGPQLjtTaQXSF0OKVAD0Q7U/Vb3entQcyfiv6au8tJZxKPebgPfS6U9kDEUSEiz
tpbW7/pMwK8pyHujV8qAZp5wzHM/jAYSYfOEyRMk87LE0Zt3uUareQgZ411iUTncdemnScC6VK5s
f+s3mxyzDKK4hXDtehWhxIIkrYT/4CIRIVdJBwxma+DEJIX0kcuTqC/YeYjZrRO1XhI3v3qy4EaG
C0WCDiE1IO8i6ZtUyiGHYjZWUtYdDpBVtRnNrW5i44SFMwBlSbWlotn1ksImHg/STz+cIkovdjHa
1noe+R7nJQ34ulGY051ub5v5gZ0ZEeLrmiuDFFrM9+rkbxQ92usso8NmNHbV+IeokpvhPXbb5Mwe
gsTElPoBZuGaPw9sLYPkQwzNY+pjpPgfeWh4VaBtWvaVZHc1WXB4c7M4rRqEJtB/jKrN5WlvtYIB
jxjZnpTsob67B1doGS0EF7OzeG5EcKq1ao5WpTLb0/RmJatQtdjWpk3BSrjJoofefjP8r4EUC2f+
Ckc27UoF94UxkREjPSksHtoTrRooW9vrMi9Xor1vl67ahrTaNU1OK3PdMXRdByHwSQsX8MzT4tK0
MK02UN62RSrbq+Kc9vHLA57s8rZ3WUP9aJO51pfNE2q1axO0TPqS9esQcrKO/l4dgGNE94IfMrUQ
oT2b5lvOGpp131Gzro+qss1G3GajI0uOijdvDc3c25tXvb4+bcRRIArR0LqPm3r6+1nkYegFr8C9
aXs8pI/PzJFp7vwxHXT6usRBcZO2W7IK6Cfo7p3eCZ1N9egOB9vtaOYMWydeyjHMnabz7xG2QFSm
ahtM32O86B0gEYGjgP2iS/FU+dDyhZtTmR09ktJQCUJHHOLcy9EHYd3khsVxmKxu5Yd4EIX6ppTe
O99eVxVzrGrta3BWsuVUPkDqA+3Vo9mPeN7ptTOErtR8ASZiJgQQfSBWNmZ4f3uBpn13Gd5gfXAU
8ZCaZMJFnjOUVOPAYKPtgQbknhEWUOhVPd62cX2twwbyEWjaQDv7FadBLie87gZcBnYi0bokGOhj
nbe0xNt2KWt8VSWdzji6n4A3QMbPAkHv5ZRDFSi3gkDHQauhso3GnQo3LUfSPKe1ktGoKahKThLE
I0lPidI7lgFy+/GB9fGqtkyQED4HUCe6PQMzly9yy2DjQ1UEPegiOZ6WVAzYJh/Xobo29IPf+o6s
7MKaLxy3JTvCOW+Uqh5LCQEUaTRkeLOtzZS9hqfbUpFnydB0zM6OdVgxXY4AD/eGfqXblIOckjnp
wjUxuzfPZk0IB0M5TwsbeGbPaONfFotD2vP65fbKzF5FZ0sjpuE1PFniscBIoIXnd46tbQLsm5c/
ZuQGzT1ABLftKZODuTpw1oS5xY6YmvQuZ043IymRh9T3YkqeJMem7Bm1Waemz7uecqpRcwNOBHpn
7r3We/q6bX3uJKIZAqfRAHoKZM+XxtFJrwWlDuMmBI8yxH6o0KnZm1QrlP3TGvd0EM9tCZ6W1+D1
atMM4Vi3MbXPMn0o9YXKzZwzR7g3kV7BgaF4czmcsPYTH7gz32P9k6lA+w3o/f7gqztZ3RtLKzft
NnHhdKB90diMJBnQAZfGjDKTWTHWYEpPpTsEJ2hqMl1QOn8bIdpjLeVO6f5US8JfC0ZFpA4PeVgY
Q+F7zYCqbcm2hn2oJLz87IzyEWXvwbQdprCloHPWLjTaALdHdRosh5eDhS5WkcdV5XvQqNzzAgec
joPjy26915fel3MRJ2At/7ElXJJTJ24aSZjYIPtbxM+W9lWSBU8ye8rPbUz+7MxfocUyIFqE8ehG
TdO9sqtWmkr74TOKj6CXzYOlvogrzvGf7X82KsEVq+jbs3MFFg2/P7X8qIG7XUILPLRZg/yxQE5Z
OkC+6q7v0jVwzwuRx0wiGacPgG3gkyDEDjGXywHnqVGMQwrzVhRNHWyrIf1dyL/U4MEunoA+tblK
JZUm8T4eVDf7Fzf+mfWf5Tib7nGMkqEruO91wEeVgHzpvbk1Ozc94p28cOfN3RKgGsA/KmAHaKq7
HGkEkq1YDvDsS5gbmS7b3HaZsycBOj/6JDECPRWhiDjAEeiNDjcWIppzTF67faibTt76m7Zd9e8c
/Ty6vGB0JvGD5Zt++kcYAlHT5aDqroSmXypj94QQxEg3yPLGZNuPbgJwvFa+c2tdAN0QfIKw3liD
qbks3xpIK9we+xVB9c8mPvsMYRNLUm7G0PjFZdWowCfRxngai1WwGtb6pnfL3EFNV1YIMtBuTxb2
0JxzRweTgWSFZk2RnDAFVgiW6BDOfYjARfoBYjCqglMH3dFQys3RKbsw1rmLGUSFoDCbYmEQ21za
i5iZRR3QpJ4uGU5vpC+ttgNVruYbTp7dcfBHgt4Nve7xqkAtRtJ2WfMvrjO88REiom9/oiq6/IKs
GABrGuHsDV1y5GhtF5vCOPilqyh31hIV35zXPTcm3J0WOiE6XZ6MjS9dh97YIw/Y0pwq+GLxzjw3
Mv39zA+AcmYIUgLXjnDDh75irHwmauNV8lsIHRsZYJmUFRJtunENnomsT5bO0dyiYvNgPtH+A8Cr
4Ab9Rq0Tlpq+FyF3mWjOGJSujudVDkY8Pz3wdt0kv63imIX2FkxlJnm9vavmvMeZffH+jpCHkM3E
8D1SrZIaj80+eSzB6b4u9PZJwuM/XIJdz55ZS7NwdMDybOPZeTnngxRFpFVsnJvO2KSxpyt/xuqt
8g9Snmx86NrkrenGiSPz32UQrSD+fDTsxcz1ZEVcecS4CB0gioAMgODAFC7xQupTArfZr+zhiTU7
C2izwYLyMy+cvG+pWaOpXY28PJefbs/6T0OgYB01AYBRQR+qglBbuBPAz1bW8OnEA73Or3Hdr8FO
gXQLFqB0bC/eWLtwBd0ApVtnTrlderfMRRvgawN7EPqlACZQhCVgTVdXsaKRadsbSeyycJ1qj+0q
PtkxbcG9ufCI/z8MargBkWaB+I3gK3sw9idxohCvNiWHl2QltxQ4rRbFJcvfmMVfye4cdfF0zSwy
xvlfs8IrUE5B14/VI16ePPXyvdLE6xidvKSiMlR3SO8gbq3dioVLfmXyhFfrCxII8N4AcHyVzAZH
KfrniwZ3vhIip0LTjoKBm1sUSHZ+aDSFGkvw62nDXpsEzyXo+IAQEJ9OIY5ab1UwOZCS2mDQRxOU
GuiHJme727t35uIDQQyanSZ+K3S9Ck6T501nRASXbptbOwtZCis8pKm1hcCJI6tvZrdYppjxUrCI
LlAZkE0k7YV1LKK+BrZCgZsmKIOgsDR0K+bT3tiFVuqM/oMit85AkpWMNvfGrBwTlPsaMjiIqt1I
ec+CJyV4UZcigLkYeqI2RRYazG8TK/WlK2OBHipqFhGvTdgHdrWe4d+7SIXjwptPzihoJTdBvVHS
blXmS8qi06ERV/zcurAOuhwETd0w4pn+mIKJKKOd7hkFLVsdZH5LWO3ZVUd3JZJxaPE0fqAZZ1dl
mFRKZ5UFrPXriEXY1mmzHdQQYQaoeUG6Q5GVX3oWzcTOYOOd+u3A5YOEmfD0ynhDGqwnAd5jCEFg
ACHCE2Qec/+U+aCRbmxIQCJvBpLgOj8o5SlLD3m/cEXODhz8hQir0IliimUbNe4S6CxkxOuNjVXy
tVmGromSMU5zpX4pKBndPl4zgQ+6GC0AaSeYD7pSLjdVbYwk6ZHx8YrYkFy7QAEnJOiiaM18kfdy
zk9BuMYAFgvnGGmmS1u8l/wgDmrYQq7CwV7eEib1OwCngFVJ8mNggwogTnJ93+VQK0I7ztJFPDu7
EzwLbwgccTEdSgaWDA2TiOdj59oJsgYMJatDYw/gn/pgydvtyZ29iWANjN0KCHpQ9rwc8YiOPDDL
YjXr9OCj67H+C0VyneunDN15ekzx/JaWqo1zB/XcprCiMWiPGlWGTSATjRFUx6umpX3ye4mJam4u
QXsFP4QAHCsqjK2r2pYT3SZeZfgfWZmvi0SL3GqkyWcdORoPFkq2c/ZQDEflHW/PSdvqci7zWFaa
NMbaNaYT8XBDTvVGbhRHKp/7dHt74eY8wbktwdXGYSj5+bRPun6kYVMi2bRw7uYu0HMLgjstIR+f
8WIg3ivjyspw6pCsSLSEQpm7ygCWwG2BBCcydcKJMyrwnKc2Qi+jNI69tQ36Z8vfFWVMZbnEBbJa
UnefHRZQaJoMvaip5nC5SLqWg8McoAUvG203IrbD/dZLVGkjsfXtJZpzXCioo2sPaQ4o0gjbr2zk
QslSBHmF/toZd5n5zvy/t03M3rjnNoSjVCbYjRUSt54PDWp/Vb8CNm3GDqYwo6Ybqt/2t7VUklsY
l0iz1ls88ccWNm2Q8zZ/LftUtB8L45pzxGfjEt2goRIkUgxsbxU+SEoOMpioVE/yt8gXV9/B21j9
U9YEpE4AIUVLwYSnhBilEJKjE4SHjSUFJzPpJHdU9YGO0EN3FgY2N3lI0oLKAAkDIMSnv5+FDWno
K0EF9nevdUvKHFQYaUjNVbH6eCmceC1tlyzO7fdzg9PfzwyWtQ8BRRWQljKzNymkkezfbSU7XLYf
/sXQJhlPyUTWHZggYQatgnHLCg2UatFiEhvxOhx/lfvc9LIuREC0j6sjs9cjLhk0QYKgEp2OH+n4
uPAVc5fL+VcIp07PmT0SZgKClX43wdHf8/fKfsHzw4nynoLbX1oTw+1zrw8dX7nDl5DmbkQrwO3v
mJt2IP/BqzsJSYIv+3LaE0k3DLRx+B6IkmkRAwYaHcsR1GAxX/DTc6njqcngf02J144RjFaaWCMg
LkOwsjQaApewz4xoG5X6qbPRY6o8xplEe0s+6tpj1SxgbOauImOqjmHtDeMKrFBPBGRZhvdPLR0H
wsDEvOANZpYUB3NCmU0YM1ywl3PZGmZuWmMWnGoQgylhAIeAOy/+ZCWedPViEDizdGiBBxEZyGIA
BBAf50kBvbBGTdgp/avtR5eckp21T1fxsX/MQ+o/BTvLjWihrG/vmGlHXDxfDMQ9EyIK6mU2wnth
xwQDuMfL1mSnBHVT1Z1QB1pNNU51MNeY67JbiFYW7P1EhueOYRizjoOO+SSH2bGyPxkEk8lwsutX
NA+7VbavovvbI7xaR4wQgpvaRP8H8RtNOJqNzIO887Xg1NboNMq0bdVtkvihtLUXn7i3bV0t4mQL
uCGgooD0Bnff5Z5Jy+L/2wIKC1CZTZkDmmiSzSJmZMmQ4NCtPm2CCI2hp8a/L8GK7+MBxlOFlvHz
vxgRnlvYkBMOWRSEs5ChqvBiCE59q7rQoQVo/j4a7V2u/L5t6NqhTHOHI4AePtQz8N68nLskkgKW
dYydjNSrumhi9nWR5HC1NN/3anhIEmDbFNoaxMEekfLPxbHO7c3zLxAmVUKOLm/6mJ2Av+j9eEfa
fW2EOxBFunEdO20CLYzg+/aw5xYSrFrQogbsCUUFIXo31aJOVDtlJwmPS569a13pGP5usbY5b8ec
RH3xxLxSKmxrH5yo/SQwk2yl4Jsj55fHz9AKvT2cucOG5/l/zAhOMyqDlhkcZtpgWBXgEdVjnXYx
OLBLaQWDt61dvyOxZ/BsnRLYoP1HWe9yzxRload4hcEcHxwZPuwjCjvqMy+w2pX+MpD3OJLdBaNX
+czJqK4D+oj8G4CryqVR9JiWPBngqfOVtiFbtGPfsR2rPXVjLJXWJt8kemdQUCFFj0thypBfmioL
3vZM7tiJaGhSuQtwEI5++EKUDVvaiD/t8Fe2pr0BwrIJkissXUB0qx14y06H90/wHK5OJ5mebPq1
Xp9263VKT+sTfVw97gJKHx8jd/39HAClh3DSff5e3T9/3ntv35y29M4b6N5zPrzV/eh4bPX19+HV
3j0cBmdr0obu72TnY/v08LU1dw/O04Oz2i8s0OwePBuI4PCTvMDjaBpI4Gn3nFZbDewoC+HPNPG3
Jku4NmN1DMGl1sNGECH2MRoDgV6wFBT8BFHXZnA1I24HQFwkA68helzFQYPbEjJtRv6r1UJ0cgN9
N/wh0n7UQkdJ+w3E5ZGXK7stHyt0Qw6OFD9XxmPWFE5HcjSEqS4wX5vbx2Byhrc+TdiaaIEB3opU
cFx72c1+LeQcZ+cXnEB4Lms/TNGXG98gfRJG8shOcXYw4oSyYsFRzRlASyJafqcADzf2pYGmi7W2
y22crESHay/hqthQ/VMVFEQBaNyZChAQBEaMKnh3I48Bb/ctBHWP9F53lIVdOLc/Ln5fzMf4IfJ5
fPp9M3KgmkytTF6Z/ISCATW334X5bMlgmXklaeKBR77X3GKgcbGT5L8sSRA1/AuoqDBkwTu2vNFL
a8DEtuhbP1mFLu9Uv1vqwbx6qU9WkAeXMD5tKoZfLh9rszZEkQtXNfp+FTAhqVsG0Ub1QY0pdH4d
sH7f3u7XEGXBopDB6UChlsg+LI5/AEemz5b7/Pt0HzuxUzvvhAYUzzzK9293H6veWX1Zzp7+2qpL
GlbXvZfCZwjHrrNGHjPVZyc1vpOsHg8ThY5IZE71pjIxgA0/akPkJmZDzcY6yCrb9BwI1wOxvric
O/rwu1A+WPDc9WjU3LSR2+jJj4w1vAQ80ELwPXOBXayTcMyitOvawCDYoOXBKiQ3ApSwkSrkmN/y
pISadr66vU4zzv/C4BQHnb0v4jSopVTD/KDEd89s362lg+0zl+QLW3AmWIQhDXQiaAcG/kS4AdSu
VkLWxOFpkD7KFpDMzFXlAUfKTVXDMfUPfXy/PbTrmv209tjv4N+F2C9UbS7HphlVFlXgoDip1bts
wbPLvEWFUdlAytYhvr0jwI/bpN8Z4YtGCJh17kcFwKCu297+khnniTYvKM9JU1HIEgvndVhJdR5g
7L0pMxdAVZ/qabFE5jS7lGdWhL3DM2nIeB2Epzb6BDmxvmnYK89WdfV0ezRzKwlRQkwu+lgghi7E
C2GDNwlvhujER3R5eXmw99sMohvt7yxlIDKwRwfvnts2587FuU1h9/iGH5KUwKaN+BFNryttFTTH
nOlOYiy0Hs+ZAsIWvXmyBcy72GRllCD870CjfgIbQzuswbEPpGap3fv8SBbTQrNuEsx0qBOirAOM
gTCwtm1l2284rKXSimiMttFUG+yeSbHxA5D7Q/WsbGllPBC2LoGxAM/QYIfPfYQp7zqvbL87ov5J
f2t3UJ6q+l+KRcvwrUGhsUfwE4GbzNia8l3Id5HyGWlLQqxzmw4gQczXRLmEauPlGQsNKCMQkKCc
oNG5QSEMQDYjvUvl0uFLFfy5UwTVVDCs2eijB/Lo0pTPwzghdhKdlPALCeZoKU0/t68NlGyBEPxJ
kwm/X5fhAIUgLIWNwJS04y4aj2UC3VGLApPY8Q6dVEvEEtOZFKJCNIhALwdZkCkpJ9zLUCJs/Hxs
o1NmoGVIbUEctUdidOH0zM7cmRXhLtbwIkJNqMPMGZFNU259IVMfL9wks9N3ZkS4aTFpGWTXmwhc
7H/79Kjbrpy9StaWGTG18o9oqft65oUOAn+o/yKdCdi/SFcmd+qAcA5TJwcuyNgSSEqYWguV1iVG
sbktfm5IGBjv9VrSFRhSzCdJr1eyifv/FJr1OtPc225u1hTKUBMbO1KoIlYRXcJ9SMYap4lXrtI+
2g0KvcSxq9eIfN82dd22h4wbCmuYOBl4H6S/L4+TFNtmbsR4K4Gi5T4dsq1VSRRJpAc/HlaxP7qq
TvXRschLGC7huGfWDrah5oh2fRw3MUumJVqXEAW2W/WxKLaZTjW4dGNze4gzs3lhRfBNRtATG5l8
dmosOacFkKcQhlP7hPaj8Rhru9vWrpsRJ7IKDEdDLRvNaaJk+KCEWoLMenhqoBZ58KFf70qJOTh5
kTWrQEqSld5146aXy4JWEDo7QIY0OjLD9NdorcpQ5szz16HDy5ObTbiws2ZOJwS/kfyHj57eV4Kj
qY1A9hEKI/yyg00Noguk1b+4BmWcFK3gqu/KNf/UavnX7UmZ8W9gAp1aHZC0Q75JXAISmYUGauFT
1xfPcZw+ZaZEVXUpip1LbIF2f9Kjn6BdIGm+3My6Ugc8MuPkJBn6AK1Tu6TNGFVUDzwCEIHCAwR8
IM+C0hEiz4Is+L6ZYYK8GGcImBTsAPEWbFVFTaFokJyqKKNx7xgfIzjBbk/ldRUZXIPnRqbtfh6q
j6ZJuN0kJ9AzlwNNqUZo5qUljX7lbv2mrNnCqGbODwyixxW9lpqGosClwUjKQt9HP8ypqqx4hc0i
HWuQdgEyl7F3U67L+0BLzYVhikaRngT6EB21YJ9CiCnW45kh+WkI2otTp7TA8W7MwNMBQisNcxOp
C1mTqxz6ZAwtMgb8LUQbAC29HKFKmDFyFcYC6aNo+jXArVQB7/8AdhvrZJtuK380ldulEvVN2YmN
haKcuG8m+7ph40UwYUyRvLm03xu+3WeVn5xUH+Tv2XsPmEis/xsjE/sKllFHZUdYxhTFDzsGYvxU
6TU19Le+4pSE0cK6zQ7lzIpwSwag7DalOExPA+o3HeYvn7g7hiU11KtH3TRl+BfQ8+nxgeUTpkzr
6qjjcnKKY3ldWz2hLHtBgxPklOS9KW8kPdvJqbXWCKfMrj0LT80lxZurdtifj4D0DHCFEMICefrl
R8hyRdrGwpQCwWi53Hf7lepwB+h3SvZPX19/01MHZMdtBzB3MmwcCISnE+WEWEFGWTVIrQSbJefs
URr3SHRif/prOVnl0hLiZ/ZogGwUHKcgGkfDr3A0zFhhklpNQxxPdVO4LcIrJP2mInmCpEQd97vQ
7mmJN8lYJtuC/U3HpaL57IghUI8TCuV25Kcup1lPMr+sfJaeJNwhjtXhWg0QHq0ghM6pX9QQqcn7
cHt7mq+6hLC4E70/DguuFOSRhZ0MJojR7yxY1cHGQvzPfNwqff6RKI7dgdvD2CedW8mPqv1b0lOX
Qt8JTYu41PSFjMnV6KcyOsBPqHMhpECV4XL0UpP7CQNW9cFSiQRFRskxmqB3xmEMkKDSW7QJpf9U
LwTgmkkW/UcEeGJ+FXwF0RnpY9UOH3I+MLdmigxcvTIuXCzXm2syI4PAAOsK2g8RxqNVEyGXBjMg
buHdNy8g7T3I64xDFrgATUH3VvIDC1vPjryw9HjCF3ziVSb4Z6BnXyB6XiDa9I5b4YORgKkmcclw
aOM7XSs+UA1rWpmivJhAO6tW/vRoakBf774pQHZmUK4cib9Fe4269E3T5J4/BidFNXCyTtMOxkR0
tV8ueDGS1kwbLHiXyvkuzKNuEyeyvFd9NGiXQaXSMaplgFplTuNON45xkXOX16GylqoovdeYNfXq
ct7tRy6P1I79xCFFjeovLm+3SPkr07XfpClSWtphtGIMybDbp0eM7CeCGnz/RJI4tXyJKztpiiaD
kfBjI/vNKtMkw21xA4GQNApcKDMvRt2zBgEIgxtGKxL2zeWk6SNjhPCSHxnKV1n6aPFHBdFRWz22
VU/N9rPq5B3Juo3/Vu86dmj033BfIzOd2wP/yQudr940cvCAgIwDZPJomhQ+JLDbzOrymh8VQ9oF
8p53b2rmVG5TMicIwpVWgtLPP9itSUuohY/tfcBW/n3S/A70dl0Ex0wztnn1gd5Dhv8RoI+nrU/D
K8jwN92wcJdcNcz/fC203/ExeKmAS+hy2voQOTue9PyIlM6+z6ndaLtEMemQNA74l4O4ceT620DT
CdLDezUbVzXXXU1xU2PXFfu0qhw99VitO9noob3jSR96dOEugXV/XrzirKJX4QeghcBeFG2WqopL
ipk0x8QEUT+tOr14yOS6lhxlZA0wVIEUam5SGYlNm8BkB2VIQp+WvdVQKUSl20LLLGgLtUoJn8sC
MGpqNJq1j0q/z1ZNWsleFDfo8Sz9KAMqiljpnzEKAF8vgib6U5bQb6CyVRXHHg+KTxZXEpK3kEDs
XS3j1rjO1FgFQmBMl8jYJg90NXLku3DboycHPZSXK6RpIWindGQda02jBWTm9PZvJn9yyM5U1R2U
SW/vX/G2mTYElDPRdyRDyVj/cdlnrwt5HBojMGEOcC2/xE511xRrfdvI1ZgmwmCkZy2IGuCxJhLM
GXI/conl5BiE/jFNfOy+am/q4yEmRy3meDv58tttk1f+ASZRUZQRfYIWAo/Ry2lkY6BWqOiSoxHt
UevddfzY44kYai+37UxRwcVywQ4WZBoZ6NnR4H9pR26Cto2xc7zYof+UaXq6LAFpmCTK4FTxgr/8
7aa3S9MY8BIiIxTYrWpblXs9tVZtsaQFJEbxoiUhsE0LELHXiRF4ozU6ChklSjr+Rbh1f3u2rnab
MCLB/SR12QaoFMGO1kBvQHWLLDjoQYpW4OhPUi2VD6ab83JxJs4AdMJA+10B4d70OWebeyi02AwK
TGBxh2Dm2PsuuFX0F7wNWnl9e2TXW/zSlBBYtGquNgwk2eCa9ffdo1qu/OYYp5+I8BA9LGzuJWNC
xADhTZxpPES8MQv31ogoHTyXBaTRMKN5U48UJKa3hzezcOczKWYojaAZQcYGi1r6FMaokFi+O4L+
AM23LPh729b10b2YSvGV1RoN0eLCDjwJwIywc7T2LsNLY1jSHpzZ9BdjEjZjH9ZmqyWwM+YfQAc4
ca6s5SVS86v0DY7WhRXBESGW7sGpACsdeQsN663109fMVw7Kc/JQai4JwkclQw+cPjZuZyxwQF57
p0vj09/PDsCYF7ZayT52pflid99D+g/fKj+Dm4C/aO1D5PrzYD77fSP3/S4dSeBBsyx3elkPnxpD
6ZxArop1Wxa5Vzb9UhZ5bt1AKgBUA+CWYBMV3GKbknHoQs68LpE6GgHZvk/NIcOVLC2ZmnMgSJ9M
wR0yKAjTL+fPMKoQj4KaeVwrI7ICNwWiWWjdAfeLx9R9UqdBBX7JMu83JbQiV74UtEscgjPHYXot
mYA1IfeB1vvLb0ih7awGQxh7QdeF72poA6/f+N1K7jlxhqKqFwqhV0lVLCoEb23A99D1g9qDMOjc
TOyxt3ns9W3mKIoP7kekNqveCapuFY/xJvJ9pzFCTwHp2u2jP28boDp0eSBSAOrocrBlPWj6qMux
B37j5DWyQc4/qGV2wHfGkPorZHBFyGRV2uSdy13nlmUebG9/w4xzRRiPbCSy5iag7cLwuVlECunV
2MvttkzX/TjqT3VbAQdk2Swv18zQpMRRszILXT+M2VIHz5x9XJMQAMJnoLNSWG9u+hkxsjHypEEF
S39UJhu9qdsXSQnQhIL3+UFihG9MI1WW2mxmthqaX1DTnSJuEGoJJwsiPYMcN03q8VoOTjkY3DY2
r3w3y611W5X/VCEKG21KNuBwgdtAQi72crGHqFFqsyozLxgzsJHhOZunjVPCFaO/SF7YWuLYAELB
41Sd2v/wUgPT/qWxUbGzuu1NcPlHT1xyVfUzCvdL+saiv7g0gqLApZGpI5cVBPJdUD4g1VEF9x0Y
EaP+GwrVW6JGNAGn++3tepUZ/bEJYjd0RGioP4kNGJGfsapTfcgP9s+dfk/UyrWrigKQslbHiILi
taesMouVnqumw7iTZuWqsLJ6X6T/tLHm51sQcdtTDgvnVzi+PonkmNf4lhAhHR/DY/6jrAFkFd5l
t8ctXm2iqWm9z66eYuiauImhYRZJbFMDK1XLS8RBYtDzYwIqbBLqlTJYysT9aResM3oUmdX6qDAL
nOpIoBijA8wl8oGvt8czawynDmk4FfmEn2U+G49tNS0BIjyGzil77Y0916o1CZoNiXdW0SzhN8Q7
9GdoqM6BQRJxMUpYl7OH+nDLYxvWSPrgoycRHSXJqC4cudklwt2JsigYEcDRfmmk6oo61s0wvks5
+dQjc7iXTED4b8/b3LlG+xE8CRh2QfEt7APGwlKP1QIwPziRKD2idwDhfcBQ9VvqpZqbNBMB1YRS
xf0jJrlqe/SLKIJalbaXfSf7XBInmNsC578/3QxnW6ADOIxEXRnfmbIrjeomAwmXlQz7ApxfXRKt
b0/c/Gig0WGhQItRCatjl0mrZw18VS8ZEMBAC2dkO222SAU1+bzzR9i01RAZ/seOsNUATwtILENs
JEnu4rymTOKOWb+VAVgZ/HSNJAvti+86XnKMsxsDBKEo/aJ8ioDmcjbbJEkLzuCLMvSndLXDyjeW
fiVj5N6ex7ldbv7XjhiOVi3JuR7AEWUotYWneqkcO7tOqKUjQwxwNKpPl+OwYqRngBiI70r5WMTV
yk72zF7qyJrdemdGpr+fbb2WQSVXKXFU4wxK4V/MTp7k+H9I+67ltpVg2y9CFXJ4RSJIUIGSJct+
QTnIyDkMBl9/FnTO9SaHKE7J17Xtt83G9PT09HRYC/ACo3Agg8iB5vpgG7syiTNpjKED0oCQka6+
jvoVuHITVCjz2JG+Nf1Or+UjXcyHQnzWi8WJySkZVKfv231jeUsiu8BpK7tTOe4BjmNJIMt5Ems0
yxqDPbfa0+293brP13oQRt8RDYomo5YUg5N6r0L3AJu3hO+yDsgU5EWIYQvCvlde4vx0W+DmZp8J
ZDRjkl7FlEQOb4awa7AaN0M/ekU5z8LN3T6TwhwNEDsbcypCyjC+VzGGbPNAtL5o6IduyL+cjnV0
AAMzIF1h83BKQgENTOGeJyP6ZeXB1M+//kVl/0lYz+eZ6WbRjMd7C1Y90tReAzp6V4kaQDxoqXdb
0KZD0ZHGRMPHWqxZ9+5MUFL2ZtrL4GK0su8RGDlzciCgj8g4p0Pa3J0zOcyBF+uUxJqAawYcsPNE
nGoK5zQECteu6SaPFk5U/Ezkl3EEqPccWqS5M7L4NDRgPEEyfq57joJ538Mcgq7VZGnQoeDZNZIs
IJrxXAs9SsCACxow8Htby5snACMgeNyjafrq9ZlPXaQLU40jZxU26Mi7abFRebgthH1jfdxJaxMa
2ltWEG3mAFRKY5EFyOCgridvbaKeQMrh1+C2q1G3AQSkAaDI2xKv8kCrSMCoAcYFKWk0hDMne8mR
GtcniIxNBfNGwVQeIvBGGKCUb0O9rl0VHFhmj6jF0Y1vt4VvWS7CsJWF6wMRkVluTSxaCkUF2cKj
sEx7qx5AZzY6lThy8oS3JV09gHRV6IVOxO5JS3tIKsE3uxOxtEe8XDh2wpPEhC+gYByAdwlJVjGE
ikUfihid2ng/iqB752zelk3+pz/kBi5PvoUOtjQRCtC+AuGfCN8783GufvzDHqFBD9OtK5L1lQwJ
7IpliVMGhGdVTcK4v8vr1imWnuORPxII7O27Ijb9P0nK5Wq0ThBiUUbZe6amAypEy64NsKW4Aji/
pF7/HRN6V8zdzirLR5rJTmlUJ6OoHxNg+0qLGPRg6Cle8gzFyhijHJKxy8m3hCwBFXvLBiz2HvmJ
BdUz8CguIi+s2z5IyE9oBqAsrisupIqLckzx+RVZXjJNscd0h0E/yQQDgOb0ArifNPUedZIwiQcb
0wwc/7xpeKiYoW6GgAx9cpfqG+uxISjc4TCBOnknZaa+n+pSeVUWqb3vhOazTCwfjgN94uiNQyIZ
w/mX8iRdnzMM2cL4QNvtquKo+0OFDCRpWjm4bYNX6bcPWYDYXCdnVswpxtAnnYLfHdn3Yx09ThhF
WAyzduqieQYbz0E06YsZd2Dxm3yl7B9vy94Ko1HM/yuascohGeaGthI6uiWrxmDQZDjzJPNYTDdP
MlpFkTf+aLxjNg/F4wyxHnhwtaZdT/I43IlchuEtC0HGAA3WaHVZsTcud2yJRMQjdYTwthr2i1Ht
UT4OkFcDfqRkcIAittQGNisJuI2AJdMVJvqpc6VvjUrAQ17Onw3Qmcp1/9kev9UqzmUwFigPQqUn
ZF1P3DuA3B4WwMvyYtJNpa2hFaZvREwXMULMtpRLrbDglYbZL+LvDSh8k3T0M0B9f97SgD79VxKz
PdTCVmiRCUnKHxMVf3H6c1vAlpGdC2CMrGlVjFvG0Fcq7pCOs/NUdLghDE9fTDwxJkYWGQZWMQh3
SoEkUXdHJ18WK/8fFoMSug6MrDV+YeRopB4GscFirO5Ug+2+oy9cUt5NIz6TwcQnUWzmAAqAEVfC
y9SnmCHitRRuasvQNWwLysEGS7s29UPRmWWOsZ689rp+2A3Kqc0HL9Z5r4SreQCcFrx1MKyELCgA
x9n3OpB4YqA5jXAxPUAW5AQBnSDkIMvUJgttWnKch6BKE52k6ARXjYY3DLTcjUXWhdqUp24tAkvX
0IjdmYL+ecO8+DTGMA1hnjPa45UvTp1D5sOASVhicp6w2wpAazWwGkGTCP936f5AJlqO8yhkRxHV
srhWgyx+IYA1VwCEEL2C+lyfD4IxoT+3cVId+YUwI6KdyLwBno1jiLFnPCMQaaB/luX7Sw1pEo0a
WQZgcvqD4Fm57Cj1y6ePx4UQ5sakVWx+cPceKVJbqUK91MRIrSFybuYN+1VRvQB2u4YJOIQXlzot
kjkF+2UJNw9U/rFC9/PsCjBlpeRpbUuSBa6ydYAW8Q3bqxOBK6nTBUjCd3itkIBUC9yTRqgB5Pu2
6tZvZuJQlO0wu4HSKnogWc8So2l9EAa8p5ERT115UA9GNdUAoei/IRlWO1PaxN5tkVsmcS6ScTRW
o5eDJiEbQUFC3ET0acWcjLnYJ5s61NHBjE5TZR14utytvJPiapEodovIBFOEyRi0U5CMD5oG2PR/
WBIYcDDzjIENZCcuZUUUQLcgbEBSmr4MQaF94dW0NpzzyjyDQUX0OeKdxgiQqqkYtSEujkWiV3YF
wBdntjre+3hjZy6kMAYuFk0LaJ+0QMzkz+Ns53Cbw1xznqebUrArqKquzYVssUBru1aSlqw4RhLS
issTGObNoeVEsuuNyNi1hvLxXyHMUuQiSUsMCeCuqQ3iLSR/FkmnuckKwpuqdeENwgiQsiXjvCC3
F4dcN6BwMJGmMhF0lozjMlnIsovSDLKztvfqASVyg8essGHdWN9/chj/jmHcONUnKLFqssCqXhOD
2FY9O8bEcXobDgKCgOkD14cmOHZImqDivKRdVxzB6BpE5QAnod7LhRxMgiQBnZw3abypQGXtxAZO
wcpZfnmUFGvsEqOrCpCwyz4exq4w/ukLHtbDVn4P06vAMNYx2YWInYmogD69yEWPZZE5hhOXYnvA
kKCRi3eJlNsUqOjE/Eky4y0eImdYDok++XlW2PkXS/KEvnkxK97KN7f07JOYlWtWokXInxTHufNA
ryPmVbDeY9P4Dzz352tnWxqlejIpBcLccYpe5kgNpJ4g3VU71eyXI48xcCtVAOxa9LaCyGYN+BnX
lcj9ANU2xbGmwvA6lkW2b4mUOBMGfByhLKuT2ZjjU6XEkwfoy8w1JfmHStTs1E6V9fZpR42mahlk
YaCuQ72IOTZ6KRV1tsC6ZE3+IoAH1G4MUJzmsXtbztUgCwJQPAYNEaNCmC5Dq8OlGZsAs1gsATqO
loKsY4kjHI9WdSCJPXVo5xGzHtQV425SFScSd2r+p0QROH/Oi9OccHzh1pE6+xa2b1BZpryYwS99
zHq86tCWkMy1V5eckHPLUZxLkS5XDKAFuaYV9lnMvwLvA43Tk7pTtG+8qvlWr8W5atlm/3ouE+Tm
gQ4AYmg0fnW79wbMkrKtYHbw2WjsMXL/RBy3vnU2zxfHuHVV6cteMeEuxEbxSlQBSpDVt2DUQUcS
x3LWuIS9uT7Agtb2KzSbMXocMt2KBRG7NbUno3dRM4VDWrSDlO3l3k2EZ8HwcsnJpmeO4I0a8f+i
FP2fYCZgahSC+zQl0Osc+cATJKO3gCNp9vXhoyCImXl7agvOSdk0zhUb6f+kMpptxq6IE3C5HutM
B/JDb0cRwDV476FNKaC6ALCVji5Ctp017kvaT5iVOxZL7cagxbbIi0D+5QSg0I0eJ3BSowHn8gRM
fSd0eo4zP0rfE6Xb5Xjp9EDlEADdzgN1u4IQWB0MmDswUY6OKglVvUthGOEqhQlDN0dTHb1Blvbo
kgnixR/0Z0vcR2TyYqCDt9+z4R82TAd+McAv11EjFnsvRfweG2lfHqPmnsQovYG9o+AJ2XImq4S1
435tKGHCN62TSr03rPLYGfrvkYhf+mby51L+0qB/a055IelVtAhHvdJyAkhFAnTmFXzAjEyzkMVz
aIDPHEQ6ouQniH97KYzR/hf3M0eHW/KwNFwywIFAqk293DyzHIpsJjMJ5dGqf1VGiokeSQSWBmp7
/lRpP1C+MgPgsC8O55Cv3uPCu2ClaOzEgwgzW4AGYG5jsQV5XycSEg6jnj2WWpI/zbn+NVUXK6jy
/EFU2t8jxn6OYCmZjgmwm/eWUvHA4K62F18B3waM7/W44E19uX5SgeZkEJI5xMgd8rHfK6BQFFa7
s5pQRKH/9pqvfPdKBGKCqxnoa7jyWebHbtLyJs4NbO58r0yZl6vaHRpigrTSOS+b61t/bYJCrwLa
1PDovMrTFVWc5NSAqOFNPZA7wTGc9CV+ye8ARHsvHLqX+mf/kz59en0QuuIlgR0RYxarXz8riSvC
MpedYc4hRb8fJbVjATFAFsC4nPA6VDZUCaezwr9+zBmy71y69OZYlwMN53yyrfZQDIndSHdV/np7
Sav9M1aqrRhXK7gMclgWsySjrHUJnak0lLOvcfuW8fLc194TG4UWSaQ8kFMVr7ynhdJaqeQmDesu
9QXjNZMqB/1rAMasjmZRuQmwCYXGcBb5jejm7vOrW5nEEIAiw4NHPbNh4rgUNQa4Qzz2ZWeIS7SD
Fu1s35aysVc62j9RIQMi8jW+8zBLaYdO5TnsRc3TB/HUpeJd3XeZ3SF1dVvWhj8Dnj3yYjANSUF+
93JFmFKulraPoU69mdxh0lt3akiHnmW5/JkaqXissR0BgijRuy356mIHfhOS4nhYoH0O48zrl50Z
f7IYKaWlNodNMdkJhnNhjuDJ+AchBqpImKDD7c4m/kRFAOO3nNBQzCPQfWsOhMjyZ0PMdSUr7e8K
DYSdY1ZCpUFU8jGl4Vi85wA7k/A4AceZyVHYhutFUmzFKv3oQmAzSbUcq93YijQs9F+G4GuoihXF
AfPgjjnx2khWQ2aOMY7W+swCxjjaSNbNO9scTRGGCHy/S4jCwq5s4i/TUh6o8icTZUeWHal7GfWZ
E4RtGYSioQ0VpUX0xLDTMDOphBafAhesZ3akniqzcJEr4Rj8lhbhbgFWhiKZdgUdZ6HnKKlTg4YN
GmRywWt65b2gzf3YGCEpKs6ebbjDtawIJGcAGMJtMe6wFtWuy7tlCat07N7BZQAQTfTlmZ+/SFZk
akyirlPwuMIut6ufC73OVI2GadIDfRUwIKcO4xEPUw5vj8F3mTO4tOU1MDRu4S8qBCgRXMpTBpVY
kaEsoVSVgdiESiL8mjq7M3K/bxe/11JO9LNhj4gF1qwcULGxSsZN9dloGbmaiOGiDV4iLV6Vo4VK
edX7XSl7QJxFdYojcsMLQ6SBnnIA+sNFMSKHMeuFMoPIpE38wSo9sN9V7bvScnS5YZAYIgYqygq+
jUuNOWp0MZDE0kdgX/USoFBopn6vQV3gN3pi7oRCBTrTErWci2xjA9cyCNqW0Va1MjJcbiDVtbSv
DHkJ0/lk9qMfFSHAMWwr0vBsTOyyCm774S1lnstjDKbBG1zVKhiMBoJEb4m8YZfxrrItRZ7LkJk1
Ucz4RrW6hJO2N4oToAc9S97pxV0z8NgmN1zVB4eaIa6Dy0iNXYqqgOJQ1bSkIfqodkKPruJy8joS
cWbJNrSGJxS84dr2trYvX4oZ5naoqNrQkM5SZqdRd5pFLxuncGh4tc0tUSu/IfJ9cFboC7oUVeZ5
l1ZlhTtsnZLKXwTgVtlaL7umxkMn2FLeuSjmYNUGlZVRgqhCe5JyycbNEi0ch7hhC+jXQxlOA3oa
GhQZGcCpEcUhm2mojwCwVR/UX+OEfggD+AScB+GGh4drR8EAjgKoNypjdSVWkIB+gIZRo9gCOkzl
5f322bluK8KTEcGZjpw3WhARy1zujTAksjSrEhYTN6c6fYziAGATjbjvSOpNbWKnxiEXv9yWurVL
GIqC74PdweEyoS5scinLRMaVogkUyFdLoCh5aoOH8vQPggB0h240E2x27FnKlEyJiYHVwRxiEExn
HV7yVubdlrKtRA0i1sfrSrp4qURTJx3VBexTU2cuFf7k0Q/ipw+VM+4n4Z7yumQ2HCxKLohvYRnr
rcyIG2Ik5AyhWEJ0OLixiGbV0hZyoLHJh47SQ6LwwPQ2DjAE4tVgAk0BM4iMwEisl6TomyVUgbzp
13X9kiZomIjQY+E3i/yLo871nc8EiOtQrQlwUsQdkHmpTkuOE2Oc+yVsW5UclJWEdUbV0DFy4EA3
GJmyqZq1dtolZpinsxIoYlo96OCf7uyUWkOYl0vFubE3jiJK7wiC0PYMlmd2KkuWFoHKw4BgCyyT
iFHBqIQh6s+CzyKIgxRYEBit18IxcxqRPq7iuB2XkBzEE/0d2bc1uxHpWAjhVKCJrBR+bJJuEE1A
PNQEoVVk7LoIc0VPZvGrMPI9iQoRcx5DvlfmmnPaN/wl5mURgRjI3IHvlzntwghXohsUqtNnoIuD
gZQ+lRWugn5xx+Xn7SVuveHPpbFlLNKNslpWE2z1YLy1r3NqV77p0jdzdOo9l/JnU6PI6eA/OBl4
0ktTjeYWNtxDo50xhI0sBpggDNpI/0LHX0XxoEUvmGq6U3rXWNy2CUEhI5PsiNnlwYqdUnsqxUQM
UkD+39bC1oFF6hKMmnhoIc21WvPZEytZ9AUTtbAjRXlS5buMZLa63Gfl55UNJmUMXOB+wkC4osmX
cmKzU9AAC0+kkxfVejZQs2+Lu7r7o0nDa5aqDkgOI/0gRJ9/Q0IwynXApARTJAYlGcHlMuaG1mKX
+5+tBa51hLfm5Ojae/c90eyk583KXW80mjhWcj6kMoB7x06YUFGfi7ztEGSK1T18JAqwI3awOY6g
rGrJPmsk4hYaj7Th+qZcxa4dJGsggKr05TqJtZDKGOAK9eKroOwG63lJOe72+jZZ21Pga0VA7CGP
waiyGwvMlyUQUVcepalLiWKr1qtFF7Rf1n706T5fA/IQcGC4EUkuIFNcLmk0il7QVLgDsZDloFZR
+cULJvkuNSknQXNdzv8QBWI4JJNXdkomUhvoos64Spaw+QVMgF0pjO6o9sdumO2hTVwy4UkZVxiw
SsK5vydDeyqXo64WTg3sIJT7AXBS8IbdtwwJBmvivKAJD38ul58jmSQlAM4KpfIbZk5s6o+oicpB
Hx8HJBo5We4t+4G7ByMZEh/IwTH2s8StqWe6uIRRDZSTPxhQHHlFtOubEU/nMxHMglB+6aJclaBk
8nVafiqffw9hGAhTOSgGYtJPZhFZh1LXq3Z9K6MD3dcUBUcvGV8FI/3s4BGMBZVOOE2kLDEiz/iy
ARhkah6neJOju1nfjegz2Tfd/byL9dNt73x9IV5KWuOfM++8mAZ8aQtJciLbmTT6lpW6mD0KaZy4
kcWJXLbO9/m6mLtARfZQohOkZcLhHWQaseJoYDYTdrcXtWVpaDDDtDLyGoDbY85aR7VSG8zVDKrM
jYrGbVD+mykPN+q6cWTdJgzIIG+yVlRUxqLnRusQwyC7IMBl6KlNlBHg7xQoFUnrkuR3ZXXP0tw8
kDzeKYLdpxbnbr2CygRvyMUXMAaPs1tFCGdwFQyZLyT9cfWaVmwdaO7jFVOIw2uRNn4auXLhAZBp
Fnktp5u6Bvsz9IzWqytc82jsVTIN0IHY3JvoNai1o8DD49yUAXIUhBHIwqEMemmkmjAV4G5DxkMn
P6rlCTNP3AT6lufAPqKbAfaCqgtzDohYDQPuCUQp7hR0L7ft8ToEwi6d/Thj9qUKAPLFxI8PwiGv
n5rkbtExr+ndlrJ5lNGShhQbYiAkBC61JMcoVzZphNi2CyJwEwkhqe2sc0bi3xa0dW3g/Yo9X+d1
0ZJ7KUikRiQNDQShrnMnJMtDEeXvmO1/VeQgiqYvMl73tsGjCNoyAqQ5cKzhQdZ60aXUTCimnIi5
GDYgQMy6O0F+qNAf/w9LOxPC6FATM/TRaJkYzpP1CoxHr54nH9AETmPKjpnLXmcYflnnHIe15Rfx
jlsrl+g5xeou15bSHsl60sLfd19041FvR1tRH6DZLMN7oft6e5FbmsTYFsorKO2h7Mw4DbloKIwV
0qxhfuuFOBTm/lgK2f62mC2rPxfDLKqykqFtk0YM08oDHnGZhVmFfPbrbSlbxohGgY8pCtyVrA+O
rVxBxbkD9nNQSPdya+vUnzxw0Va7OOG4203Frc9VVEbR9852tNBW1Vsi4/rSZOSOkxisql8tXC+3
V7SpN0tf4eBWICK2s8Qaq7bHaIQYmmlAMaU1KQ8GKm1Tzsm6bq0GcDUA4UG6CLDhzO3VRUqcdf2E
YAZOQk0qW4LCpOzn51dzLoUxtq4C98GYEDEkp7F/l4w3ge7kT8/t4BpEZI13PTKh5hUod4r2zamo
RTGk8oHS3SA60bhLR47CthwsDAx1GczsoQi6KvQsVhKw+w2liojJ0fsKa1DH3pljx5qox69Mrp7m
MvEESP4VZhz/rlioTOKpmmUkuGZhCpcFIfMw55mdVd38fHt3rjE2UJORMe+EawOWoLKtJ/h2gEPT
aArbMmyNN1L5UR1WzdGUvwnSKygco+xA39VHku3KKkwB9VHQo/mcCockqDGYlNuRo/5URrcvOLfM
Ribz8tMYdYu07y1wIEwhmDr3hfu07Kj/TTxq326rYCuGulDBeh7PtjXLrQqkkpAzAKlguSNxZiu1
a1hepYCI1ra+kfykghHxhetPPgKX603+T/vMTZpj6xUyQXQHRG8R1I47rULq2Zalg9YHZfYVnKTS
m5AAeTnyo9JJv9TCY+MDqqYTCtt6WnRkW+NjHiyqJ1vvg7zr9GO33MX4n2sbnB8v2VMT29XQBr1w
qEwMby92VHEc1kfC4dYyGFs1DTJ1ymRNIVCpSQrS8RczkmyZvAySbueotBggRUK+aUz8hTgJfa/v
+rL2Y+EpzXY5Osizem/Ob1qT7FXgvL5J7WNVuZpa2UOjYiLOLZbc0Ua7Ml8y4U8PzOUUqBIZ5+7/
qEDeWsZ61ZwZgp7MhtXOMQnV6hHFwblxF0W39ThYwWdAU+nUL8mv0u72BlBN4S9HIBI/aLWjYxfa
sECPTBKkxr3g5PFXarqTtQdvrptnr7XotHo4PKSneR8fZE8Fwps1elCajW3pDlL5XPv1owACSvqg
nkzrVGYvuXA/i7vGJs/zayvZaf4w3YMsq5btGWN/8lGMHizAtluexYVXXH3ylSLQ2QRApg8GC2Y/
G2oK/YyUQwjELLT80bL39K5d9iVgFB1zruQwq4vSjhX9oaAl+VL2Y+bMM+UNmn/Avlx+yAfbC3LQ
gBlE4oQ5H1IxteMEcNdwgbmgB9ORtOnLhHw3MqvO0g2h+d4aKvjvMrtuJa+wdE8R9xb9nmuWnRHF
mzWbIscCSpMidQqSe8AYC9Zkb5Hkdiva7Sg4w27Uu8BcM/uYkzXLcOj1QNQ55W/uWhilymMtt42V
oK9RONDEMd60QMCxqB+UMM69OTbRg+vNc2CNbloCaitBthilyXqfSw/Zg2KA0CdIvXTa1bkTye5U
/6795IAEo6GcwFuE68LWPh3BQf3oPkOws7I+sBiTSVMDG1svSfhd3T8qj5/2u5e/zigkVRI8Kgv8
OliEsBedX8q7wUTfOniwUc0QpHtrWryBlt9G5dgDAn/RE17u9mPw/crCMF0D2FQ8aBB/X555M+sy
sRwzgo4S+iCIwiPwwOyaJI91rh2qdLEbuUPzMtxYjYIBlV2xdaKo2NWy9TSay3My0V/I390lnVnZ
xdTfTW0UoGrzFMUlNtVJJcWNMbso+NYsBdVCvEHxFTM0xidSoR3a0J34s1CwgOpbAc0VjE2C0vqq
iaQRlakszIqEoH1AD2Tm1uWEYocXoeZxew8/HiZX6jsTxRzQppPUtos7gthBf+riCkO76Fmp9RNQ
QV4ULXWLSkDft+GKCr2bSPE25Y1bPQ3Je9EPNtBmgslcyTJ+kO6glKoja/NOLgPOV17HUlDI2mGA
IAeFUY3Z5CiezLpPFhLGRWr4VJj8CiwBbhnrulsJQ3ashegePePw+bnqjYLWuoMKMl+hpxZ4gCvJ
WXpBxcEbR79FQ4mvAobimMQVwCfmqvLS1gTfdVkiz7LoeDIOut/L6vB0exlXvEIf+4pYGt30gKYA
ZsSlrWLwAbAYVk/CGqCPhgzQxxE4oUKt7dVl2vXa3jR3M/2hghIwuWutzDctu5KIb0p03yCSIfkP
uV04l/8qlLEAdNegiIciCGYKWd5NTMgB+HhBuzYxo6fK2g31SYpVf+zLAG2p7RQmy8CJDDe2EyIx
B7qWJhGyypd6mFvMG1u5CJF55yzZAfCR/7Io8B6CLw63ChruLyU0g0EE8F+QsEIAkCS7Qb435MLp
p12BmvN4qCmnL/v6aQGmsTOBjIViRBLg3jUEEnBFpbaJEQJtRzVv4p3YjZrkKgkkdDgIqMqxvdgd
GI1JMUN5khFkdRYgxrrT7mPxvv/VvU4F2AYljpNY/fiVhZxJZF6AUWFG5RJDYpoFvVP/Qr/5HiQr
tw/HphCELGiw/ahbMzYxxmpu6rVEwIsd2SX9bkWCn5ZPSjLtx/L7xCsEbFr9mTjGQCq1XJo6wZqK
PbkTddDB9XshAw0QD1H/OhmA7ToTxBgGlVXa5hSCpuxFrktEo78N4QiQLs6Z2nhtXQpiXlsjeB1K
w4SPVN7K3fgefSsd5Y+K+U675xQ3tk3wbE3Mg6uQlwEz5BCVPXaPCkgkvNEvXd3vDrhADM5R5imQ
uaEW5F0bY4Yw6pRPGOMnD0CRuG17Gy/IS90xkUymoLZgdKvuHpLHabCHn9PX0U0Ooj/u0dA2fuXI
u47PL+UxF0GeaF1fI5YIBx/DAe1LuVN24jGxhb2GjmIe1MN1nuhCGlu3q9rZqlWDEtQYgmm872fY
Iq9JYOtuO7dztnkhncbBSkWcX7D2tKlTBqDbqRZ3CWWwJB3w8k5CYWf6ou0ak5d857jfzSXC5lDL
QSM4hoAv/b0wp1UlRHC/mEY4FD08/SzZFW+QcNtOzsQwtmhlZZkKAg5zHC6g4HgfandGpmHyJ+Jb
SezQFp4/8YBv5XBCIN4CGQs1BFnKsvXKVHPPzHaJtjMXyjsGm0cNGWVUwwA0hSHoSy025RhnwyTj
uVDtQTF/VMK6sHUne+gG0CrZ9b7wRFAwn9SO83Lf9ijrzBiI0hFcszNjA9BVQFiswESRDZnkJRjf
LK32jCo0cwLUV0wdNd+AmeYQNeL4l4+ec/Z6WwFsMOG4Tpewb9RiGfpmiDRcb21yUotdr381immn
VsdFfNAUgM7GPzvVVjOgYcl3Upq6ahyO/Y50X+j6cdY30fJjNfg8SCwoPYFRgMIL5ofQD8R4iSit
J0DEFhg8SZ8a8kdYvlPyyvFEW3b1n4yrJrFMTpMBfTfgWz9qegBsPb8Ik3vdngPATZ30Z5vsld1t
mZsi12AT6F9oE2Fxg0ShAlmPhGXR+Ucv38/1TjVOt0VsBRNowv8rYv2Es0SQoUxyO2ICK4xeVGcJ
Btu6nw8JLxTbiiHOpTBORwOoFB4f+QyX92xYua1nwm4p0PCi7zpx3w8BFwzsg5aTtVXULfB0QM5/
JaS+XJjckLICqsQcAizDq4PYQ3nBuG/vtIPldMF0mA/GY/pz8fVd/KDsbyt1yzucy2a8g1FWprYs
FWbKdhOqJ5jOO+gvt0VcD96vJo+q/9pBBEIWto5WIgEkqT1kdC76rQNzn+6GIN8ZTrNTnwS/9E1O
SWANv64UeiaQiQNLMVfnoYFA4sw2D/loU2NnP87Efr1SEiMbSmisJBhxbx+k+WciTPfYQc6Z+ug+
urUOxuLnLqIReFzmUHj226fmS+/FP4CxtJ9sc78E6aF184O+b/fzrgjkt+ze+Bbd07B/5ISGm2cb
bTWAVQG8Kab1GPvMInWQc6xYA7r3fSFottRUvGtq3ZOrtSrg2ADnALqf2PK1iX7ERln3zPLTl+FZ
PZgeAKeD9Njd9/tx8jk2uV7qt8QxV6+S6XldVw2mHP/0gfU84OQpfupJYROQR/KW3Bc/npH/5Vz4
m7ZztkjG+efVUqS6tRom4PqJh3ZJp2y/5CMniccR8/GqOPOUpThXY61DzGQGQvc8LQ+Lek95mfmt
NBPaMv5uGduoBqB3zPcYNcS0QVm65q7Z661tVy7YNlzp0D+rNrjv8kfNA1XsaTpIB/P/T59sbENj
UAmbYwt96m/ivEsSyc7BIFqonHBi8wR8QLhiAAINJ6vCzxSKaVHRAk3oHLbLDk2kqGNT3kDqps86
E8FEoSDBEvsICf5wtjJ0p95LUCXH5ldffm3zKxDt/66Csfk6baaMmlhFeSKtXX3TZLuo7qrpCV1z
77qIqVF0zHOEXpH2Ij0GI/lPKGPyuhHrUjFgXciex7bycznSH+auC4CC5xt34i8EvPqvLDgo3/Cc
EBqbB9Gw0Q52/gHoMr/cO3UY59zqO3wAfQCX+qF39N9qY/cEyRwbk+8/Rh5A+W1rQUbsUiLtu0lM
G+gZkBCmsEtT8LBybrht9wVTlEA1CkwiZivLWNDVToP7MjHRob+W8XP7CKxhm1vD3wzicYr/SmL2
T4xa0kc9jlj+Sg5Aw/XlfRNEQeMAp+SfnDKCL9CloXUPWb5LxUX9koj6OMKhyO6DMtlLbStv5H75
asW2fjQO5Lc+OtGv2sVLt4p5z5XNG+hMOnPI4yipVMGApWalAxKX+g/I2sx9/J7LNrKM5nP7u6+4
xZzNhwrAev6umTn3adfI7YSWH/Spo7JpxUfQQCr9PnuYFdExi8426amy9nHxNdF/WkkChmg/Ivt0
+JXH1de4esnm6X6gSkB5Q0Trzl65i7MvY2ysBfhWrTbrbnRfVVkATpK3GLb8q0pPceHk//ZSPVcF
Y2p1CkzuRZpgapGntK6EW7l19ijD47pEpceugmNTuukXa/8vjvG/lbK5FClSs2WJsNKs3RePHY0x
SvdV7/x4+tJJv9vi+yQh5DJPA7fXYDs2PhPN+IpRsDAolWH7xVN0p596B2juTuMR17Rbdz50tszx
HJv3zJnA9ZI4u8oGSxPTiIhzGJu15LbCjKnESFA4qZvNCORMChOBp7JUUDkjWFYWdLIt4W1h5QeV
+9Jd1XPDRtlCoUbrPI/H1dUCOWIvT99K8WGUVDuLbKXR17J8LTwodOLcaqvp3xLLOCrEPKpICywP
uEm5Y91HvhnQwW6/3jbMrYsEM9mgR0FRRcdgyeVelVGXZMWwzGFNU0efd1ODqJEHA7MpBOMqGN4D
whUkXQqZQUhbZb2Cl7t8sBoJFH4nWeMNx/CEMF4uqQGnokUynrjKazyatqjvh+rptra2LBvs9X8X
wvirrFGnuJchw4yeo+ynAKK32wK2HOK5AGY7SEcwJyFBAPqrTOqM4N5pPL3dY1BkrjGsxrmQNteD
3BUGHFEEx9Di5cZkTS+NUg1xzV5weNAQmxty9uPMhsyJluX/w9l17UiKbNsvQiKwwSuQZGaZ7qZM
m3lBbQMTQETg+fq7qHPOnUoSJZrRPMyMSspN+G3WXquGNuh9cUJJ8Ku2E4G8dWyvT8jSLPS/j18t
xpKNHEeJ3zceSz8eP46QJ/JlnH8nMXtpgz/4n+j26mxepe9NrpeHUjq0LkEEmb2CBwjAvOSudWXQ
lXZIGzBENb9Bd1ZNz0IqQAR1sKuqzp/Yt53vWKZuNXS0oSwDR5LPQ6/35bqphFlt7lo4UDwr3aC3
TfGd0iy9y6Fzzw4Wt53JzwYdoDLC9fI5SYUF9oqckPFcKNc79ehT5qFmSb0ALVtJ72y7Gh9a2+sY
YGJiD8e/9b1LTylWC3fNVQ8UzSnX2mHZ1g3ahKuu1H7WEsKlBvOmoErs9N6dzb1mkE2jy20DVSk0
Oa0LnqMx6hkY3xFR9a/G8N1rzlJYiHt+Cev59nps7PSljxwhCCjTALtY/v7uweuhzcIHDkvFaFqh
JVPnlBuqDhAYeDu7fmNQ4O4CazoIbxH7rleemULrLB2oWmi/6LJAP+f8AFGuRHucnPLl9rA2niCA
XQEmQapkaWNY7fbJU1bSWAmA973+BZlXQK28D0tLnll/0PM5BJFGfNvixpuOFitIAS6sE6a3Jsbu
USlCezvR0cngsaicCy+kELc7d6CAa6BvcvwX5paJREIZbbPr2D6taFUPFdDDHigzTRRJtNY6Fjr9
zVy19zxtLBz6kpZeFhMt7Fesqxktoak2cHJv1QnIg1WQjnNQoJPdseYX1e6VnLbWjoBID4ARtAqh
T/9yS0qRuk4LQDu4lOYom05to7wwg0Y1Ze5d41ZfpUN+//PZXAheMJPAlYMg9NJk7zJdT0qq3xd/
zNL8U7YSchM/iWH/+Rd2sGQAnRD0wq9zvW2mXCjaduS+hDxBMX1Ho3pL/KaRO4/jxqnG1YHIF8TA
BK2vKweTGNKuirYH0WKdfnU9EQ2zHYL+dGcTbhXg0T2M9lpwNpiISldLVTdF4wCQRO4NTcyxbZdt
WCIKi8hIxgP1evcwjW3zm3q5Bprcnp17m+6xPm7szkUieCHDgr7UFblCZxQjy1ArvKeAp7ZFH3Eq
IsrYY+sZh7T4dXsFtyL+C3Orm4VYaW1BvoLcu7keCBQlhStDa/yBK9TjxdHBA+RYLBgrJ0ohRPrP
nSxYB88/II7ANlqrgGicSCIr8LHe16T23QRP3pwcB48CLv0oxJHr1i+uiZ0m2I0DifcaXDdL3w0E
eVZGqWU2DWYfu7ZKX6CoW32pevOs6S+1zSPTETuo060FtYFrBIEFDIJY+vIwUlKlidcDsAtip7DK
AS5PxEMmi6hsGARV7WQngb81PDiuaMFdRIb0NYutUcyGXkNy/J6lwayjEgo4IJOPPQNztHrIAWC5
vYU2xwcZFbSFgYgdVdjL8bXT1Dk1as739dz5C/Gx92Dz7FQClV0ae+Rcy2St3C105Py/sXWy25mH
kUq3Me67Hr0/PZFoaEJQW2ZZ+qnt9/QUV075UpuAlqgFfxwdYXgKV/cogR5e1vScxVPdNqe5UX+K
mVn/LEZfjOBZx9WGHmOIhq0b4KnMtUHzaBp/PJxur8zG51/8snG5MrrmEVSV8MuaT4KdmH/NYnr1
2as72W3B8QnXKI2n7Au6+c629VH7CgrzCjzxHp8j0zrbxYtIP1RsCgz1yAx09DmBol50e5SrLfH2
IfCIwLmIrkt0ny37853Lp5OyafK0yePWyk9pxouDUq0IhOmiNyDbU8resGa5ULC20RYCpeI3iPk7
a1pCIM9oGQvv/OyjD8onaR/q6WHmh388LLiXtoNGWDR5guv7cliThBRrp5I8plRDA9Jw8sr5R06L
wGXGzvO6JkZYptD2QM25oBHBWbQmRrBLblFoMeZxlqefRvGtnI96/9zxYz/+sAHShex0Tj4agMPP
kFWc5/aoa5mv6lOV/3Y0vuNYrzE6//kcirVcWgoRDa+GXpUdmRq9L+IJPtUxa/LK9D2op/piSO+8
3KuextFFo6HH7CAnNUWLARQmhh4AEExlGjC7KY+3V2Prm1C3RvMzctW45NxVYAGnI53AjFXEycDx
UHgfC9odJmBpjJdameDwPlaOrwZEgFRP/SSdfe7sLdMy7neX3zIvaElE+KSjJwSB1HLzv9t702jz
FOpYPK6de/h9H/ICyljH1DrX7rkxsA2B5Xb0PVzYyvlarIKVCw6JB3DP0tF/abXgilHRYzWcwfIz
aIC74k+X7mknbtxVcCDB8wiug4VwdzU23Oa6smXG44zQMZDQO/WhQLFHTby10yEIifvcBLk1Bra6
LARC9cSmA48TowyMNFI2codpe65ssANUvqingPdpINBpQKBiouh9z3+hgh2qTkP3xyOS1jvnfF2y
eptfCA8h5bcA5CHtcTm/TmoLO2kNHvOUP3sJhUal+mkPkV15P6XogylJfG06TeZvVYVtMe1cn1sT
v3TSApUPPqsrekZNGyqnr9MyriAyeiDjNEU2I3se/Ma16aIwuIQJxhI0r450nlvVQMq2jMueByC7
OE/zy1zmz1r5r8YDf8uz0FKJ0GT1LvVaVvap5WA6qzpqtHPL9jz0rQMBWn0Uw4FzxlhWByIj82Aa
WVbGqmZ60AzOz2TscvQ7o7lv59bZOPFwG1Egw+ThJVhH4QWfZd1JUcXTUc/SYHCiYjqNTpxkT53x
SZte5B6QdmNwFKgrQPqRPYEY22r60KIDLj6JhSp6w/azrtd8TzPPuvF6e2iLV7i6y/DcoH8Arj+k
39YbQng1m2oA8tDW+dKezSYAqCzwXtvuIVdPCj3kt82tnNTlkF2YW/n8icrdmU9VFet2XUTuZPZh
J9rf2TQWaBny0PlC/2kP0H9tLnTQYFTEGq5sOn1DEjLDZk5+zx2PbEsE9hxDqn7nYVhuiPVcGjhZ
wOIhWQOX4fIGEUlSahZvqphBkDH3IjIdxlfQ0lVt6esQPLk9ldbWFkHwhM2B+BRhzcrhTyqaW+lQ
1nHOZ/ZgZlZ2SBCofjKA+gr1mQJXyfQxbJlBDih4WpFU4HF2NWcKK1aMkdXr6OO0DREqzWwie9ZN
35GWF4y5AMBpBPEoqATT0BgcG1wueX2vlw05eckAHDITyFo6bRcp3FcR+NHBXSOm4qxykT80MrNB
B5QZr5zMbpBgUnzoGOASZ2n1VEjCj6ocGci6nM+DJtuQaUZ6Vygu7qAFpn9sZuSIpdt1O97D1gKB
8ByLA3I05LeWO/jdww0pH6PEH+t4skoAxRNSRfD5x8B2czRtlpxEvXLVq8e7vX2/ju/fNiGCQHji
6EVbLpJL0+nsgU0DDDlx5wnfIkFPDOCOzwP6YO1jofJQ6stzJyJIQZ5vb5SNOx8vysK+B7uIf1em
hUZnKtu8jgdKn2vvM1QCY3e5k3e2/9ZV8t7O6gE17M6o7SSt40RGZvFafdQtDcmEr7QEC1D/o90T
8l2+e33c3ttb7X8waliMcNhT2V+0fxrAG+7dFbz2BXbP7SncOmrgCAHVCvoJQVq62ji1CwaqlnpV
LI3MOvc0M0AMRT9MA29/37a0OYnIL6PLFwLWQG9e7pOkL2telRiU1T/Uow19ezS65Olj2/0E58OX
mn9svJ0Qck188LY3oViCvA98Pkg4rBZOQ0KNmL2GCzINiTizLPWp+p5ZL4PR+TbPD6w8UbuIFmXr
BPxscLhz3z4hmAab+h1UZeBlG1nYeg+Tzu8cNGp1SDro9OX21KzLW//9TkBvkDZCumqdUWlT6qW5
hwtPQBXI1wO0otYqgKPNDgAJf22AY+r8VPnoony+bXprVdBp+P+WV64GuOpolthFHVctDcSMnkZR
hHNTHDU6RCKRB12mn5Gd3TlRWzsc5EVgnIbPBhWf1Q6nsiSpmYs6plURNn0ZpNWfzPvp8Jfce7o9
wq2r8Z2pNQNKJ+pKKQNzaytT4WnIAovw4ZE6owjMGY2/rs37Ow89yjtHa2eM67TL6DVmpTU17uSx
ep7RGzGRByFFOGZf+V6WdXMZwcyPCAq64aiqXB6uwqy62elVHadJ5gv5sZ7jGSo6NAdjRPZh4I+6
2jlba5j52551FqpP+HIgy1urjSPSMoTTFSKeiQv6erBPVHZZ+sSUVgCN2une623m02LWjih/jKc2
TetIetUEBrUZwp5O9mse0AffSKs9UdLzU5WI/mTgiU9AWLjj6G49FeimBRoe8HS8k+blBPWenhh0
xCuVjB5oinhZnimfwWZcawxMbmqvfLx1ry7hFjKyIKEFiGBlj86Cz1op4jE6j8FOAnYrosN19vev
r07tzPloZgl+3aRNRIbnovzG7XOSfLTzj7lx7ECmQlko6JHudU28EYyt3yakrtEMs5QOELBfDqwT
lTfhEIm4ncUhKe6Rt3huTS+wMnqQRvfcFb+EGULWeVRPkne+92nm95MNxBv4QTLQTaQQQi9OLR/u
oFoXJOIOVCyl5u5cMFenHkR1JpijbdwtUO5xV+utz7lTp7kmYhAB3xPUi8bkkfYPDajxZJ2/AJi+
CzlfJv1qZtylGLaocSDZdTkzqTU2YFgeMTM964+pGhH0cwKJPKOawWVm8LsU7x6YpUd5am17+mDk
U3nMzM6DinNi7O2RZYddfQ4uA7DWughO1kAcq5OkKzQhYgvSyZKcGukn7Fy5d5UWzE+mO4Xohy9+
3r5s1/jct1sBdIwoJeMZW9Lol5OADNnUzrQSsZ4RqPf5dUPu2C+egi2XgStXjGUgR/pXUUVFNfoa
ZY/DMASDmPH6a1/ZnB4syU4CBDDgKKbQ4bv9fVv3JMgu0RaDaBet7KvPE7YGUrSxE/EgBsDwDC/Q
mmTyLUihndE44/lQY+KnpNesg9bVzU4mZN0A+TY7WAlg3MGkDrXr5dZ456a3FHLdtJIiJsA7gk9m
LJFzzCnrvoEzpHwYIIvGAlPNFeAaGT31vQThh9cDwNnmuSH8CV1R97rVsC+i6qCjjg3VP4BESgyB
Dd7+gwY1qW+3Z2zTv0fxGGcJfhTEFZeb9d03O7nOgKXQsY+M6a62R4DyE4Bh4PYO7FA+m859moCm
xQqGeY+MeF0u/c98gX0Q78zCdr3muSecNXUxGpivr8U99yn+MYMcbtC/GuPfdlbPJ/qzCjf3YMcp
/7jJY0odgPKfuPg2KxpMTXrwHJ/Q5oO35+lfPxM4JdBjsRE/LULUq9tU8kZWaJoScUbBXJP4bvqr
3GUw3TOyeovoCLiKXeC1MGIGDHT/0iSPDHKJvRJhnp9K/mp+c+2HAv4mRwNjDSdU2/EWljDi8jJC
dIiCN4rrC65jvZDSlmj6mQY8hxYqoCX4fXR+3lnE61QWIkHQLiMHCOQFDvflRl1kTHvoqcmYgHmn
sKTPa8tHIf6claDxEIHmToHUP9fJztiu/bxLu8vf3x0QPS0GQUCAFzvO/azuRnK0vGPuBpCIvD3C
rXVEVhCqAMQEGYe+urzK2qRaxSoZN7aH2CntkkCzTRmULdtTkt84eRgUnnlch0j5AMp5OSg1al1i
gA8qrph6yFoLujON7wIXpDE8V1KcRK7dG0l9RrHk0+1hblRCYBsvFzwcxKRX1DYymSc5ZpOMPeaA
0lfA0XD11PGHElJkoxWMcqrDxslBrNQ0/FCNQNjQaWjOkJUTZ9HWezmOK2cCb9mieQV5IYSuyINd
TkaC286eBl3GkKB81pz8yelBgpO6P2t7OldWdXLHHfdlw8MDMRcyeguyEfHy2ru2jT7h7VDLuG/y
g5uWgeeI8zTESKMbcgoHuNYoxASF0YbVBPTjPyUEwNWLD6ALWSD+hf7EVWLA7NoyQ/UJm83p4FkC
fpNyB57DhGBtZ72vffNLU6tXEd2P9VyQAWOt57/GMYer8IcN/A86gO9mVwXKHB7Q5xbo1gTunvK+
6a0Aih3wX3TQp5xGscd1t3XQUCgCmnDRB8VUXK53V0hPFi6XsZqZr0OoApXYfrdHcWvYEPVZsrdQ
BEZMcmmlsHgxdsj1xKA/PDbC8Bvd+y0scSKyOexM8cbduAA1UIDBgoL+ePXAWVI3s7HzVEwT7SB1
Eeg9jXkLdAgEIYK5117qWmuCShaPThrdNr5x90NaFmQ0qDCAhn8dgKPqULuzV6nYS15q5+fk7ngo
G/OIHA9YwAHWBsHpGv4iDL0a9blTsQ6UqwHGxPnR4I9sr7V5Y1NcmFldAqnVdcImMKO+mqH1qXu5
PUubP08AyXpLxaFcfrkbVDOZ3dzNKubmEOj8MBVvjYH/wghcT0jdocIMSPGlkUZ3My7kqOIZ9Awy
zYIcJfhhj9FvY8FRxP3bymqzyY6BjKqDFRVa/s4buLnYf//2uqqjZ33rYCVUnJd95HIt0M0/0vhO
03+zqd7ZWftMTM8kH2Bnbs8UaiIakFRefhTFHvHK1mv3BhYFpcUCCFyn7rUKxHR5beBocqAfUmSY
IYDZl36mRRbCZ3QZLn2VR3if6Wvf74nAbs/nQiT+H+urbcezqhgkh/VpHgPTRIoRaHLaayGDVMTt
zbcs+8oHtN/edTBTIWW0Dn6q0cqSuuENNp+jR6bU+FEz+vFkAW7CByJ8lRl6WCA3+OgQNh5uW986
XyBaBjoWcr6AGSwT8c5LE64LBKBRNfGknpJJRbzP/Xmqd6xsvdsIkQDpWtCkADWsfDSNVE1nOKKJ
ZQZSICH7qDYh7KC76HaH7gLT0HN2mlJ59pwuzGczsm3tdHukG8ApQBwgW+4CEgx/xV2dcsMF4wSh
qokrm30T9NFOXBQ/9cMEkVCH3oPAxReVFtqD4RsumhAlkQ/aDPJbxaLefiHpXjJmc+4R4MBldSBS
SleHKU0cWo+sa+IM2B6IJvYcVD/zTsJjGdXV9npnZDXzDBKGpkb6JtY0kAij3ZlOH0z1nbInop/J
Hnhqb0grF4GmuaFxYPZirRW+OXTQVXHi0qj3Ds3W+Vxiw/9N3doN47qWwxdv4jbxrerFo7PfGl+r
3Wtoeb2uZ48CC4BcESSHVq9brwsr7dAzHiNK8tvOOLD0LBPuN8Q6gKLu9g7dHtTfxlYbNCtraHcw
GKucP573jdFXVK1NJI9vm9m6cJZitWXCy1oQ5JdHfpRQrHXHqY0l4iO9+tnbX3tABYfxqBcvBrsv
6q+3DV6f/gVguSRKwPYMmfd1OJ+Z/WzYTKvhtcsgG6qwsaUvvXQhLvD0U/GQd/JoQ7PDBtKm24lD
r7bkYtzxoKwEEgX0Ca2GSyfGMjRhiZh7r3DochAyNb3xT+cUeVUDU+kRuJPmldA1aydbnx0HCYvu
CTzH586J3ORItHuT92G6h1zdGNKFtZUnwQutAy+eLYDTi0nSBYOV+dKY9wKQTTMIdrylvwp4m9XM
uZWX5IlHRSw15GHcwZEBd+XdyHTNRwwGYnQztw4pAs1TiTaSo6EZaK7gnRmpCfTEvSZ9pHiGMF2q
7be31OanAU22RP1Lp8zqqHiSNkXaJyJOA6v4peYXZ49W/+rkLyv6zsJqjieOTjEzh4UmQzwpqsjE
fcltf2j0R3O3K36Zyot75tLa2n/rpM1U18AaFynKB/rZyqFCRb2gqOmjXve+QnaxzVMft4N0yen2
bF55pivrq4VGX9qMBlhXxLaW1H7qzEmQuWIPLrCsyXqMgG4temPIXRJ7WdN3rgZoaDntE4yRlsdZ
nHL71GsDSLJKlP72uuqv07MYEp55iCw6cDuQTLw0ZooJctJjIWN7cu5UKn+56lkO5CCKIGehcsmh
mYZ2qbkdZG7Et+fzOk20WF/04qHUjRBvjcCoJnQ/lAoTmlqpb9R/rM4Ka6t9Se06HnPtsXetu3Rg
T4DV7xyMqzfkzTKqDIty9zWb31zXJbELJuNW6se2aiLtu2q8Y29k59tj3DqBANUQiEJAfwKtcZcT
nKdq4rNCIkTnqguZpGaQUgWYBKqJO2O63p44Wx4eX5RP0Oqwrk703dRbaKOXMZ/5HIyuhPCo01o7
A9qzYl4OqK40u28zR8ajgV5CX8rw9oRtbEmkJ1Fzo2B3AujoDe3wbv9rnDt431wZpy/gjIcGN/UH
fsy8j1NqBk4SjTKiJYifPt+2+yZDe3nuYBcbcWGyhEyVu7rJxtZyc9JkiGWUAaxMCrfXHuEwZTrE
xwpODFSjnTzgRTGEA1iO0cxPpxMaI+Ad9PwVwF0NPCBKPJlWOh5Upb/MVa5Ok+jqYNCHMio1GclE
h1dk6U+1xdLHYnLNg4tI8TAkVh9lihJfc7U97sPly69HhgOOgqtzjZ2ZZ9lTk6dIoZjqkKv0YBAz
qtsQkLg27Fqw2hvdntLU9S22zOb/bF7R8pvJ4GHjMxVrX8rX4i/vc+eXiBl2/ImtzYiCPOiuPQwO
IcvlZrTR5FDQUiDtMXuAtuvQgGhnXe7EBm8Zu/UELlo76EoGDTxd35JapWoOLIYCFwG6lviXcWoC
oLEJ0DZIHh1bkYeOBjUBdwh1VgeMzR/SOffbQQto9hP0+NgrxC/rQCDbW/CPYjijq+CoCfn19ia+
vtZQtYYHAvcRsJgr1GphlgKl/VLFZfEMpgb2mpifOPl428j1kw8j8EhQJqGQFF+LfAKuMM4eRUbO
SD7Jdn7Isz7oUusOGefQS3dEMa/vTxgDQzgQ6Av5xBoJUSVeNY+FQnoOispGIU96nsC12pMa3jSD
MiGaUpfiz7o4krY4oEajq7jNaBPONc1Q8DH1E5rk94S8NqcPcSxq68BaImF3uWeVmSiUIYiKG+Mu
8/RwrE7pwH3OvrB2Z/K2Dj4qPmiDpu5SiFm5ElkmJcsnV8Vdpv0qAQ1bSHIHX1eAdhBkynXxRYdK
yu3tsWkUxR80IQE5jY6xy/HVc83Q4oCckNsdkwQ0Nn3mZy+kDkz4MKV7LLpftw1eY4mQK8HL+l+L
EKO4tKjPEFjUKgcb8kjOXAu/mIEVTVERQtIgrIMxUH57UEfzmQbJ4bbtrcV8b3rlEiaD04py1rCY
WqI92578npI2FArcBW45VIeSmXSnwLVp0kMSbLnvkBNfjVa5klX5kp+Rxdk6cFzhLUFPxpGVeyLi
G/4ZfMOFGxYnECHhev9YmUdQNkRSZBr/gvaQFeRWZBSg07PPKbUjqT95yt7xYtbMGbhSYBSlMvh+
uF/g0lyupmANimhZ2sQ2aK/+kq/16/Saf0xAO+IexmD6amih259vL+PWOwLwJKJfON4uEvWXNmlq
tCapZRMDdQGwTRuS7tttC1unwsGVCf4ApM6Bh7i0UCpWVxYZG7i6T3n119icOHojvPRAKvMAmQio
q+0lmbaeYPSJA8UEq/Bslo30zpGiWpFbkzKRN2M2xMXzujuSJ+6p0GXmZ4SMOwu3Z271FjeMd26S
WE2sN5OfQJW5l0akF9V3ZT4S4x66NjuP/6ZBlFYXDaKlP3tlkLPa1TpBGlSl7DlitKDw2mhxLKqq
PHnD2B7qFnWxpIBi1+3F3Hot4CEuiRrUVhFcr2YWdMYNiJIws023OKRpEzE3L8Oa7bIzbO3MpekK
ishwQJw1Eq1P5TipJGtjPtXyAGYU0N8zvBq3B7TlN7y3snzFu61ikpkUOpi/YocnfpbbByt9YuwV
wi07a7ZpCI/sgu1aWKeXv78z5LS97bVJ18ZKl4GhpaHZv2bkS+vtGdqYN5AUgR8TDaPY/mtvPhOe
Klo37WOjzOeDXnTVBzdhxT9OmkE+ByhGyDACkUXfWlHeDQdaGEPKet7GuOdfgQGK5zSLdDvdeVI3
9huScksTnAEqF+RzL2et5FAJNoXbxn1W+Sir+5g1EyxwtzfBxsMCDDA6baEfg82wbiHtdSuZvKzs
4tRJjUDrqjwQQ/OnB7wyKtGECPYYZ49WanNkSJzBe1vSU97qjiry0iCQaoHN7EebfjTLD1r2+faw
NrYcHhHUdik6uRYg/+XkTcJpRgrAW9zoKITxwTZCTQA/2hWuHTaApO1M48bOMwHyQLiPaqwN5edL
e4APeZOR2l1cNZ6MptaZz7qojcPtUW0tFs6QDdzX0oe8lp+xk9lNnGLokCWaA5Koh3q2A/OJSJBx
8D0ys62YfKFHchDWAp2JbrHLMTWg9UlZZg/QbCLjh7QFiZWnKSNGNyYkyhDPBqn0BtCPaUbE9cy4
6w2nj1RRGzsX1dawUZNChzOcHxyJ1UmQVo46t5sPMWmd6mhpwMUrMoZOW70YTvFxwvbeedY2svKA
2CEXh1Zv9JQZ6+41rxFN41laHztzhrcTCNVQgaI/8kTRotYp6g9dW+khfAvtA94bcV8yEIQMOppG
dFcrdj5nw4+4+JrV06MhmTT2g9PHY6uL0KyT9tA7HiTgS68Kx8LM7jowV0MJsenuSM/2kEUbby5Q
RXAmgLdGs9b6zfVkm9VlWQ5xhYfWVfQvt3mE5H0wt39mOZ/SBIShtzf65oDfWVz+/u6KRSOmxyiQ
rmg/bo51/02+Fok6LZ1Upj+6D1P65ba9jesCaVd0XyMriErv+sGt0XFQJU49xrP3nVTx4L1puqEc
uDOujZsPhHTIPqJlZ6PnznR721a5N8b5LKMOzDWoyt1V5Ovt0WxYQSkXbIqAlCM3uI5rKXB3ihvD
FCvbfTA19Bozix+0tvF27qONWw+vrYUUCRhkXER+l8ukDy2bq76b47x3IF5Yuw0Ixwy543hdW1mg
Bh52H15d/Ht1D0lnmKTX2X2sZTUAmsq39uBk1xMGC8DTInhFawpyGZfjkCnTGEuw3ZpJHjyJzgjX
zQNN7qmIb1ypiyH4QIAVwLfTV4YKuKU9Gdsh1qdHzUwfZF1/cOb8aSn0Gb6Yv1Xp72T42Q17MljX
GxxVqiUOgRQ2Emfr+NHKuGElvBnj8WfmHXqgnrqQmDuP4NY0Lt1Ei4AEFsxenVqT9SlBW+0Yq0mG
JW3RxFwHLf1ze3dvbAcA8VEkgQwAWA7XOh9NrxkuY80c6+yjEFBRmn/cNnB93WEroFMFvw42NoQZ
l7uB9H2unIrpsXLr4SBy3UIOxRk/Ad0XVqXehwLcsodxsMunf26YIquJ6A2oOzw8l4bdxia8mDMd
UH/qqykCm7Yza+CJDLIe2ATe7hzfjfVC/RcrhX5YZDrXHWAZTYrB6tM5lmPn68PJKXp/nI63B3X9
eCMZBTgoGn0Ra+OGvRxUgRQV7oRyjuvpVDY/UtMKCv3jktK36x1TG5t8odCC22e62ORr/foJ2g2D
6akZnRo0Gnn/NA9OOLT20dXm8+1RbWxCC6JySD9jAh3LWrkkyAcrmum9HkNR0wvcTk9DpaTYefc3
Fgj1ObRJ48wiqL/qf3U5AShq1GNWDkHF45nJwM13Zm3Zzpd57gUBb8DHQQXERS17tUCZ0lrQL+ux
LA/T/FEraJCBXTu1jqbZB22ZHAz9++3Z21gokJw5OLwL7gmZnUuTwIInRWFretyNdhrlTVkEWj7M
fgEq27bw9J3F2tiCKKnqCAiBQMD1uzpXCZGWJR1J4vKDsqtAum6UgMoOeKax2mP62LIFMh4otC/h
gLEGxYDQ1hNN4pAYmfgsG8NmzIKsSD8K4354vj2L17wxIPwA2QEBvNxDMfdNRfydl2ROpMsVb4xY
QIQ0GR9TjR34oHxH8aPQf0wNJMMZCGJIZFX1I++Tg55Wh3kQ5y4lHwTrIz3xvtz+qI3L8/03Wavd
1Nlonq1HYcSFyA5zFo5JpDl34M0s6WtntTsHZCNZuaTXkF1D0hCru+7RHFM6o6xb6LHmnDgr/cR8
yRQPJxm55YdCe0WRF52a0e0xbhx+PA9gV8WltqCwl2P7bt6zWlmg+a1I3JZT6g9uP6JlNtnTs9rY
SRdWlkP0zopbWr07NzmJl3HVNjq3SOtXag6YMflmvkP4tmUNCXXMo4HIB8Qkl9ZKpLzSQvYkbgiU
zEVgJI9oCx7BNdns7JCNw7/EVRA1ReIVXtBq9gy7EDoIikkMos6DnfeFn8q89zsLENaK76WzN/Yj
UicGbhvQxS7M3JfjkvZQDfaUkNgbmjBx2AfwdeT2C+n/Ihp71Ib49tbYCBzhP6KnCJrC6FyCx3Vp
b1BuwSsO1ISBhJrsX+b6j1m1QQWpXds+jLUW0eRHVxcPXuE99Ml43LG/cZvDf0UiF48tPOb1k5G7
LXcokzh/5a8pZ18mg0ay1M9a69wJ1/QnwJAKZR7hOUU50b9Dzz1gTn+Wdey62msWpQ/iCR3ntz/r
uscT1y7mZGHTgnoa1v9yWjrel1K6SB7UrQpNDpvWJ0VjiBBz+i2HtiFS/xSFquJ35/kMrRMKMG3+
2ovZb/Tf2WCBI1KEibf3YVsXCD4MIF9AC6ECvV4vyFDbDJAxzBeCl0kxP2dTmGfCd93usPDETxYI
Xvh0bDprZ602rhHI1AF+A58Pbvkaa0jkwK2WDkbcdVCl77UelM2mtlfl2DpuaMgCKRTIXpYm0suZ
HwabVIAvGbElP49DHtoQuVeAAoDG+3B7kTeukOX3AQwHNuz6Lm5yKLdTszTiCiKWRclCoF1A9cP8
DOQ7gv4ra/CSKSSvPQS7l+Mq2WiC7wQLV+bUjaSNsIahFTYaR436I1IWf7Qhrf65J+E6CD3AfQgA
EVLNl0YzxylS150MgCo+25UbAh4NWfDHoe2OTrWX9bmm+MChwZIt7vMS76ypSCyVdi1LHCMm2nyo
QazdgUPGYeZh1qcQRApB4oiTk31g2XdP5Hfd8EuQ02CCgmQadg7w1i5CYgTUBIi/0Xy6mu3RGYic
jdmI6XT2mi9D/5K7z1N1ur2DNq1YSFm4aMLHi7OaXtJPnju2mhHrOf9E+vHRVGV9tGn7I/GcPbDK
NeYd07t0NoFyD3WJq5atycnLusCNFZcNMt/qCFkbIMIjuynuRr15ZtlT1f8U3qHtoCLm6QeDtyEv
Xfy3G7pyr1NzY+w4odYSTehIDZirh2OuhhE8vNyK6/LojZCGQj+HPb6Ax+r2HF83jwAn9t7QapJZ
YpsVh559XFv32gCECivCqdMgZjk+mFXxPNEn8Joo6BQY3gHgx89lo+2QHS9P/CrkAIkLHA28y4hu
1oFn7vazAJ2CFc9Vwg5ZW/enJFd6AP16Ft0e7sYl+97UGjxK1P+Rdl67kStJt34iAvTmluUksdQt
qe3uG6Itvfd8+v/LnnP+UbF4itA+czEYoAeKysxgZGTEirWSSK7iUX/OCvksjenHBBbF2ybWTk7M
poD3A77Ju3MRFHRYUbNI15/lvDVeGpUWbzYU0v04TsNR3+4CrNnjCKkk8SpkvnRhL8/QPxz4ep77
KT/URrs3rU+loe+DdqPRtbZ3rw2JH/IqA1U6OYmJB+xdBUNMHrmDvZEurTkCnzpYSSIcQwTiF7yy
YHd12o9qYzzTDKrCJ8cCNr0BXFr7zGkA/NfGYrumqSktOasNDIyHqdyFzb0jJZ7iN8dJvi9VsMRz
+c5J99345Bj9Q1e/L7tPg3ysGXp5u6e8/imLDZUnu48y0BPckOmhUJud2NTIKQ/O1q2/urFcUiTy
OhWsZcl+MpqJNyMbm6ZwgeUQQX1S44267FquSyFbUKTTI4GbYhGyHLOqIACwjGc/a9PUTZSGPLM0
KG1adb8vfC04q0r/0uuZlYJ2j+41n5GUorPKs62HW2MGa58F3T4+QvpvQuj10pcMJ9eKvPeN57E7
5Z3XN2fj06bDbhlZ3IMw1/lTBd3hc6HqrjV7fviU+vHu353fq8UsShZRB8ZO7h3juU5KN4u/6TAm
9tJGNrPqJK+MLIpYVNKyKKnZMTM7qeNdFL70ycazci2EvD6UxQdedEEehDXrYK8a/edgb1HorB0I
Jw79OlzRTCsvbjPfAWIjO7X5HDo/a2UGDvrPrHW8Wv+8+dOlkfI3vEOcSWn40rt8yLL6SM+xE0Jd
1eQ5KuKOXx+KJKrQVqm21rVW3BHVUnpRjHqC5Ft4gFU2bR2jUPM8yP+oTeLq1jtr8PImf5eiCG9C
hptM5lNknmLTzQzrzm7v+0/IQkXdId8ieV7ZZAcK7r/ZCUovyxJhpxdznMP59uzzesuKF6n2US5C
62Vr1mPFXS4MLT6vru7skqwbdzFRXYjQJCrennrgKBRtwBBRaV+20BMa+PLsi3NUEWaOKauDOfNf
/oWzvDKy8HpD4EnDoDKfa+SKrbOVeVCnDG+eLodMGEwNFVu64iBSFlZgSG5tv+xM8fnSpnf5fuEu
37iy1lpWgAB4hch0XIB0i1ffqyu6L9vQmKh1PFdpPJ0Hw/8kwV+27yvAXlaay3DoO9AM8loq75Xe
tk/JnEA2DiZrS5xzJVzxrkREAjQMoGxr8QlqoHWnok+tZ8X5ZBnIDJnHarNRtmqEYjgQSFkQGIl/
f7XcKRrGobJai5L7PXxPmur5zdPbvYOBg/81sVxHF5SJUmDC0aiwhcr3rvzapcy+KBsQ9rXP9rWh
xdGFSjgyTFNZz1r9TxLa+7n/FHTPfbfVBt6ys8wDJJ+pjq7DTnM/D8aHLJjelVH0u5c3EtKtw1kE
eyO30772CwuPZ7R1dJvQdsPwz+3j2TCyzCOiYUh9pSit51im1cz4cR89ZP7+thGxJZcvIGqfNIB5
ANHCwZ0v3czqWt9MJ4eypGXIB+KeujOTSTvUxezsIqY2wigI70K73aqHLiIs9wnlEsGqIdOyh2Nj
ca2EZqom+ITq5aWVgFrzi2MQtvPG8tatWDLvE0IThZLL5clJ43dWUqteM7TjSY3MP2YebcofLE7q
P2uBNU9YYBxeXfj3mMRz1+odIi81kBy3buP5KZfr6UkHvnNA8RGd2sw4BCX6AKXfJGepSAc3HsEG
hiOSXoRo7aFkNtVFmGoLNLN8d/yfXwcljk0BxwHodrkHdjTOdaUOqhfCCFtbqquGzikxnftByfdZ
6vlG9r2LOq9hzME+5ZVF3fNznZ1sFEMLayNXX9Tm/v4YIAc4GkJ0dGIXX44kyXEGjx2aRsGua747
0CLVxcmfkL5ONkytnT2UFAC5uWHpyizWHQaz0QDNV7xGMro7SLWgakjGcuNZ93f85tUX9HdF1MXE
zBtFQFinLrc3zesy67sAF8tS9a6YVf1u8MP+zhjZ3sjO5ZcZEcR9YQdfCp9zNsJBPlEcu9f95COU
A919Zw8j07iMOyptVR1HdQ529dAzR8BfduPab1woaKS93abqcRp8CKR8Gv+2XUh7R5vNu94oDTfP
K2XP0M9nQ0uy+7BXfLZV/tp0o35Muiw8vClw/F024CFYX8gMaS8uvt/KKpJ+mHXVq/w4vOts2ff0
skx+6mHzz5D19p2p1PZ+TGttIywuItZ/DFtMsNCLFi+shQeFiaMVbeCo3iyZx9ov3+Vhfiyb+r0l
T3daAM9fqmw0ONc8iVyCeiDCZ2Qgi/eJFHX1GOqp5oVUnN0gehgbaNpu7+cyv/m7LpCoFImoQCiM
HV36UQUBPqGae77LT1NzrE7h5+YfhwlA30Xs+8empuqy/nZlcLGqtpWVTvUxGGujG2QH5YcEid53
8wMz/tr34CnQ9h2v5OPGOsWfXX4vDj1p6NlEwris4OplYil1b9GG9p/6cJ++h7bp3OtHNE2Ud8aJ
Wb0nRiA2jK6dIOQGJKpkwwqx8HJzm1yHOJ+Ggdd03Q5EfhztgdQY8hdYhscH5jxhzyw+x8zMp/Ef
JuY2zItr5mrN3D68XIB3kdBdmh8LH+GxwVc9Cdr3Uxbr9Rc/rax5p9ukd1lRDsdeNufDbCvNzzoQ
o5qBVTwUgW7vGev5kEsKnGlKmxyGKK/PTT1+uP0L124w5oPRh9IAeBDHLn9g5EiMpUqx5imlPb8U
WdMdVA3ASqEx/Xrb1Nr3+19TVwN8yTTljpYGmjdrBxPZDlO/d1Tf7dLinqTgrBZbZy8+nKvN/9+1
MRV2ubaB52mtJqyt08uHqeofp0w+InDwjinDY4z8KZAIRUuBB0y7cKh2df79X6xYtNAhR6c+u3zq
0YgEbalFGqqyduG2VfO1lOW9as3fShMUbzwHpzzaIl9Zu/Yt3shIV5H0wly/uJdM2R+lIEbmMtIe
ktE++Uaw0yf1nTP/ar8Ez1Wr7bXxMbBKj57EfuaHVNZwmiBw2v78VtyL751LWPCzwKO0SJD8wPHz
cEZU1MqyY2R89BvJqyJzFx3S/t3Uya5ayg9y+T4w7+rsxcz9p8D+RnN+4+pYST7IOiGL4gwYvV/O
GIRW0KSaPiieX7zjpAk/PkgjBISC34kTbfndykePNQZhAfwQdxzx769ecGDAqqH0hVYl/FuGMh6z
fDrZZfJlQLlDHShClvuoTRmi6xA69CwrANUXPI918xTl7UHalGpfu2KQUvoPuEoVvabLX9RPZpgV
EoKSzL98ntVPoe67fpp9cPrsYEypW4924DrBeN9qX9Rc2YiCa7sPy50QIBbIuKVcQ5eYJmwP5GO9
JB2z6UFpkkPO7Ok0fFa2iPNFErD45qlX/V9bYOMuV6rVBU+WGltK8zB9bnN30F3ni3k22weawLc/
7+XMoLhIEQEms7YE/wGDtZfGYo7eTstE9XStd+kd7hw1cMNfz3H9sZAydzCDR7OddlMb7ur+UPnP
k57ubv+GlfuNwUHyAwWSWkE8evkTIOSKE71z+MACu90zjurvHCvd6mEtR9H/rtQQnB2UIEWasrjH
VH2MZDuIeLT1EOcEP2iqfdRQEDdrqpBa+FCMtdf7+75N7mUqkczfVt18LMvyD/pwJ4cIlA7A0IJf
FMh345zdK2V46iv5Pg70jc/v+poRSRTCIAzngaVf4m1SvaQlkTQIi9bdwKvrUAWfovbQoNbk76PA
+n37AFbMkYtS/wUGJiSiFj6gmbGk1COPLNBszm6YnMqtjbsaxY2oZyqkrScu8GFLb3ElhyOa0mNw
iK6c+jIzVZwwJ9Qx4JgGDuXWH5lf7jJn7xjxY9c9mNbneP6ZVr/04KBkWuYm7Zbc1//jFwhoLfNG
1/xoNvKtqPVMqodqdLxrZlh1S//cyf6fyf6RKX9CKf4QDMa9JTW//Ujlns93/dhvfIPX37vYBzHN
ABoWulvxfbyKtWOY5gGDCKpnfqIGfYAVQ52yYxeru84x7qrkedp6/6wE00uTixADK0OQ9RkPIEPq
un2UaED95ll7Udt4ONiTle11dN1+NXqXHetUS0GwRrbLzKh8d9v1ri/Xyx+yuGeK2DYjgrrqOVIs
ATcOq6fJmdOjXvfy821TKwEAWxavHJEp0vldLNqUEHYuAIp4dagfY12HylmPPsfOHpZh6OjfR86z
ocGaMh5Kv9iZBUwp7vy5NaFOeZ+NR3v8aQktkR3jwDz43cLeFAy8vnUvf+FiN4IgTNq6VRH4Lfxf
OqKcQXvUnB5tahc+gIcy/QBy6BjJX9ASzLIz6V+gvIt4Z3XK4fZmLSFdRMvLn7K4bucavNDMZnqd
tbM+9NNRkXdoKQ8909e7DIGveKMsueQi+I9FRwCD/g6GaovjCcvUaYECqp6sNbA2De/NwZ2Hc13a
bmwo96r9q4rh6C1OYN5RkT7Wyscpqk5taJGWHqfA65KdHWz8qiW3zd9fRcYFoFNUYeiaXH6clVpW
BUOPGo+vPv2oTlFzyIMeNbRpfqx9TXo/G3HktpBjvMR94xDAcvkQtAq0afRrIQH5hzIl7B5QMe6q
Ikz3kWP3d6HTfOf/5Dk8m5+AyH5VWit5aGkFPBeJmjEXl3b7ESjaTp+z6b7vGuVfBB1QSOjYMukL
5fLiNhRXvtkzBSJKIEPvUh+cngvFgdBbL6RdYZtPmhOgs1vIiuMycbUlgLh258BGim0etpRQF/4l
hB9Ubca+2ev7qt6FmunaZeSGOZKY6K06WbCRwi1FIMRRMlQjJsI5TooRizzDtCTLr8Jc8zKz69y8
l+sPY28X+y5Kw58A0aazpvfoUEVNkt8ZBSzf5aydg0Sp79Q0mphNCJzvQ9kquwCO2t8OhE5unlbh
Wap8beP7W4kEXP1UbVCtwHeWnIIoxadxpfSaJwfzqdLVHnxvp4KuSLqdGvnDm8uNzBDg3dATwy5I
ln3p5fnYK3HX9mCZ2q8qXH9F9XZ3I2AguA2Jg8DcLI67j4JaD9JB9/y8ceOi2lc2khJ03SJ/B/3B
XZq4WxBp8Scv02ghNSJG6oQuHyifyzUVWdFbZRvr3gxFx12myfFj2tUaorC2spO7OD7Q9iuPb4+b
XOUqA54WxVt6BJdWTYJYq6eR4dVz8dUM9PtKCz/6kXM3d937qveCYDw1c/Sg+1tAo5UvineqTM0Y
lgw+6YV7j07uVEZv655Tq859qyPpEjOjDSxmNI9RIsHMioTq7xqmrY3DFTFwsdPiWmU4RGDeeSpf
rtm3zM72ebF66G26CTL0YfW5njau7+tXAkRGvFLgGBPVzL/6SK+yJLtUKETRx/CSWkI/boLRz5Gq
rem7tU3U0C6F/R+ngSrmciljJhVxPBmGJ7e9N+jazgq/j/59GISHcvIp1c4fNhxGbM5y83hTUlfj
bQkKaJH99ZJidm1pG94Y7IMX0WQh7sguBPjt5FbZrv72J9viDlj5NMiAGLEX03/ijXG5Sm6FhgmT
zPSc6FOeQTVyiub+NAXZLk/GjR7Dmi1Kl+CnhBQ5jfZLW4guBR1NJNOzOhS/TemgVMrOsaWTlmew
uHzd2E5xby22829+xzgZxWgmUS/NdUpTSS2c214rPerzg9Ee8uhUFBosiQldW/tM2x3E6u622Wu3
oQ3JjqKyDlCHCvGl1bqyIxr8vuVl/nAIcqXf9QbvBceE13sc9qaWAW+qxy0Y6vU3gVlBzEDaBPHe
krewccK54L1qe2qNenSpxHd1Egf3t9e2RFBzb15aWQSWSdJVudBzCKyr8KsWJO6sRC98hHvfLo5a
4+8rqXoavmjMTTmh10Dm14e/+jg6lFuDGde+xC8hplORgvSCmvjlNltSFUsyLPdeWcmHLHqk5F1O
nQt2gjbkxpGKQH3pSJe2Fq0a32mq3uSu8PIwfpptcC6+edBgoEvnraCzkmwLWwL+Ku4N6m6X60rH
Qa+MGklyRWyp1Effo6QZ0aFEE7IL6mSXF7X6EGQmEn1QWjyaVTJ8uX3Ka66kkYZR3UKSFEzP5U8Y
k2Ly+6GxPSnsbVdu28HVSn1rWmN1pQJ7AhMDNzKlp0szzRDo8px3thfEH8aydMPMcFPtfVblTOhm
p9iviHw2syM/by9v7TQp+lBMo95wrSSjMl7WlQE7XFRZBb5iHJ8hwn60whGyXXPYGpZcM8dcIXMV
zKlTMlxEoURqnLxPZvvvjShJ74f6WxTyeFG2iihrx/ba0OLqdUatmKpqQgc5K4HtPcf2lgbPloXF
iRlRNHVghmzkzzzV+TxtMfSshU7aSlAN0RMFhCDsv7rXx26odamVbW+UZtf/1T9377UZYsgjYOzb
PnBdZxFEUAK3jyNw7S0OJc8SIxs7yfac4h8/d8mku2CfTocdgniDsQEbWts2XJxMjOhJo3kRPiK7
ZtOYIvOyxG93euHXu1KptihWrjMvwVCok+dCaCcYmy43D00O5D7qxvJy6VPBiPuEoG46bSxly8hi
38rE8WGmaS0vVkOYzWW3VB7/v40sHVnrcoHDYyVpsFPLd4Do9tEWgGNlJaRavADxNl70S7iDo/B0
V6dQ9qYouAOh5EVVsqv0esPRVlz6L0c7Ez48ea5S1VplXiySMtkzo2gPtvZ9GZwTfV+n+pc5RRG9
GTfwmCvhBuY/pu+guRIw/UXWOuVzNhOxZa+0Tqbx0doVmlBN2aiFrO2emIk0KZ7BOr182uRyMHZT
NsseuXN/Z0fpPpFy6wg+zr39oa4ZAvYC8Qrzl1TsFtehFUiy3KrsX2wU32pI4fPQeerr4fQvzAii
TXTdxMNlEXloeJpq4WNGS+Aktx7D+ENnfLptY80VuHcgOoNtjwf9wkZYJgg8OI3sZVXron6S9/2h
L3/3+RfB7LGxoJX0iMCG+IjggCRFWrhBzqPIpg8qe8G71n9sq2JfmSbFuoctxYOV4AZ5H91BEXao
pwh/fBWzYzWYZYZkZU8yf+j+n6F4czkCtuBXf18s9NXfbxQ10cOBvz9P7+zi+7/7++RZoiBE2r4s
fmmjEqdmBbKys6uGoBknbuLUd7ePfs2LqW8J7nKG/ZDTu1xEZWRhXTIdjNzF7xS1wBH0hpJv5DWr
R/7KyCI2+4YiAedRWUkfHRy/f48fB0b4XZO/FcNWBW0tzLxe0SJGq00QJH0ry17bNydN/Z7DeJKY
yd6QNhx57ashRDPWbggxD3vhX9pk6pAhYQgofuH6zedxftExaR6zrdrFqisTZbgVKO7KS/oHvw14
uDYOsbqhIzi7JvK3t/1gbdcMWPogbuSlRn3t0g90Y1AQIceZ8yz7rrb6izxVD2hUpsEWtnvVEhGa
2ibgJGLApaVQMmYrpPHpmdox012j4jnqFptavmunI6Iz7XhouGhMXZqxwc6FGZmPZzBm3r1rlYNE
jVjpETsCsz5s0eavfUd0w8F+8raG+nIR1UqIPwqNEoJn+dL7mE41/x8mRv65fUrLOSzxyhWAXm4b
UkPwBYtIncXAiAwrEh3+6jEPIB5JjAm9XfvYGg+m07ltFLhK3b20RXAekbzbVH5c21dk+hx4ZEAW
UfS93FdfDZyoVhLFm9rW1bvPhf3kJJiaTrW5L9Ln2wvesrZwltksTQhkMhCmWejWenloApnxBwsR
yOMsTYeq1bZkFtaCFSUZaMJFZQYo2+UC5TxJa6U1SFP8kx4hNzn0J9X5Df3KrtfHH29fH8yVPKj/
0qUuybSZV016PQFCNJQc4+h4HTUYW/ASVC4YTNcAlH7b4uryBAWogKMDmFqk/GYcaMpY4KgQp7pq
lsDEUbladkfVmSRzCzWx9lkA2SVCclGSzS7OzzbjmVZho3hl9FKaD1CNGFt0JittYtKJVzYWX3o2
R4VjJPSpRjJ/8F58fjpcZB8HRdlPuoow1h39sD762Xb/Yi9F7kc+YyBzsryhuVE7tRlqRZTx0OaD
H/jngAoqxFqkm8fb57a2kxD/M0BAdUA8DC/dUgl7rZsCbCGwjTSO8Rmh8F3bvJEf72+AAepAcVCF
2OgqaRLzd1OidDT9imetc+FrQp1ji+xq7QrAGehUgmqmICh89FXmRB2ykkhEFW+A5WpIToE0ubX9
NI8bb8KVaxOxQMHdRTEeSoOFr+co7Um6eAuMkK25I+26O7VotqhaV1YjwoQoFlExYsTjcjWzrkxj
gU6EZ3fZeAg0vTlos+JCzrkP7FLaiIgrfsDbhuIiyqiCZXnh7cVQGFo4kEvp8YfYepybl3I+vdnV
MCHIHgmCtBkWH63Pg6nzO27oFDiZIMR7zKemhwK22Tif9bX819BiLSPqVWXFYj2z/NNFXhk+T8ZG
kr5qgk6MKBrqpLeLC7Ol561GYi3TnEPy+cD95eZbG7bqZzDeQbxC+wCMzqUHZFIkReEQKp6m+O1j
xgzdPV3TL7dPZdXNeKbTMSAMME90aWRgvsVIlFLxUiip9qVvwKSmG/5dO4fNr8gBWnvb3lpcFdmm
zVjP30fUwuDcOINRdLniyXPV3Q8IJ+51o4p3lHpkakVSeLCizDgpSYWj9zFjFYpa7hGz2kJAra1c
1JtlKmPQ2yxdvnUich4pJuUoYjdQHxvH/9znSLJ0LxtLFsnLopzO0wEZHdCT4EqNRXKjDuib5lOl
ePOxPs/NQ4vsZeqeko+kjFviHSIsXNkSL1PR1AZPsvDMkdZBbw3YAvnlGuWdP5FgJIprleVR1z/d
XtlKHiUQBaAXGZxWacBeOk8ZDBNEJ5xlkXlZ7kk2kFzz29yVe1v73G1xPaxbo7lFdFfBBop/fxXf
FVrWVViztJobODuMdCR3+q+q3iume3tda67BJfW/lhZfXtvGBP8MS71QVvpRZt8GY9iZ+b+IIq/M
LJPedHCiWBpImhr7S2/WOzn8njkbgV381KU/vLaxiLrBOAxJ0wt/cO1TUZ466/CunXfdryHdWM2a
55FyonXLeDsf1eJ4EPeperhRSCW0Ut3bzZwfdCuq70lRu12elcH7uQ23bsmr5YGRJNsEOwuWhn7g
wt2bKJatGAyEp86zq/rB/RD0X9vuODrOfa+XbjT/GpLw8233uIr+lJlEWCbHADIHSP/SEeU60vu6
VyVPyor3UnUfy9mLYzQbzAfX/SJhBiysQI6IB+fyyZCWmeSgD+alWbVXnI/mLx1hT+akGL0Ljl1U
3Y/5RjF1ZWVcBTRyGVhirGb5XodMmqEGXQ7PsG+5cXNq+9l1hg2X3DKyuAEmgn9fJWp4RhwmjA6w
B2n21zef0MU6Flvn+72qZQYmQrNxTap0fMHlRppxdT2Lh/KrvVq4nlQ5POqGKTybD/mxfvOdwV8H
VCKUo8nHaKJc+lgfpfx5i5MY8nfU9F3ji2P9k47HYHxoiz9BNu3s/u1uzSMAgBK9KEoNy8GTyoRq
qM3m8DwNoJ+d2mXCdzf2G2HiKraKhVFXEnMl/HB5EVuHIKQV1JrhmRx7J8kJmI/GVbKHqf9z2weu
4tGloeUzSs5tU2pUOLL72Ofx+yWLzr55YvBwJ28hvK49mkqQoC+n8MSari5d2G8Lszayc8RnU9HB
S+Gse/NtwR9+bUT8iFfXX9/oFEhmjEih/yA7WJCaY5a9+ePECtOwIq2FjGrZGPAnCDX7WM/Os/1d
HxtIgx/yrQH5a1SFWMorI4ultH2YUC7UsrMFM2mYDYc+s/Z1mXyF3+jRiTPFHfzaVTv0bydQiFrN
iGFZncEp7sa6ZBhpq3yxdoCmeP/qmii5LiuhYdgWY59H0dmBvdKwaFOdqq2R9g0bS2JbfZ70GEaF
6Dw632rZ2YlvuOq26tRbVhb3vZ6ETtHUrKQ2PxkN1D/Kh07dksnZMrKI4EPeTGUkjDjBSySXOwV1
CyMKNgLskvMT7CJFcKASYHz4uKgNXnp8o0Yw5WZydm56yKHs8G7yAzfRXQATdpc8yl15KLrChRng
rBRfIvO3ltbHvsnAa6MqnP7Gee7kRr9XYeOc6zcyGopfBwMHoBEASDxsl+fpyOFQguMqzqXeAB1G
tOPYKWa2i9qsOUxaF51ux7Pr++bS3uJkraQMlMQKi3MF/EifIaPd0uDbsrA41iTtwhldz+I8JhAE
mb+jrffCdbZ2uYTFtdzL/hQaBkugn9l3kPPE2JF+K/DcFOaesujBHDcu0q01LW7pJkl4UpZpcdYK
AwU6xIHljXNZ+Rgu/ED8+6u47AxFXXR+XJw75YTEpTcbD6itbyAJV41YPB8F1yxCS4ujmYwoDNKx
LM4TPZUdjduvfUkM8fP699u9TNz/PNH54OiqX64GssOCAdeqOGfhbOTMzEf6O6bDtsBQ11kALwVS
G1qE0Pli6NIMirn+IDE6fM5eNCRz7a9Dw6zlsBFB1qyQZEBzIOibYaa+tNK0qdNFZDXnRDpkpfxc
FfIfvbkHs74FRllxM06GsTmLnM0Gq3tpKR8YRO7NvDg7c154PlJYRydqPt8+mxUnEO1OqIbpIACu
WZyNzIRIqWd6cY7loLkflTr4IcHI67aU77ZC/NrWvba12LrBTlRKw9iK5k9yVd8bxj8jd7KeK1sF
oavqCI9GKraiDENWSPvucuvafqJy0pt8oZZ0TMkIdnPSncq63mlauu/lbFdUwfs0NO+b9un2hq7E
owvTiw2lqJQJZgi+KrriLr6v7lNS0bA4tOkvJ4aUSkrPXQRx7m27q5uLAheD6iSLkHxfLllJ/EZJ
6qI4N+5oP6cyHER3m+qUq97yXyPLVyoEEXCJ9HzJ8mDv/fJTF0N2lFsoqtxezJrrUyqhrM9oMPX9
xSaCE4X5rZvwyhY5Xw3y/v2UVlscqdfZvCihQR4iRkOE+vrllql2bSS6H5RkT/QFpcwbre6dblk/
I8ZaXUdXN17fq7vHMAj+iHIVDEGX9rSi03NEQoqzHRX5IZnm4iAh2XEs5E3eybUNRJNMNGFMaGiW
sbBJOsOstaQ8O5V/atSGsVff6MDI3D6ntRUBKyJ4AEFlRmLpdJ2S8QuK8tzYT/AN7kNeQk22RYq8
shiKBwL6BU6K+L44pzZK7Vmr2vKsyyc4P7HwL/IuCiOkhGhkQOmyvArDNpZQJe+rcxKVT3aRekU4
/9bV8LeRbykoXG8ZzBoM0fAygPSE7u2lE3RpluQK4obnOP4uFV94FejW81tP5dLE4iJss27o+iLO
zjT7RjSPGbJQ8k+3bVyHOWww70ChFqApLnC5DNQl/b6GrPqc9tW9b3pV+KkaHu3gRUtPMvw08oan
XX+rl/YW22b66LnJKvYc6hXy47RLcohU72Vnf3tda8dDNoRkDzV1SjHi319lXmrCf6jgZ+eycdw8
ML00etQhZ3irFdIhJEmoh8EEg6FLK3ZcBKaUj9l5HPXDOMFGm+83i0nXR4QRBHocqDYYA12WgquK
4FmZPO6Hat4Vo+XqA7MG/Z8oHHcMWxanpkg31nV9CV2aXMTtdlJbq4Na9xwb0k4ZPlug9HCITcbb
61PCDpSZlEop9zAEd7l/AIsic5RV7Az6IWNCyoFpYBNDu7IakAfCzl+aiiu+4pJLKDGt7KyW6c7y
FV5lGUUD+cPmUYnzvqioiyj9ytIijk5zJpetgSWn+xKNj86wxTp0bQBEFrphJAf044BiXm6YaksK
BaXJ96rsLk8gmY624HnXmyXGkQT4k9wL8OfickvyUFPKpnA8qasPifQ5yGaGu/OHXC03QsE1m43A
YgFegruFgSSef5eLmWalrDWt8oFR/MrbvSN/puFxRIbURYRGmtW7Xnpg2Fmypx8llYSyPQf1vdZG
B2NrgObaDwW5OsVNULxA05eTemXsdLPWz9CdTfZwLq0+RcmINkHtyNnd7ZBxDaji5YQjgt+jWWUi
EnC56rCOwb4mrU8vpD2V9u82jA9aW9yNkvowZumTmctU8hu3T39E5fypUOM3vxcFYkz0KKBXB0a8
CMEDVGsNrxzJK7V+r2rnKPiUI+V0e5nXcZ5lMiBOesSdTxfwcpVj4Wja0AoVQt0/OojNER2DyTlO
4bdO+37b1srp4ag0QgR+4Fp/0DbqSiv7IDrD2fgjtb4hnpTkxufbRla+PAIIVyV3JKOcS5LDqsna
pDKS4ByNVbefITuD80TfwqmsbBtqW9zHdDFxjWWsV9OumieK06DtHmFleac172L9Wcn6B336cXtB
Inu4jFW8eulwQ7CuMPW41IRQsxDyGl+iUGf3+wzieorTvtYcYRbdpeWfytwo7l+fEvYYqhenJHjd
F9lMF5Iyz6ETnRGFvtPD+WyUkudApHF7WcsdFNVpyhNMbQtyLv7npeNF+jhbUdJR5Iyy3qsaqaKF
lOVHuZDIneEN3cXsxhs/KUbvKLwwYQDuh//WFsWrLA5SnVdofG7yB0n5JFpK7Z/b61r6HyaYhWVG
C6JkMDLLq7LxIytXkyg5hxbjOcUYfAiMbGtM+3rzEFIXXEM4OiTCyzZPNNixk0xtcvaBsNlgK3xL
PUz98LOAsTAetrx96RJiTQCKoA8DLIX2zSJIRL2WywY8bmeroUQbuxQvI+uf2/u2zJ7+2rCpH1BT
wtWXPSWrs6O4dsbknOflDhVHF+A8eptwGbhj9zGr3b7+9naLTPZyl5B28nhbOMOcqVFW2kl6Lmvl
Z91F81Nc6MN7m8C+r5o6vg99czqN1dCckqrZYuRaftZivdwqMDpRvoAxZOH/8ghJbY3EzVl34K+I
W/uu7IyvSEHtu2E8afPDZtKztsNgBE2xx4C4lpqpY93qkQrV2Nme1WbPxK+284f2qMuV5aZSEu+M
VCsOWS37iA30zcb3fpVFsGDe4WCTCWPU8pboWamTOns00vw8dzbJalTVJ6RO+50eUtW1mqE8yW1Z
HRK17O6U0onhxRxj5z4fx05zczOfDmii9y9F66delNXFS5rJ0UYxaeXjZT4fgnRSXIEJW8S+PjD8
OENS6jymVnJIJb3+lhpSvVGXuOJt+rsVgNs4BWh81OUkEjRiua1Udnr2PxXln/g9eMfiZH6EiNF/
TNRdOe7K35p0d9vdV2KGgNULYSUe9Yx0XAZcR/NtdVY4/lL5U/e/w3eq9JB9iD/dtrLi1hdWFmmp
3llFRr8nPSe5F5AcJaWrWB/hw6qM1JW3aH7Mxd34n43875oWn7ChtVZQxlp6Rpd+3A1qHcBdA5e2
n2rzIWjaYH97dSuBEKwI9B9CFp7n6uKj7YMkEfw/6XkqYGvkvn/I9I3rd+2YWBZMT4I3hb92eUxG
mnQNX1B6Lroy3Bly7DzyKAoRCE+tp0JNZ7estzLNtUMDpEIwJK2m+r2wSQUpapMMf+z8p+nguLOr
zD/D6k/8+/b2rUQglRggEibKjIxfXa5tssNKtmqe4eg3M1QaBPqLaZrNY+nn1WEaJOOecmv4biqk
H6Bmt1pjq9bh4mQ4gc/AXPLnSAnT6dDiZOdqTI5hOkxuWf1jVeCz60Mv1R/mJvyWJxses+ahJNfU
Hx1KZST0l0se9KECx2pSefATV/Q+x/DZrz9sCeGtOSY3NL0YknloNsW/vyqj5JHRWkONmbR9aCCj
0YLHcqvlv+aZjE7+beQycbiEFQya0Q2TLGxErnUHeGFUdlbtDsVGoPo7qvI64xVfNcpgQMHEuwT0
9OVioj7QBycr8/P/kPZdPXLjTNe/SIByuFXqMFFtjz2eG8JRVE5U/PXf4ex+j7vZQguz7413AQOu
JlUsFqtOnTPXz0mSoCwke6DgTrtIk125BN9eFRY9MAVvLWGuVD9Vjk8kJ2jN2B3T1KVEA8iaWRiM
Tp668VWhezLQY71svYzXdv38h/IdO9v1vsbPH9KuvNdAoouGtbto4ZIVwe1Tc+1CeMyA98nik1HA
NginRu6beZwz4MTU4SU7aXhzL0q+BzX51rV0vRwU5zmJJTCuYDsRwwBreqAZa7m8n4oKUk2DKyk/
mj515aWCdungGZAVLhl9UbJPtizhnZ8BnQqZzt4IqfTr9qJX0gXbAboIo0QaKsRXYvUQbF2s2STA
47RhXwbkMXd2bPmVFEckCCFl475YVHBma3f29Ks2kqjRWm82/4xJePuXXEEYcGwvfomw/4vZ1JIq
4ZeYlq/PARBPT30whEOYH+izfRwO2qka3Gxwuzysq8clczc1wK9whOJvEK7VWgMeBNzUKDH7r2NA
vSxw+1f2uHX03kEyl0fvcq3ChZq0TJIK5iBGBn2ghMM9O+iB8tkJqyPuumMWJcflbrhjeyt4Bnts
KO3AGrzD2drFT3/2xafWxVjUfthVfhmAbTi0NsLp9U2F34f3Ds4Cf7+ZQpxrpjZtQIRa3jdZ1oaZ
tuD821brKXnf72Qj1YKOmiQoS7b1Blo5hbDMayQq3gxQsrk869qSp6aapuV9tkguq3dND0VYt2OH
2962ZgbsTZhM5nNfKHhemikkpAXy1JT3sgE1tamHaoRePbQ59ZKtcszaXppczApQX4zBvBMankUv
B7Hchk45jnsLsj4DYNF+uNfIHZjUgMdpvhlbOmAreS9mopA9ca5czCqI0xCLnc+AUNHyPm8OhtyE
0vjbwsLSN4IhdqJgoDwHS2x8b0DBdGP4/2pmgZ+gM9tixQbDkIQBFVvet8tPh+46BQXs+FveMB8S
1xA+7qef1RDG/caLYtOuED3IUqdZWsEudCNDa3SgSvZc0YNydOBHleYtPfgf57cK2iC3PWktmtuY
ieBlbh1LFzKPVK2WcphbHBWpTT2alSka8agZKV211WNb8yS0ZzkNClKrKylPqs8jBib18j4xQPPr
UCrterDkuBYZl7ByWBqkptWDjrBsNo7Le8ooBqwz06JQz1g0Sw4ce3kfm4anZfqLY76xMVScNBx0
dlCY6QKCuIBn85MDvdwmGKdjon6d2vyBmO1uZs8o1O/VZ7PBK/P2B7iqIHOXO/9twqe39ESzwDuC
T+8cVcvvlH1MMabCubzCeH52gglvFlxfjnfb8HvT7HpT+GQbaCgg6CIYHk3WOE2JTSlOKKQcnsCB
Tr6Ylfe7dRUPlRWXeXmgurX79RvUTrzMx5iJV3tJGIf8/zMf+VRAgtu/6jr9xm6gdoRqOgdFG0Jk
Yy0zIbk5IoCWuz6pvGp+WoqwyssddZvUcdtliybu+gRgUpB/BCBVUfITu+XQcpnUHuxt92m+GK7V
xnfEkWNXos3+9tKug/a5IZTsL4N22mqdqmcMsL7BviOZ9TUGnVer214rb2yijn/p8stySxymzAlu
MQB3aQkSRSOqKABqOD39gepS7w15QTcu2RXHvbQi+E/Xmz1l5gBkF6TkJIV5av3baRoPLzpvrhaX
Gm2g9BA3kALIKnRubegbtbnVT8dF7cDtjsmu9194djcZ+rhIE99Ry3lBobZVHmT15fZHuw5aWCRm
jxGvNFQQxJs2aeyuJPJY3Y+RxY6NVxvuQj3ymtGNOHD9bro0xL/p2VpstSlTC3j8e+ZgLN6X6t1g
hsZnud049qt23s87r3BjRZd25kzTm7SXsWfMwGn6qqSfnK73kvZogwj39uatevyZLf79ztZECWvs
OoYtBnYgLZgV6sVNsFkMuY4Z2LozM/xnnJlJ+1bSiT0B3GV5sQk57BD4pzgYIXMcTGp4e01b+ye8
5uzYbotiVqp7M/lj0xSFyVOO+p9kbhLdbC1LuJrnPivKOlcB6+orTHOVD6k1ta4KMUoVaOehDMms
PM1Qzv2/LZD/rLPd7EboZeUmFtgu+kNO9L2VDr4x7lGjcC1tA7e5vkYEXQvi3hiyEj5dp0wx8NMG
jE1/SPLLUJlrFC6cUSkSz3qelHHDJdc/31+DwucrF8A+5gabqhg/UuJ2duN1B6I/mafbu7geHUGv
+v9XJnw9c0BqRUFcd58m9/0XQ7I/zywY07e5HXbLuHeQtztZf8A7HSNSGz76PoZydQGcGRe+Ifh5
cwVv8Poe0PXSTWqIwkpGhkp+C9ilG5vzq6XMaFYAg2kFaeaAzFJrkq/ENFPfLNLyaDMJFJ8SmLw3
toVfPVe/zATzIl5JqCLowgcvYmeQyAi0XfGY3DWeZLnSS/bcf1ILd9lKqldt8ZltLikFQIIQ6gyt
6JxkxvVA7V2iv2qVq5HJMz91o8eglAuBYbve/Zf14atjRhakMXgzXZ4eJ8ct0hmIRQyS4UZAnNeh
+aTaO1M7SeNLvPyemo0biq9C3FGwvAFcjdIhxseEa7hWlI4MBYLsUpfP1HEemDIHt1e1dkrR/wK2
g9ecr7gjRjkHgWFpw5etPUMYGIs72o/eKD8XJHcpe2v0j7VgQS1tIi1FfQ/PePQTxUUtGqjhQT2u
Ra3OPJo+WZnqjtOX28sS7vZ3I+ghYqCZVxKRB19+Ky2dNIvorRbZ43fLiZaxAwr+PiMHhjmlSt5w
fSHy/GsNUyR82Bj1OSHyyF3bAGYwaVG2JBIqkEmg9nkX6Inl18Z4t7Bho1LHj9KZY/xjkL/q0IJA
FUQEkTvTBPpawNWjcQrSPkLdF0TuR9DvbGQUggP+a4fzqaM6gJqHEOm0OFbyCmRDUZtqvYdnPTjP
Y2WrLr++mr9WhJBWJyMkCDDsGVEoLhrdjirMneLG3cSX8aTketswgAFENSqK4rblXdGkKfAukS7J
XgEVjKQyXGJuXHzry/lrRb30vXhqQJ3GsBwMRoVj9thqA+TjWvejQI1/v85fQ4KTSxSl6UqHIXif
25cnsJbb1kYevuYBvEGOkwooG2xdLmaZF3QWNBykbsr0u7RIhqdMzz9IP/2+El6Hgiuh6oXu66WV
yunHXF2YHvXOJzt+MuRqODlE3tXq8CmWtMZN1Gk63A4Ra4cW8GPgTjkyGCK1lza1pu7TQXa0qGzb
wG5/E+m0FAmAjbOPokp429iaT5wbEyKETaYuT2sJPqE+1Mk3vT7Q1iNbjCZrS+Kk/aDRBNAZOJfL
JUkDY4tZJXqkjukXMOcvTuqp94pJ90yVNi6ONVtcBhTTRRakhMVPpuVN0iMG6RH9nAxvJiChsfar
YEOQbmFdVlwQrgfsAJ6DkL+4Qgjr8azbU2pGMVnaw5gDWJvmWfvx9fAoBzpa9P8R6oRTC/JqcKPF
GSS/y1517cGIBqX1KsAOXImkPzAZ+fphl0CB18J1AYZV0MMIH8tYdFAPpoUV1Th9vqQWhmc1kCAg
WeYZ85ZO0YoDgqwaHHGcbZ1Xly9dg2VjV1UdrM3MoIU3xF2qoOaL299DmcT+YfYy4CC3V8hXIIRb
CFOh/IhLkZfrhbje94mGci9uKRDSaTEqnYUrlQcw0j1WJH1q43bjkK2EdxVRBIkML/dczW814Ed2
is7QIqKAsr76XnDcNcafb69qdSfPrAjfrdTY0jRATUbqstfALVJi/HdE/2f5IG0xD4oXyxG2L5Wn
DP0MU4sUfenDQgEcCnxbqKk2m/K3K4cZYRedVmTUnNhJ8I5GG2nVQwYuKiHUrS+RNCfPTTzclVru
5uzR0aDoVbkNZGWgsX03G0/a6Euxh4mnpcg9o2m2Sqd8bVeuwwkzZI4X0t51n89eqqXKUUg10aIF
Sa8DObMcKM5Hau4WEtUYR3GzMd5//LviNQFaA9TWwLsjfNepqdTMLGojyjXVteQyHLJPxfybdlul
kxU3BdMO5p+QhGho1vN4d7a2rpwtmUmtGc3Soy1FehIM5sZDf8VHL0zwn3BmIl3mOu00ZkZ0WZKd
XZqHTM4Gn6S54SLaVBsv75UIjW49+IqwfVykSNi6GHyaqWoT3DtVEt85c124WkmqjQi9tm/87YWH
ELoZqi2cB3tWpoQNmRHFDEV00C8OLRo38NDbfrByFoCj4NhQPteHJ9Hl3nUmkvh5KI2I6kEKps68
pO4iVegivMjTFnvrip/DGPJr4EU51FbYuaIcegBSWyMiDnqmMfPGwWftj3J+6XIayqqrZV9uL2/V
In82c7pQC2NRl8urHZDr6BUszrH6olGaHftCe+laoCW6CWKJVp7QwzBLkr9U1uzfNs6XIxxrEIdg
hAmUeDIA/IJflnMWkwSiPpGphwb5rvmSJ/f7sT+mbOMuWDsB6NMCOIFPiTk5YZkN0iQiSwynWdLc
Qn2beurmpPOyLW6mVXdBR9NG1OR4Ff5Dzo6a6YyTqS/EiCSoyTL5N9O+W+2J9WM4jhufbs0Ux2Xw
gAiFC1MIHE4HWlKEKDNS3OwB+jooeGxNY4k4A37pICj9tSF8IWZbaa5kpRnZkMxLx+YlBvmO0/6u
ygJ4D+p1EuSfYvKcJlshf+2LAVWEnjPwgyBMEsorPSR748pZzKgwS1TiNctXR+IZzHmyleTPbT8U
q2jvyzw3JrgHi5N2KdMZ+l0qqZKdnICsOSiMvL63BsX5qSyjuU+0xASB7XAciqV+kLo+e5sHyQ6p
Yi+9S+DjsddlqvP19m9b3QeMqUHEBH9eDe+ndFTGyc7NiDTVz5m9qTG03uLirSBb6jtia/qfXUBp
Fj1blOvA+nXpuxAraf65JqpZcq3FlxSflKgDMckDSyUF+2tfdb/ZVISq8v32KteuDBDboRmIaWMO
W7s0rSflbNYJMaMxC3b5uHFVrO3h+b8uJPMGhmYUM8e/jnGZed5lXr7s8pfbK+AnQYxluIyAaMbE
H+d4ulwBs5dutmNqRXb1iHafO6los3z89Y2twWHH8xTR0uAR4Sy45EbO8lKurIgUdxXW0m8xDa5t
FGda5SgrFFJFpYJknmJLaRoramlgDN4c76GNkfQb5aq1rcJNw4USDQyvitLfQHFVWTdPYAgxdzQJ
m0+b84mrcevchODKGHwr7GmACVmKd5bdHHInCQhw5lkaqA2asZN8SNrRS2vl4+UeYOn5MxjYBxwi
IV+ACgcKFzxuVSRoIcaqdMBz6Ee1H/7D5Xlm6H0LzpzByQcpG3oVMYt2UH/0FONeUlCQk6DRBbYl
R/svX40zQmLkiL9RhYX1WjvbwOGbUY3OqOxUYQxqyKwtN95Tq87x14zY0VbYoo3pAjO0teynolPG
/TROP7sk290+sGshBx1xlLrxrMLglhByJApKYRSfrQiYcbdgqTe2eXjbxNpx4shivEDRVIYa0OV5
nRdtmtslRkyQak8dO29Ro0IFuQeUNj9sCe6GI4u5FXwcR0gc53qiEl4RZmRhGBP59tLeAT+1lP8h
G76wIzgBYdMC3nGsKG8Pln2yU+r2UFe21GgGoOf2mlY84a8tQNKEDMAZezKW3OFkprnqtJdsEJ7r
+9tGVj4R4EAAheCZC7oL8RUB9NngyCmuBgQK3a+0snZTugBA2GKUs1WtD8pP8TsW/HjQJAVuEKmN
WEJ3mGJj7gKFl4b9rBQTONpPtxe0umtnBoQvlMbLIhMdBhLlW5Y/dkAXlVsSequbBvoBFeUq5O2i
Pk9WsLir59KKDCCqjD/1cp/UUZdtZZ/8pwpXKvbqrxn+M84inD5oitT2WEoOWdXAaKts5xToCZSV
knhdN3/vq944NGblfKJ5vRHu1rIhYBK5Xi0w1qCmFdxPA6KGLCW4XIy089Rh3peDqy8veHG6ttbu
KUUn83tvgDtgiyxe7Ci/O8m5aSE0qRAgXBILpjXYVDR2bNtlp9DMtxClfpbg3o/JO3/4vnTyp45s
0b6ur11VgMtElRB0/MIPGLNUVsH8akesqMJ+io9zTo8oggRsvh91cqea9C6t69RN7epUZa+3XXgl
Muu4ZJCFohR/PdXd5Ho2VLhtInXoEjfP1cxLZHkr3V15fKIVCGYnZFO8UiEkU8tS5VXRtHaEzBCM
79/SKg9H/ZSmlQfM+Nj/ub2otTcGGgvAPiBHVNGFFA6mkZqZNBHZjpTYn6ZPme1XVQCsYS0TDE9I
PjNbf7E/S8P0UjcQjKb+4Gw1VviaxBOF5xyoL4AD5Xt7eaLqroe3MhASP0CJncj7ASR3kp9v9f7X
zAD8Cc2m99k5EdqXAahmxTNK9NJoBqMz7GM8p/o4qE3zEKsbedBaMMIQCh71sAjWNmFfrb4xs27U
zQhcamNol+hH5p1mHAq1NkPV/iiv5PvhRA0BcDvUsFEQEvxmnqVYyhIND1PIm0BovNZc1PQHr0rV
jXR/dWWcagH1a46jECKQPeSV4QxY2TywPeus0mtBtOA28T1NzI17UJxq+HdZf40JR95gUMjpkNFG
k5IYqTtC7G9fG5UNPElLKn+RlwH4Fb3ztTipAmUqAkNNgbNg6ueKVDKo8qs5HDWqeiOxlGe7A7Z2
yhvtiFdRuZfmNL3Xki1ZgLVIwbeGD928C3Be+jNFw1ZuC9MEC9z8AtV78EObG/fAugkkVnwGFImv
kMNltClnyCCZUZKbv2uleZvleYuYbe28cBQEhsTBp4J6zuUy1DjrJugPYO9BBJgTZWf3/d1kQ0pc
aXdMpRvY9zW/4lxzeKSggYbn3qW5Oc+KpILaRrQUo/JgaDmadbMz7kC4NP/Ip2mIboe+VXsKhjOA
8sVVKpJeO/3cmYOD5JRqpmvMS5h0ldtVYOcvw9uW1j4WXBjj9lgYUjrBiQsJCthjxdPgwUpCqCsM
4LxsPkj19n5UeFKv8dlZE22Jy/2rO2OuzJqnWOW4y9TqwAbVW2q8wnLn8B8WdGaKX2JnKZANuVJl
MtGGlBhKwQlJmGsX5gcFCv9ZkK2CI5yPnxviU1LlcIuYJlbkkFoF3T/roB+4DKENpcyNL7SWniLv
/Z8p4QuNY46hWeg/R3Jl7sbCtF0M2lduPm0KkfPoKN51APMCXI6iEvAq/JecbR2p2ZRBdw2Pr/I5
Hf5IFvNNDJRMYWJhTq3KAid5jsl/uIxA+MSJxbiKgvh6nRUH0PUURo0aE1K9/tza1bNO9TvD7E7/
wTWQTSCXwBAt2mKX66MNGechR61G1vNHjaIlKG+Nf60dXLyOkfyCvMLEJXRpApTXJpRwJisaGnYY
nTZMSfylpvK9bsg/bq9mLQSemRKz7RzklA1Uqa0o07ujAZ5a7avaN6EDnsa02LC1tizgoTF1wMeq
MaNyuSzkCQOKNLYVjVUQQ2qw8JwBw/272yvasiJ4+qLIY4qSrhUpmKxYTvXko35dVxvnac0K+BPh
c3gro8bJ//7My7FGpVYKRDy1x2hkclRjzZ0nwC2BzfrwetCUQsTDI5m/+gRLsb2AxIq/h2rM7Xh4
dL0qdRLYrChc28H0221rK/7Ax4dATYHsxwJl1uW6iBNrs9ZSJ5q6ZFcuDjIQfE1vlipvyvrfhUby
jQxo5e4wQGgFbwfJIWd7uLRYAs3X9OA/igwz/90kQCUXk7Q1isN/thCUDNyB8Dnkq5g0EJyiK8Ao
P47MidreU3O3PcAzSId5JLd+q+rg9h6uxFpg5ZFUoHvNudn5is98o1CQVdhJ70RKilFnGTKnbmcm
n2vd2HD1tY+FQhq06aDTCgVa4UARhzYL1VonSpXfYNJxWik0YSyvVM/Svv6HRXF6bv6IwZ+CGyIl
r2ennZ0o7k8AuZXKQ7ZVn145U/yd9j8TfLln+5alNMHk0oB9c3QPjZIwpiXErUo/GT84C8JvXv4Y
4u8X1FWvlI7VKSmascFqBuvHkGrH6qXNW3epvyNJ3Di/a64HnAr6y5hywRyNcF/koON2BnSzIjBS
JhY0uoLHFOhvd/yEjtLtb7RWPwCt4l9bwumdM7uNZxDiR0ruFcflBxCczik5JIMbSFlgTxv21j7Y
X3Ng2Lv8YGM8V5UE4drIAn1Ud6c299NXU/51e1Hr+wfeBsRUIMPEYi4YnKXOnnUnGse3Lvmi6C+F
449d7zrxE6a9/GlrPHbtVAF48j+DQkAajNGwY3VxgAiLXdvMA1l5zZbnSr4fmm4j+K2FChNEmDz8
4SIRyXiqQVZmtMkcdOKjbvw8VM9jwzZC+tpXQmrODy10adFBuPxKiznNYBbJSTSoI5SDIwOswkT/
o6rfb3+otbVYnB8BEDOUBcT2UpnkHVM6ODqhLPMBJq1PTisXD6Va7m5bWl2RAY5P3oHnU9qXK4oZ
2h+LTuB32hdZV9wqOaG2Qv9D54UHCPQQ8P5Gg1G4NGodZOCO3JKoJX5meFDaK6zPt1fyPtwtXkwW
+pao6KL9en1XFExXclkmEUiV0hC72x1shXWYWixTjzWYV1by9CsUm9oAtbTFG61ROpaVhdnNQoGO
7awMEDCgy66gmhxoQwZslibPDyptJ5eB+mrjbuPRSvy9HMiBYpYNVL8Il2x0a56Y5ZCILfIDaePn
Urovyad8GHYGWlOz8+32Bq0dxnN7QkQjKY2roZJIBIi900FWMwDu4Xu8RUy71rh8B6j8uy4xN5Ul
7JdiEBJRQ/3lEMVyrbTwW1ROAG1xE6i+GRUJU4z5tPpWXWDt4ACAxpt7qL5eHRx7yTMMDdpOlIzf
MfLiSuyHXW/VOtbODNjNYAZvClRVhKTEGnNbS1hKomK2cjCFQtRTybRvrNGZiwbWFiXLyncDwRlo
EgFIs8CQzX/O2V2ujKpDGEXQMYyTmvxp+oGfUhMSrGW64ZIrFwReYxyjAXcEvY9wCzn1AlRwnUtR
JvW+XqU7CjUYZbifB66K4ekZ8ZZq61Zf+WaoeUI3ACqpwPaLOR4pwaGQ1xY/BzPQYS6VYnfLKdds
gJcb8ywc2Y3lXe5h00pTKs26FKWjilnVwiUlpBCyje27tsKhgigac803DTn/pZVYaYxpquEYKs5X
THVXcwZX3Rok5u51GTcurVzFUgLyby0hkVlCc0OvfLrFln7t4NwC2r4GyPww7y94HJE5LHEsSZSz
/ai9kpH6EqQ+h+fbAWl9u/6a4Y5/5tj9KBdESyqco1Jq7xJHX44KKfdV6WxxrFwfocsFCYljMnV6
AvoGEmFq2Oh86hs7ZzdtSXeuWUGBFXhA8D0CrC1sW5F0SEAG1eEjWgWxPVkOLSCq0g4iDtpGtrOS
nyIBhi4FKNVw1V1RnbTaxAqlruEFDMxRT/IMMiMdGmmFJ+WhmT3n6ud4hHKFU22gQ1buWW6Z6x+B
TBgIT+Gz4eVSd7WBzay6H0r60oLK0AKFWxHW5k7VTgsNuwYIu8R+Is9lG8pSgMFJZ3qSafaK0efP
4NLzbzvSddjCL8JmgFsOIAW0hS4diZLB0BLU+DHU9VYOk5uY3lAdcflML2qPMe4NcysHkIvsYvSA
Kz/gpF+aQ3GxBSMfLu44R1BsB4n6aVXrG7nmyungaTpUHoBlkqG0e2lllOR4GccO2zwjXIG6sWNu
szVVuLJzGEPB3YLczkBeJuxcBb5aaN0i4C/NFDqdlw9fKFC6uDnr2Z/nn4X16/anWskOQAOE+jbA
uoqM5qWwLEUbdVayVoqsqpvaoJEUJXcljMpkrr2w6Yc5tClkzFWl+CyhMdV7DeC7zO065nwcyMAd
GBzgvPXG+WQud9johkayS0MC6aGB5nzTfJ/0YWvgUGQIwvsYVviFgKcx+qZXL7t5mJy50rBgO8dA
fHHQrdLH4KqrzbbnsDAvg4492Fr2hJGFsJcwr/Vx8CB+AkfyAtYFJjTxaQSBOjNGY1eKRvWYtl+h
0GV33keZzP9Z6JkVYTvrds4M4lhSJNWvEPPQ5hJFw91t97nOmbESXglCgoKOlXgoeom10BfK4hNK
J0m+21njS1r586fq4yOPKM5grBLsLkD5oUNy6RvL2CvjohTxKY13AA/7Wf3gLKnXZ99uL2jtlJ/b
Ee4MqzP7jpl5fKIpgG9zc2z47F69cVus3EwXqxFCdrI0XWyY2LY0XdAcOVbDnhimW1LLG7Y+0arD
QxcWhxskNbIpKlM0U1P3it3Fp6X6lmtBrvupYu81SXk29ANEz/y0fTbyxp2iTm0OPZjBNiKnSLT3
7onnv0D4eGZB45pTpZ6+JCYYMV3NNUe/iEDvYrk08+oEpSOvJd69VzQbt+PaTuNW5vUBMJYgF7z0
m0bNbVxHQ3zSM5fMARerlT0cuGneOAlrjgO+XTx1UBZFDU54uC8SqLQlU4tB6PFU14Hd7+i44Zsr
aSBY6f6aEO45kJeqFVn0+MSLiJLWuqb2aOV0tzn2u3YL2QrXGbE4ZuiKtq0obYsmLT2x5zk5dsnv
qb1jdQOW++99+0TkZIOQdvUSOjMovnNArNHqrczoqTRNd1h+Q7swKPkCCfUW+b5SwGeVnOo87TbK
fGvxi8/ngooeRSo8IC/dg/ddrR6C06esrcPMNpAmfR3RRp519PQebDBT3g4va5/w3J7gJRDOxb1p
dfTk9IrbzdGSEZdI/rw1yPE+bSk8StAbR/LLb3X8j7CwBmyfU1eO9KRme2P+Wnd31Pw52pXbWveA
nCEVruIHteND3cryNpWfOilsimGXfFD09v3sn/8QYcVWQmUMsKj01A5gVX3r1C902nCftaMHngKM
OAGvCqS5EF5yEHkvFBK+pxp+wojqyVnlsmGrW7XmK+iJQV+CKzJgXPjSV6Ze1VLHjJMTo75SvU11
80Up9umJWex7Zn/+uKOcGxPOuk31NhuZTZG+20gz9btMeaatq3Ys+L8ZErKEplCAPOosekqSzK/n
30peejrYXZi0JcIu7h8m0DhJD6YMUPABaZ14tTKcZo2kY9SUgZPKYaf4dROCmdWnS+CQjSv2/eie
nwDRnHDH9oqeYswuGyMdNx76fGrpK/THYv2MzZNqKr49/5qT0Eg2kDDihQPMEEjd8Ux4n1V0RKl5
FTyxhkE0OVraJgS9e+rq9nhqoUXnVV12YIn85/YHXDOI1xZqRLxbi9GqS7cslLYdzKxQgJx1oHlr
7nP5iwXeXGIk3pB8UMwFwE2uYQtVNa7/zYlzL62pY2U1o1Yr0ZQlpWd01g9SyiFp7dd+mCPIoGw9
CsS7CEzyeA1ggBHvAUBtRMCAXdRVV2MEIlqg1msNxn2pLV9kqTqiru3Fef8M1aAAVGEbtRDu9ufe
I5gVwQNzYoHoKINZJBZ/HCQpjtx9uf3htkwIIToF5wWemRT130w9FjkL0fDcONxiZOTwBwDRUWDH
MQIXgPC12jqmdW8l8cmJC6gpOTtcF/uk/Xp7Idef6NKKcNJ000kGkiM3l6fcxTCRV2qOB0XpPM8O
FDUJ5jygEfnpttGtpfFoc1asypOCqAODUa3HTGsMJGgVOI2ycZr5Bl26AZbGVWEBAwW0Tawgzpm+
1JMBK3rZuVrbeBb4nzBNmkM24vZ6tiwJ3kCcuZSyuYxPTDqiujDJwVTtsq22+uquQdMF4nGolANx
drlro1H2U1fDirFofumA1wUKj1v38VU6B7fjqiNA9+DYovIvWGmkGgoHE3LhcbIAq48lt7MwfJw/
d2GZ0feZ5wzTcz44I6Lbu3h9pmAZToy0FdUwCMldrq/MS70re+iN6xSkYH2ZUn9KdSu8bWVlF1Gl
QNaIXAPsE2L12iz1uCO4zU6OWh7AoeAyJT5k5gaN1YpHXFjhf3/m4SBQUzMKIMRJse2Ali+1eaSs
DqVmY5T/6oHIPxfe73ggovSEshNf7pmhSYO+hV4gsdHI9wwqTDa1faOM6ulP0z4W3VsvK+5sHMYJ
YxnDDoCT4PZ2ijfYu30UhIFiwaZizO3SPsD0AMLGZYJbUvGpkfjl9DJ/AkJ/K/te+258AoBj88Fp
ZQhnTI0Lu3MoXhIpWXblYD3Ig7S39I2rY+27YRARQkMc+4O35+VyJmAH7ZxOyUkxEjC7WJ5KnjoZ
+Od64227asiG0DOSeUByRCkZZpat1dtzcjLsXZebB8QMCnE8ayIbD/i1UwUNN1TRQXeGHri4oriJ
s3KQkxPR6BuJiwxKBPGWjMVVwoYSPbS6uCti9+CFwtcBSUEpQZkpOxX9SzFHvVX7i8IOuR7aWRUC
/uEtDajfK3drKOhqjoJbxvMT3UMZoBmc6MsvpvYzBNY0LT1J1uwaceku9k42MZT+NEnLvrGSnVV7
fXKnW10os8Zv89c21f3bp+B6kwEgxHQKKDsQNwGOvPwRbUJILSUkO1VRedoirrkqwWCJGHxHdQK9
+He3vPzXS32spdSK81NcYJbh4FSHjJymvr9PhmzvyEEG/F3yaGX1zqY7p5yeHLqvajVCxNlwputD
iFFMdIPx6sZH1hXh4m71BOQ6w1yc5vynVv8CTrIZNyLamgl4EmB+QJlC/kjw1wQiRIMDDPqpfW36
J+Xhw+g07Cb4f/4a4D/gLGJSmhuV2lbFiRiGKzV3UCCakXA/pCjU3/aK1aVAMoMr2QH8awnvwDkl
XPu3KU5jPx1Gsjer8jHXpQ8nHxDt4mpyJnAnADcL12a7sLbrdaU40dmEvGDhqvkPmTTPxfzr9nJW
UgNYwhnjlQk8osWCiwXxj3gmKj5N3nlJk3ONiRJEK9mx6jtPmVPP1JFEki1U3NoBuDAsvN6X2LRn
KYVhsz7RsXGH6iXRj/Wk7/Ki9rJB8mv8J/O6xddw8fTzH6SukHJmzun2FojPYO47oE5D8xvUBJBB
Eb4oSKkA4l7M4tQMvRunYFQdP1fjwUTo0a2HGb3w/2DvPf8HOBmQXmHhFs1tC0URnDdlftFrprdu
XpctSq2TeRg1JfUWpcxDCNMNG0/w63udj3MioKO9hBRDhJPn1SBNYNIBbaDeH80cLwHLt2U/sfWv
kzRtGFsL4uACc3AR8pIXiK0uz2STG23TxkuJk1IgWQHs5ElP68Tva+KnEgQLC5aw0Ch05mMSTtpV
NhSwSDO2B6Uq6D5mc+bbU5lvDPusfW40Z3GuEDFAxSSEihGDj+Xc1AjpTgm9S+OlMPODlpPDXJPH
pnxqU8AXb3/xVV+HSjygTLzBhY705VYYSkenPjHLk6U8Tq903EFd0TOnZofGbxPvhoa61fBsWkdV
6VwOksm+5Md6i5Fw5UJDGw/DR5zBD5gqwdGrBricmJTVqY0x0LZojR0oQzpvXCfXSRAwVEC8olaN
ytKVEAFT9ELF26k62Tu0g77kli9vfMG1EHxuQThAmjG36iLDAkUKkqi/6BLpGybenfPynckrK5j7
waAH0OKiLnU3MnVEeac8LbLjojujS68kUMef+s6emVvWvk72KpXdsYQE1THPv4MjbbwjoLct/szV
a/kIeoZlCka2G/HiMtSwl9Flue1WK/uALYbQGADZ/4+0K+2R21a2f+gJ0L581dKrZuvxjMf+Iozt
sRZqp6jt17+jyb1xN1uvieQlcRAgQJdIFotk1alz0MGrc/PQSSwrRwXduWY2QdWC/qp1cI4mrSjP
etWrjAiJajT6WcHOZi88yJfuOxcGU0q9L/G0hzq3Vdt+mskeEOEBMw7yjzp9rVEdrw2PRL4kBC+s
ONSFde4e5pTzPJQJ8uIy+Krs+3m4l5QDSd//xWQur52FuBxJ8iWncnaDSE2IqwLgiLAQSXjoELdr
iJ9Bu+O2mc+kKudYSFUvj3AQRqAxmbtUy6UTSVKCUBDPO1onrhQ/9Mj9UyjwAW41ZHdtvc3mAS/Y
ynPsU5lugEEEDZqnElCp24fsJU0f4nHTjZ5SMzd3xm1ph0rUHqRB8JxZiReLKiv40BC90aGxRNLz
KekGcE+pVnnKK9BAGTZ6IllNRKCgteUFFmwRkcGOg0jgpZXaGeexN/Xy1Azv8ShvUzA2L3oT9u/b
M3+dFENNfKH5RJcTuND4vmhZyYlNurw6NdazA8BrSn/bEfEmANGcH0P+NESmYK1XjtsLi1zUz8Yu
zxKUPk42+OSa0m+y0q/Jb7Up/F5KBcZWNylonYDuBvAaQEjOgZVEK7RZH6rTNHlZNWCpXivr0aHU
b9vOi1PzFQT1ba8jZ6E/NakgN7L2WMSNYiFFwvkC8DwfI3Ig7pCGwV2uqt1yGF05Te4iu980lvQ4
1NP3soohhdF/KUbqRjOdBcfOmrNiVyELDjozXHE4Z02mFHp/gEmeSjmSNrRryq8TlWRBKmHFysJI
u4iU4B0DkZlLZ3XMJM/yhtSnsaFWMNjzuC+yVhFcnVZcFVkRXJ7wsl+a2Li5pJLZOFav1yemv+Xx
fVpK20hWdkqqbJza8qwBSIj+++3tsTYyPHaXvk280tD7dTmytqnMlilVcypIZ3tQjNC8vtdFtKMr
WwIG4B1gykGyjteszOekjCWJNicQpHyR8yCN+50VD15qfgiRBivH44Ut7tyo9cxuKmQHTsaE8uOs
HxM6HQxnEHj+9WLB6WWkzIAgQqKABzUaJSSJaVO2J1nfMDZqO11t9E07Zocsq+/VtP3edbK6sexE
1Lp5fZOFZZDeLlct4Pp5CE6OjTBBOKg9TcWhggYmc+6RCZIy4mvOSY5EHT/X87mYAwJhabhF7p33
kF4F8swy21Nh+rQ/StU9QDOCKLYymfhigNeQkEA1i2+7bheFSicvu5MyNEcA4B5s+p2kRxBIblDi
+16lgSa83lx7PhRm8fjDxRwPQXQFXnr+0A5qY9Gsw5TVxmYaMtWTGACat/fXyuyhCx9qCwtl5JKq
uLTSm22ZK7nJTq31UzKeSqOC4vbbbRtrs4fWG9UCETiARbzWrjOQJrVqg50yTfHlVMJFlSSHnube
wVTt36SOATai29tGV7LVwKVDSwn9BEgg4M/lyKqhNCkhXXcyCu2h6hygFbW908cuij9NYoQz5FwJ
yd4YSXwzSv0+u89yKgjMK3mM5SsANwAWDUVXPv4Xc55mEau6E5QRfHMMcFC6LA/o9E3X7hVJdquq
9xr0BAhGv7KuF3aXNTm7JEnEboZhbLoT+z3Yvq27RDrV+q6cfeM+ebWCKQlGVKc01yk9S/RMWTl1
L0Ztc3miIp4NHLqwLqfye9v/GoYtFJbdUaEBovhEdyDTAgeOr+PQvT3w60i+1JEUsCECZAh1Mu4k
HJHehJRQC8vlL8PYq8Oe1KhoMnemNLht6jMDeXlnvrSlXs4xyEAJwQsAHrZwMm3r6KHTX8sBNAYQ
wQAz9NRIbv3jmzY8lDRGRiMsnJ8oQrZDMArcTDRq7gmtT6jr07jvTmrS7w0HbBDjNjfeC9UOJz0V
GFt5KyzjRiocYQnzyT9CIcJggeSw6E61mau/bG2QD8gXORADruT2N5vZ0HopNC7ngIDcgbl2lMnK
nrRtWW30fmDBDGn7+rHpUKKKC0P/Qcuszt0USvfPVVGqNYgZyGAEs6mmT3rWqtQHRT2Rtoqc18U2
qQwm70dqZhDclcrkIdWGUsQYz6s52sAhqkjFIBcIJRUkZTgXpswho2pMWFxXDqrtuMsetJ21iw5y
UO8lyEC4A9uax+fqhxm7xt63BLnp1fh1/gGcJ6etNrZGOXen7q3ONrobP6lBQY7j+HOWd1kDSct9
2/hEEVxYr989GDdUfhYUKJAbNu/U9ZARlmDcLGW5V5tR5DK1LHajFfVfrSKKT4JdtEzk1S46M8j7
Limr1gHN0CkbG7dIm50KHI6l7olV+R2yjsX4WuizJ4nas1bOV5Q40HSAfyPDypM3YZ/mdq2o3Skt
VM0jMRlco5/jze3hrcVhIOZxAIDLfeG6vowRktG1nWzl7NQUxy79Fqkfqia46a2k8fDAOLPB3RSs
KLbkGFpGJ9N4k/tTkx/6NhiCqgkHUBbQI4Aw9AXio0eV3rXNewwA9u1Brsb78y/gTptSHeaYDYTh
ln5IYnbXUs0n7UdC0BMddEdb647twL50RMTVsLaIyP/AXZeeefAkXU5vnVDVkdqGnaTZlp+rDNcX
dAZEL7fHt2oFKQVk4lEkQr700go4auKmVlt2MoxK3udqC81gdBIL4IkrT2Vk9XCBBQEEEJkor1ya
ido+i2qisRN69zb6O/S8vMpT9/Wr5nX3pS44KdVlY/Eb79wcN3eJ1nesTlV2GlK03BrpSMAaO7Lv
+mAmPrSCWVi30vyAVkK07GtKedTMCHkgxWYeCHvSYJ7jzkdOQ75H+3aGCnZh7/Ox7DdyMg8bKqEP
V1ej5rUhTn5fyTPo1eNU1EJ0fcEC0H/Bq6N6AGTAFRf/hKePTlO7PxVSnfzSGshTl0OrPFZDrIQz
rSP0YWs5mA2g1QACnnruDgrYZH/e9pCrbY6vwDPrs1UaTHv8a4tpVk+nLB8AH9f2KXhJ2iTed52I
LenKERczcEPk6DQ0Y/OlbymZANRS2YCdbuRvsd2ZI3hdBvQ63B7O1SHwaQfpZfA9L8kpLiZrUkni
YWqHU4MqtJ9rxe+yByOgnk9QqUor/7a11ckDqd1/rS2jPrurqpltlDEuTCfTKSPPMXMpmHOwvLdI
lPzTcPw5MJSZli5jtMxyh2pJmnaMGjqcUHJwGzU65EXvW+ksOLzX1+mPGe4QbQD6yTTwZp0S2/iC
1vbooPZOIoj7q9MGAgAQCavLbYWLSqnMhjpNekxb1m5LZQzMpj0MthLcXp1VX/hjhgdpMUcndo+2
0lOnfnT9YXAmr8+eG3UU2BEMR+OWxiJzbUgGlsZGp7KFakZGmWt2Ii3yJapdRD3kkbCHkI4EugfN
h1yQrR2ipiQah5OcNcm3yorAaJq0Ue8OstkHOjDiUGFXJx/SYqIswsoIQZeF6h6oKABf4l/0eQ0V
A6vIxxOTqGfneAiaEC9G1/TtBVsbIQhUESmgbgG6s+UzzrZToqSYNaUakcwKav2k0slN81Hx2gRD
YzZg4oWoc2fFRxbqfHRyAq6BSzM3qWpNwSEIjWugRrTCbVpWuZacfaRJhd6MsZt2t0coMsedXHar
aX1mDuNpGIaNY83U7cAf4NZRMfpGZAvO5ZXNjAZ3OAyyI+jZvYJPdWpbaok8nsq82Olyv0Vx65/C
R+GU5ya4rawzdQBfnDqezPyrTgefSndEf48ikTzOqgf+GcrnYXrmGmXLgMpWtfFE8q8QJQkU0kCH
ZBIEJv4igyTcIiaEhDv+a5Hy5NxBmxtdzYoI+qTsTV4qQi2yfpZSH1UnOVSF7Kkp9RfxH2D5bAow
SdQKjhRuD1x9AechTtykXapLVcj0DSS1CTESl5jUJVZx7MG2PYso17iZ/Y9BgFWAVoGiI39F1GV0
FuOtVIV6vmN9hHrrDrlk7x/5/acRMOeCUxC3XRyX3LE8zmUJaYGsCkfjlzYeowpQN9ONReBf/jr/
l51lIMiIAwXJ65HLfZzMZNG0deLct9U3x8tR9lMMV/Ecdav+6KvnLhFWirhd/WkV9uAxy00K95vL
uCVP+nLf1KswfpWkQxbSws2+yOamKEtf20JzyW1+RdBsaLbN5I26T9nm9vTyzVD/+QLITiF0AnjD
v33lWYfQl2RBh/3w0LjoksAfbeO4b5W7WbjzD/V7+tZ8vW11zVXBnQ8eDWQHgTVdpuVsT2rIzQ+K
BRnlHHzpXf6QMh3Am8orUnTl39Xx9M+Oh89BLhRIQNsAx3t1tysGavRSrNWhPXYvVfuiV+ldmb+V
KPpakrMbafd0e4BrW2NpdlGAJgeSi8cDKDUIKZ0qaUIVkm33gzqxfT5Yh7ydRAUqPjP119jQj7jw
jAEjrHH3LoUgo9FaaRMu6xbvun28i3dQagyUTYzy3rbc13v7EB+7PdnpXrRrk7s4D2UfiIgQtB+3
x80/Ta6+htuuSjsTcKRkTahV3yop8yL7LYvussjaUlPa1I1xyMrO7UVazXw+4Moud5+muj1HkwG7
4zhudFR1C9uTHDcCu3fiKsSzG8l34rc43yinfgKfIhQQO4+JttMS5c9uWstnoGsegFnkknDX5hkD
ejOLSmSTmpA4g59ZdxnomJSRuZoRe7qI3eKTdenKGiBzwDJBZPkKDOLEVqeDw6cJjyCtcJvXLoSg
vNtuqh2aNd3vP4B7cRM/DpLNX38T76P3Zm/ylSByY8/wZF/xxmDyVReQGEHKdO1EXHDzaDxcsMNg
07rc5GTqi4mOmAudza6D5KI7p99mY3yk1ryXM+SJ5zvJZvuBTMFk5LuusQSoiZXV0JDIxGsYDzog
tLnoCqlc6NIMBQ3xely2euy20z5RHrLyHwIJl3XHPkd8sRdJEJvvcE71RJ6HoqfhYN930uhr+R2V
O6+cD+2465L97V22cmrAGjDCOKfAuPGZ5TgLn5k1qHXfzzSkYGnYzj6kPQtRqvB6J8OHke8G6ARI
EJRzuBht0CohtKiTEJ2pat77ZGeDAyJnfq5abtr4fV3fR8rL7ZEtK3Lh0YvR5V64APcXHvZLn0kl
UjpGNyShDMnEYO7VMpSmpAqsviV3ZaFWHlU14jGNPlAoBQqupFf+grTK0n0JhidkG6DDdmkdvFXm
XKFfNpzyIgsHSwGMSi8i9E5Z7SEeYtMlEysE1zbuqm2hhQqPFuS/AJhYujyWo+R8MccaLRG4bIeV
KntNpHwbaS9iAbs6bxcbC5MJHAZOyp+3kU7ZCIr9JEySoDQCmbiWs4k2ev49/of0DX8N58zUMsdn
w9GIDeba2kxCuMpzqjWuOT0a/Ulq9EelPN32lpX1uhgWt14VSHgZdCSTELodcf2svsW/on4h2bxt
Zm0rLKBsFNcWvC7agS7H1DN5QrpGgV9kX1tmenpybzXb/Ig+j/xYdPNurD8EJpef5DbChUnuPIvV
XtIKY/GKejxBOBb94Z2XjoZvTp1nx8xLAdhl0fgkj7FrWt6sfxREpNm0Or9n4+Zcs6dda0HLDR9h
+RXdkF1xBwSRJIjSy69cDXXpUYdKj4MXFDfUnoIud4LESUiTyc2L2QMz+kxELPLXx9GyB87McIOZ
SFeW0J6GY9KtWrXbhQfd0VBgS59S/05h/oLGnd1ChK6/CtacXS6OVmoxSE4Eu4n6kdhzMI86FE/c
ou0E0ev/GCHSYoYNaMMVC5MzoyJSosQfEluPg7TWUxcviNRz5upZySDiU5Dym1JPP6suLTytcmpv
SsovGqtMwdm/NmYFKWGAEHA6oSn6csMQpF0A7MaYiVofDNBW233gDKBzEdhZi53oNERSCww7uHZx
c8ucJjVpZSehQWq6ZZX61Rp0Ea5gLXieG+EiWlZUSqZNBgbTkg9z8KqftU6gFZF5clr7JoTsvdub
f3X2UDpDdl1fuE65Gz2jREtR1Ienyo9k+uagwcoyvU59vm3m+skLz1SBJQXgZLkl8dp5toG+j8wZ
0rDq/cTaKp3pZdmhl5k7PYMiewL45lEFffFts2vTuQDb0PMAMmd0s136RgzxydJoR3ipvEtQnag8
6wf4beQKOt6iBvk1/zi3xfnHAE0pkhawpVS1N6CXRdhnKLLAOQeEodRpnGDBUVAOytA/wv5ZKu7z
QEW5FmAiSLOiIMfliG1c9tSczmmYuoB0C26Sa7H3/Mc5V8v7KbOhRZKGctN6o/ndMGqvpAI84+r5
eW6FOz8Bp0hKs1+GALLtr1Dc3v20N3lgurvbriUaDXeSyGprSLKExUjiF50hZyI3EA8TFQfWl/zP
gnAOnEdAxU36lIYzuptT9lTo/88V57w20s3KzipMV6TGXpk8UbDO3Z4o0RA4r9XaDsqmE4aA3Kg7
OUjzpIKujbUYhoITrpygw0AChLvIgykvIaqNpWgUy2vUKSgzG0y+3xsR6/5qOFmyZxBphVorX0Du
jZ7qSO5ji9v63sjSV0d7oNoJZxNe98pdT0SJ+NVjFl16f1tcvujshjuremPUaMkOk0cJWRW05NXP
+XHyDctVPLNE95zgPFh16zOD3FwO8mRlJlJWoWK9xKQImvZuMEVGePDPZ5xBDgHEByqa5vH+uhwW
uLVp21A5DdUnEE0pRzl39Zc4MLcsIMfiu/Gkb3J3+JK9Wwc05u2bbCPSfvqEHPM3QTyDUCta8hnA
qVx+Am2kYlShmRDm0LZ6mn8CPdgcnegw109GDsJQ7ZUii/Ug/URF2LU0//amWLvtnlvnJoAmOeq/
moVYSN+13vZSsKHJzZ09fBTTvzmYkDbHW3NpD0DB+XKkTlIlYCXVly1uOm5FhsIHd4MpGNHaNsft
CzlWGR2sV5qKoNrBDaDW0tDU053jZIdpEmVW1/b5AvFcFgyJAp7OtOwoWwgFENpl2dVBBf5mTq/j
KEinLh7OO8ZChgwZPVD0Xyl2DeCwVjuI14ep7c8lgAZoutGZ1xluPujuDD5ZLckFu2711Do3ynkj
0bDNdaBkw2L6jrrNEMluuzW+msqHGU8bkyX7qH+97YJr4wR1BvoNQKoC+mfuOO4iUH9EmZOGuHVJ
SObGwRzaj02x+VeDW/KT6FYD+yGumpcOCPZLu6pokoXWOOIptAWzlTWlYM1DG1TylIyam4EfaRDl
R3n86GeUQdMPuh6RI0Wmhzt5KkohINphk2k4dYDBIS4rIFsCDBMypE18P32VlIcmag5q9DTpnvqj
2PfNpv3IzC9AUwiOwU9AI+9X5mf9CswNUJngvkaynZxCdSYNp2B8Bo71yf4xb9gpfgLAYI8q2g4T
45Owf2pTL/6BAsXt5VaX9bxlnztKUtuaHYioIeBVbnRn+MbP8XH0U3d46ko3/a5s56MTSAFwtX10
H3vTsdznO/Pl9lesOt3ZJHDHi0opTeUGfq4OL42JAqlmu+3stcVOtTYJagh5TAQTv3Zo47RGLyG6
ksH5wXlfHWckVTNoFOazBjy8xyx216MrK3E28aNIf2otrp8b465TTjo4SUxgbDqku+yZAau8EYXB
1bcU6NvQs4iu9YUm4HI/pQpjUsXyLOw1QGML0zPM7ncMiMWka4eaNI/LtVRzyF0cfUuFvRrr2woF
ROjooAqNf12ar+q4jWhLMEYP8ZE8VZlfPmdvM/RmtsNjG2/SB3SJfquepW/St0FIErK8Qa78GJ03
6I+yUKbl19NSmTLHBnKm0FTcgysveiXEbd6ixwjNdm+/bvvr6gUMpcNPSmY0KfKIsITWkHaNaRa2
3biTh6fhzv6ZMletbFcaXrrWM/wXJkiurG4SOCoa+lC3vFIbsJB2rkunz0L2bu3YC/Gqhxz0TUcR
+/vqzjizw732oAlQ1n02ZKFhvDozqnU2qKhCXX+X9n07CuLP6hG3vMH/OyruvDFVOC1UFbOw838j
LfUl8lk436NgKUyhLjv6ykPQGmWhZoFiN19NKObOiYiE+auK3BuTTaO7BnpAdqkdmPv+ddS2OXGr
V2rdqSiTRqIE+No1ZRHH/a95bnuW0jwAZoqBbsYf2hY9mD9u++S6e/z5fS6QE0ijQI4Cv6/e6ZPr
gKjCKe8s6wtePLVpuI3A3P+xcH/scTE7G+1BIYBFhCXVPiCAuC3rYt/Zj1FlepGxj8b7GCLuueix
JVhFvqTXKyNk1guY1TYkPIhEZtaPwz+rxMu1VSX6hmiDWew3UxC9dxvwcSh7+iq9Ob69jQ9J7uay
O/2MvlnfdcWV76ZNbrjqP6Rl/euOcvYZ3K5Q+x5cXhSfEZPUlaXvff/QNqKcyNrdHO1RYHlBz8Fy
Q7+M2FKWIGQuW2/248M3azd5xrH7mnrRsX1Kn5sg29720NXAcmaPCyyyXoHHKZ2ykFTbQl8YI1GT
PWnDnTE9VKrwfrl6IpyZ4+bQkFqwDNkw58+qm/Vu8aRv59pvQot4Rv3YCoHk2lqAOTO4/P+zV3nN
QJuqx5jPwSuC6QkXiQMNf81e7I4B3YtYv1b3+5k17m1QadCrU+VPa3Woero3uv1vw/t9e81Wo9aZ
Fe6apDHIettoXw2Lnf0IeOZR1LZ6DZvAA/DcC7m7EdojyzLRYIG9j0fcxe/GYxHUQQbwEdl0W+aP
2+lESvf2uD5xrVenwdnAuHA8FyWexQm8Q98qvUe+627pUx9QNeASyMEJaO02XyZon3yVtvJO+5Z4
zbbaQTs0AGOzn7iRN226f5F1O58KLoTPQ2OWuY0ljfQCdgwLFAsFEwEF1rY97ixARXzek/gCN2gm
gHxKpCxMAdpPohoZBsFGX51coKrQVwEpDmRRuIEgxYP6ROrgabfpJdz/9MNwaLb9L6jxhuNzfCxD
B5kcaI3taFhvu9/VG90WX7SgC9ie+fV9/LPeClM7y37nV/z8o7gDS4vUNM5HfJT00G7UoPap17lp
kLwbXu3pm9v+xfeRfUbwM2s8fntS0xqkf9FykOhe6qVAtf0s3cIr3Xw7uZJ/29wnLdWNwfEw7llF
+dIsMDgWlP6wG99+KZsEDp08DO/agxx0P+avbVAcjK2yix5qHFvZHa47aKfbxdvuxXbHnbQtANsR
fNe6s/3tCXwhKc1TpkUyvsuX76QHaa972h4qJQWUUNGF/yXdkcP0qu3Kdzz6DuYR+BjrKQksr/6A
MBjFM/RL/FPz5Ec5zNzoPhE4Ks9KdbVKXMimILORKoJVQkeu+9os/1jetxlZ1MOHkEFR4IAaF7Ft
SIU1egZj8sFxU1fbbt4UV3ez4F30Fly7JJ07Hxe1DSMGDGPZf7n+wfJHrf5diFKVq3H73AYXt5kk
Z2hRWBwcUTN5kNzezdxkM21if/RAOuBm29fft71p9Y15bpML2pXWSoZDYTO2p03Nai+FYlIV5dsu
nnZ1NB8kRnfp0IH+mj3YTnLfD9GmzkdfmqetpjRBrNgvM3uQRNUM4WxwEW+cWObQCV/mPBMA4KZA
27EAXI5u5UleH0BD4K08iGTaVu/g5/PBhTQ2DE0yzFhnEOWc5h0gGU+6X2wavxPcFdcuG2eG+Go6
2IsiU2YY3hCghf+ou842CwY3ebq9wKt+66CjDGRsCxkmNx5KqDxJRUxCkrZ+q2wLq/KyUbDpP0+f
q1j5x8rnrJ7d0/Q+okYloUtSafdp9lsZk51l7xy8msapfxzT2k1Mx1P72stK5vXasEsUr4gmrwPE
LZ+LLwOI2krWbbWo2sx1hyKfviONFMRZG3SW9uDI7V3U5M8O5CN62gS3J2nZWNznA3m3EBuAQBn0
Rdy1vVYGoHqLLgn1evbqrnV1LfHU+KUcBKux5l42IH5IJ4Hc7LpEUHSjPo7EAhSua3aVnT/QdpOS
wJG3KnlhGng/Ymhai/IPK06AqwMI6cC45gBwzzvBlLd44dE0jAF+a/tko5m4PVezALghMMPnq6ZY
J5SBdDDMu0PSZ/6kJF4n54KDec0KIIxLpzNaWACZvHwTYCGZkulIvFH4T8DkD2GpdsUdgJD8Y2H5
gjNvbiSn6nSKQmo+l8ehMg6FPW7adnqdmaiNbwlinOdBelUB6wpKnUAnciE/audmnlRUhdUcHAMp
NBoUCBaNs8+yYDRpvu0TUYvOEtGvTYIRbOEeu6Y+TYcepK0O5g8qrKU6upDdCDJmgums3AHvIMhG
ra4WtGX/a417oSoWHS2lAhZBH/zOfCfRj0h0IxINiHuVAstpUyapadhZ87hFD7kDkjwHaoTF+MGM
xHIzXRcl+VdtQmZm6XWAugdPuKskaOmUcpT6lM6Tk7sNs7bNvClFFcWVQwJ1sT9mOE+ktV6rcYXa
adOqJ4jbbJQ48qRO2o2zEjRgT16wPdIoC55yqxtARwIDvZiQ4eTRKblatJFBDYAhsuHnaMxbR038
geSVR9DGcjv2ru4AZLiBVkL0hSb45WYzK6pCJhtDTJV942lAy2pePbvNJqoFp5TIEueKkm5OGi1R
l0ELlRK/tLGramEWTN1RpGm96h1nY+I8Em0JXQUFsk9LBOp66cEuvYi8DNG/iYVnhrjLtgzMlW6T
xVAmb7Pq0M0kEPJ8raXmbbAx/71EXMQdmt6RyIwlAq3tNlWNTfWe9FsTrIja97zYlhbKaWbixnTy
aCtYtOW3r6LVQuwKpRd0RPCPPjQTSqbRoAihzR9z/DSKekxEv885haVFFC3B+P04/W3I34Vnydrv
g81BRnEUhP+qubjK2VnS29Rypq7AaVU379D1ng+j6vSCPbS2X8+NcFflzijyyqizzz0EvBdBB1Cm
P9rs9+2tuhbL0RK4gAuRgLgqh+lTN6Qm1JPC1rkj5KNVJUHcWds3SCCioxj1ciiUceOYDJuWOcNk
IXdlttNWhpAGooOrFAcpEz4wVpfmzBp3K0qIxSIQ7adhloC02FWiqvOnJEYbTQ5hIcLUPihk0n2p
Mvo0W22/tBsN94yVhj8oBfWHcnixyZwLFlPwWQYXEO25raxkWLBPaSx5gw7aO9LKIn781bVEwgqC
HgB0Ial06ZctbaauNxsANrXRQygUL+ba2YX2vL8tcDurZ+XYdQwWgFl+rnKykcYIbEODa7J9r+tu
reqHLhWEixUPQq8WCBDx4gGtE5+0UbpEWaABOLlMyet6cqS0fmRM9pRu6RVK4t0/3hIX9rhIb9nF
2DQN7MGP3AQtHlZ8NzX/4jy+sMKF+STJ8UBRYKV27vTxLme/8/SOmYIX6YpLOOjUWVoql5nj2ct1
R9eI3OBOU9rRLjeyPRrI7H/u3CADBPkM+PM06MpdOsXtuV9LCF78GDf5DMA3k+g4l2jGsk0Zp3sq
JfEj7apgylLFTcHItKms6jfpCQkzswHuTIu/Tq027+nIRK3a1123IIoG+MUEpcnCksRzcpixkepF
jtM4dvJjaTYHOX6vSfQVQnMbJzFds0YCXkPr5uxmFc5Le3LtfFMRdWsRcsz14ZucmT9uT9LqhgAi
TMULA61ln/mfs/NHi52uyDXMkST56RwYxwYMsRCgE6XiRHa4YJpFTd3JEy5XSV0d+lzdyXPvgp0Q
XPPKsc0qwT5fOfFwGfh7WPyLXc7Nwhgg9IXeXxcwuz7yQU3SUMHjRWTl0lv/h1pWXUwJFrRw5ejx
jVivkUhGfd2EbqA3DZEYj8DLOKxkRheNLeZNzZCaHQ8DSGretP7ptheIrCyrd+YFTWIlpM9hBfqz
I2QoQlBhC6PUysGFNcGbEn2TaPrhyRIaqusZm4E+a2ybudloWN5ERhG8a+UWf2GFuyMAJ2OXuiot
l5CDZQ+eTrVtND8uekNgb/K69HB76tYd+8+oOMfWwFyKfECKorzRHTOzfiH59zp/lE0KFHcrcLib
g1PR/HK5TpA21JGLBaop01RXsQj4TnJXfmPVA1EXOiiBW6xGfJBLonLloOeUDw4LGS1SQxgbxCJw
TtJvQ/Zye/b0ZYtw93dEHmO5AZvoZ+dZanrdHqu2wYicLk6DrLAaPwZTrzc1RHKnvsy+sFI2QFxN
8qDJGrKJ7eZt1OjgOlKqu0pNIw+3F4hKds3vaQTIKk4SzZvTvvCwdxxvHod3I6cMhO4lpOOhaWEV
WXQEuNV2aaLFMdo7I6A3II356kAaw+uVOHmYQarlVxW6Tusmt92yAdEckiKVp4/mGCoJKCN0ubQC
JR4kt9RbE1QNmra5PTnr0/9nbjhXTuwGVEFZnIV1Mvh10vtSLHDe1X2PxjGAm9CJBw26S39C1LEZ
0rLIZhtPShxqE7Qye9cQ3brW0ppY5T92lpGexReT5VZWybBjHgonyCNXMrxIx135kP6U9lolmLjV
SHNmbhn2mblqzlCJsOBUyaPLBIxXoinjQiUEnDo1UvDbFRCj+kN7mL/dXnWRAW7Vzb5rzWrCXMVZ
FLTaSztYXqw+jtnr/88OF7jKXNNqaCyg9J0funZrAxFM72RVsMEFo3G4iMUqaOUVGqYremH39mP6
RaStuBoS/6w1d2P8H0vqqxxqbEsZVkldKqNPdpf8GDoo6gombDXSn1nirpPALmjqXMCSkm/QRsrs
AO8itFvKom7q9X3/925xuOu8GmsTSucwZKEuO6Zun9xh87i3l391NChlgEVfAU0CfxkF+RLD6i/L
354cAKwkk2FX2q71YYooK1bHszzX8RfyHPwdhkpxWZVjCeCHvMX119VGUGeJcGSr4wHB9wJ/AOCP
58/PwWYgpUaThfbga2j8K6nlFlayiAw2puBcXPU5JD+RtYYKAV4rl/HFaaKoqCokhWgRZGkw9hsg
8KoCjbVBLcI4rcayM1vLBjuLZUjHD5nEYMtuXSDTEsEJIPp5Lpypc19E+gAIM2PIClGiWz6LRbSi
qw5wNgYupEmNVrSWjDGU431nfBjVAXx+gqvR6vqDcERfOltBMcYdZTFKDHi1IjGEjHsyo+UwV9w2
h66THEJc5PbeWT3PwHAHLwMwGBJW3KLENZMY5KyB/ESxJJj6+d4aGnkb01Lx44mlHprT7nR70v2J
jbU72kotCEZrU7qUbNEwDLgPkvCXbpFBaBqPzApTOv/K4i/jv+gRhcrAn9/nTgfTTuqStIBbN+A+
LYnpWuWPRnsRzOPaKNB6trRVQpgLW+lyFCAxLZHzREWwHo653DQestVh1z2OLHcLtXFLaDdZFRAs
WFBSPGXM3gxG547GowVJutsfs/otANJD2nih+OPZ71iVmdGY4FsUaDD5yAk1XpXnDz0VPYVXDS0k
K4DsGxrSvpeDppUTqXY+od9nVj/mqHQCLZWYn2LfBf9L2nUtR44r2S9CBL15pSsrlVQl09ILo+Xo
SdCbr99D3bvTVRC3ENPbM2+KqCSABJDIPHnO9SHNi8QG1xpUwkEaC73wn8QqRTOEVG/RcFYkjx0F
z+14yIVNOEl2Xf8q0Mo4ZZxtuHQ0YgZF5Igg4IVm0MvBqUObDFU94CWZBF62hsabFcb2GEi2PwaW
z6M/mDfajxGemWPcNMwayE6KIvJrkb4RzewBvOkAGYilVQnR5i9m848tFpHRSQUYAToMzSie0K5v
hX1l5eZkDUdZupfDyRF4/QdLDSYgH8HjaGZpNxGgX85m3pRRPEVoz8wHTxWTXQG2pPRogALVMDMr
jZ1wp0WHMuo5e2HpVtDR7vqtWT2zBDB2odcBSSgkNsIyCr6Qj29s0hfiX5xh51bmt+HZ1SbE5oTb
DaNTu3hNZTxxYm+CoPP1ZVtykXMrTNiWpeYotCms6NL4KkG0XJq2oCWzI4UHc1na2DO7r4ZHAEhF
2ARHDecIFQHPZR/pgnWdZW9oVBbsKBz+ogYAfis829DficCGpXQfSiPr/PmNoE1G42YTlD3SuuTp
2y16wR8rrAiqNAY6kRUkbIj8qeBNDloYjp8tpkSBPAFxCfAuBnh9Ll2gydH8KDeoTKmlawLt33jF
o0Buy8Aq5J3ZfELjdfxAN7w6/oqD3E4nOys2Ek+8ZCl2mIl/0WuKllmgdC+/Qp5I2+glRRNwson6
wAuLTRnddtroySGvPXfJHdF2+K0ZCHwKu3REhxoYrYDo6Pxs1dX2S5ZCRLHjaZ8tncNnZti1C0Uj
o7ow4yoe28TSesv4EF78+JDwmnyW7phzQ8wmHjpZhW4rbrPkq3qBqWSwjhNxNd/htRcsbS+UmXEq
QSRovqQvV8mI6jkUwll/qE4gkOP0ei36wNmvM7dyBYxB6qv49WwWgBX2uvoLQh6Wrr5U/vr6ibQ0
EJD3qchPI1jF8+tyIBnJwLI2d2jnQ3XUShWSbc1aJZ9/YQWVhllXSYWwLrMwY4hfbUAAtM+aGNSp
ltKf9JHH075YY0HNF2grQZqp2pkbCloIQj2kANcMlVuiaCGXraOaD4lm2FluWum4NrOVFq7AcmLl
8pYIund9mEv7aRYHx/8QT4Py0uVkJkIVQzwbk6lXcYsmcdOjwGY5SZZXVkCC8F+nf5B2RTf6dw8/
utqYWZ1asP9TE0+ZZijtrgHRY9mv58SJSjnhxs+BwRIuLrg8aM9BQHY5sKk19aCEUsIeD8AIDDOg
mRGiyh3QEOgrq+uT+NMjL20xHjnVYlvTGLayJy21JiyjxLGwPBqE13P7OThSmc2bGYTmtYrnWdID
7RmLcrzOi6y2Oi0yLUNPjP+nPWY7TzI2Rd21wIUQdLiYX3L+hR3GZTxZnjgkx0FGhecgq3rVVGVQ
dMqI1zmhv4Fdvcvr9JYEKY8/aQFjI4EfA/gWNIOaqNPNx9dZrOTnRmbkAcYjprklBaGtZ4IF3S+n
DGKE8Y2lmfE6rdFaUv9u6aahunvdRZYW8PwDmI1OMjB3TxMehLH5KKo3CbmR3Z4H1VsIeDFMvIpQ
/0VPMfQsL4cp5LVCajyq92nkNhW1UAIN+9gJygwnC1qAIIjYqbmllK7674sdF6bZmLcIZMOv516y
HL146QrgDZGXbFngOkFZG/K236S9Okg8L4cHtv5MoEODSWyJCzEt44WiDx6VDhCDOOH4PoxOqXY2
eLtlrGibgGzM38aZ9Hx9LRdQ/ZffwewOLaV9WdX4juTps7a1beWo+zf/JfTok7ktPbLV7rKT/hA4
HLvz6Xj5XLu0y7z3yxKS62oOJwqegtzNFXvGeVBL2FBpKzQues5yXp5zIVcDm8gHgfRiJoVlZRMF
Myt6P8fOCfIGXfiKXQ8WMNbujIXT/G3blZbc7kOeHupCf8KlXeb81qqmmzIRc1xYpLAOnbYKHeWu
fAQaE9FecywNC4JaYWL1z+MbZ55nP/oxz6CSRD5MA0ML2/dCowQ0HASnrUKg6lW9m23ohuGwkszB
a8PiJm7yuzTyJLHDwNNXNYcKxfVPmM+jH1+gIaoHNQKwvSzVSEU7v4T4LvJHY38rVGj/Mus3xFjP
JSj/6055uW5u8eCYJWEBQxTQWstqhLRTVkK/eQI9gFA4QLpvI9IH1kiNo/poxHYtPFcDBONK3UoE
zmwvnYzwLW3mQcA9wLLhVHqJonYroYR5gC/nBzl3U06b4uJsnplgfElHHOP7uojTP3QMaIzmFfin
NItErV3ywII/X33w2zNbTCyQaZMcjLqC5HZrvDemYkUiOV5frfkU/+EcJrSsgDjBerG5+jGvOiS7
4BwTokK5IS6KT0UHXjXxMyI3BmkhFvmvY26MCiuk6SpI6bAn8Eln96esTSPUmjREUyq2v/YKjidR
ajnn2+IynRmZ/35mJK4KCmZ9HQ/mzCzc2NQCtzMFa6qT2KJ6E1pVmYUcm4veh04RnHFgSkKF5dJm
FRu4PzI13g/SUy6ElpE86cNrARDi9TVbGhsImvHEgjDszOZwaScCcRyUwbDBBozEAUqz24++2jnK
1EEbvU8+wPYgcmwunt1zYRo8aHPs8SMG9sNuzEzcyb22K5+H8U4L0ZAQBbacm/aQbo3yPtM5e21p
QiGmCm59SMQDOsB4SpLHXScb2M4h6JiI7cdIQZM7peDpDy5O6JkdxlmmRBvUVIOdbqjehOJUJ+HK
fAZ5pTcS3+QcxwpWh91xINkF2nJOByMAuVy9cqJFQpoo2evPIugVeLzhs5Nd+3nGOWQqSUPeZ8m+
nF77wLcoGPApObVkK0G5fhw+r/vi/HPXzDFLBMU2AvBrjnayXrWK/t4AVRuX5HPpkDqfMmZ9arMJ
y7SagYGdCZ6qO79PHXG4VwfHNNwkAOSr5NTilt39bJWYvZyTZhiqHCaDYpVX6zh4Aqmu1SHHTKrn
pl6J6q94Uu6vT+aiv58ZZUJuCmrLIYOsEBIf4OMSj+jIsUTxMCGXc93QYkSExA0kgqG2hqc6k1Vu
aymBVmqRgDZuVWngHWtSK+hNiI+04WEk0SpSNXeAlGOVbDrB98RscouTCqqwSSh2ENTm1CqW3AiU
kAYepWiwQi33clMMYtpAiKtK9qNwoyuPeCJy2weWJvc7pYhSGsRV2SErxFSg9qome+QkLLH7mpmu
g1qzJJE3u0vuilIaEmBQs9HAmXc5GEHKTVJOWrIvQOEYboJO3DV5sEvnvu98K0/JQ1e9Xl/QpUNl
5mGe/0FUm8UpdLo8CrWsQPtSHqwYb1IuAG2hW3ymv51DBYDQcBwzB0tVmX4flSgKGsEB3fZ2TG7m
LtHe6bPXaSdSdFfJKE3gRSq4de+1GmdLLg4RccO3OsDc9Hc5q2VIBprNj8KkNXIvpOQxNyGkdn0e
l/wQj91/jDA7UAmjMQA/Hl6Ffu7JVWJV+mDz+V85Zr5Pn7PoJKhLszFkPITSWtoEwz1yk2u+Hy5a
AchyJiRHRwsb21FqQpkPiJ99PKFRIxcBwC1z8TcxWx6909Klg1QSmmVBkjw32l2uDTVbFD4NRD6U
pHafmqvQRK1dAe2whVNo1daBAIEAnhjh4o4G0zpoPOGOKqu2HkQqSlTCHB5Um5HouxLNHy2Wq/yr
4c3iDaCjFMAYJF0OT8ZyVfk8PIDu17Gsr8GhpcZ43ESylxUj9Ah44dbi0p1ZZLICAtpmw0JFjFwm
40YuV+0IyRaVE14trpqOBwaazSG6wTZsqVUp+00H/0i0X+idqT3V34j9U0lx+VR31zfW4u6dK0sy
MtQGjsXLKWzCtMpQ9kFKR++buyCTyKHIyta9bmVxRAag83h2whnZlLCqFTpQWoitWmQZ5/rH2Fu3
bQ0Onet2FpfnzA7jEEKtJ9FooIlecl8Ei3MGLbo1mkhmGlJcUyyMrlODtihDA3ltCV2W0mQ3gwKZ
rLsi44Qb8tJFBa5fGSiBuf1HY70Mu3aS8GjZG3VvvDQkUZ3RH0wb2Jlw68/NqvEUIG0QTPu4jCUb
xBqhpSittqMdcZF71xwhzZR1OYiPIREhgpRLqUfNON2Io4xeeZ9OTl3F9XPUDKoHngrBMiJkSIsp
PXZZ1Vs6dL8dJZTooYvxHcHQihAsodF6SPvILjRA7oRCG12gf5JVV2ThLsAvW3IMcBQUjzTO1C89
BGbtKDxQQZGHuOjSS0HyXBqFOiX7gSSnsVFOSGVo92kip05Jg/AlJJXKMbl4rwLhDJgGHleQLmKu
nCrQqBbJA+KS0aocEaQotvksPujPyafwnn2IuhNXNhB01z14eaT/WGWLklEmJoIcwyp1CrPeDvpL
UH0SOdj06uN1S0s7HyTvJloqUUQBocLlnCYq+r3rAnOqlAAcVkLyUPklbxLneJV9hqBs/E0FAGII
Nn5EjqsSWzImaIiS1kPznJjVnQB4kjmsSnOd5b0lpKXVRg/Xx7ZQc8O9dmaXWbwIv0o6qNXuwwJi
8b2QPE5iVB6o6gu7bAjy+yAPYrS99KPTGyrZ+JL4Kw9E2RnGjG4AGeCpnSw+XM6+iOW1M4CCKwna
w6ChZNG9/haInvTe/RastnCMmuNFS0cV6m/Q3UQNGG90ZvikrsWmDWEsiNGyV23SDM2/mdtirq9P
9LIhIH6QBEApgq1ZRaEyJiZO3T2kdgRUH8SmsfTf4ed1K4ubAphF0H1A/gpykJeuWo812D8rnEO6
9QZCOXvLFa1f3AxnFpiLY2yrtssBzEJ1T4YGzX2zBovJWnY/Qmt0iGOAP+j6kJaPlzOLzBmfqnoS
d30HEmX9vXKR5EuV9oXkzVoM14BOI3U5GjdqV1gy9AH01OpynvLP0qU8I0H/d1bnOTkLdtOgVcdh
nlWQVzigU90kq+gh5HnId1r5xxFwZma+s8/MjKTMfMg34+zGKWpBM3wF7atVZAWvSPFbXr1Hw1bk
PCMP6KIM4JSb4NC5j5+Ty4P6LY0XSTcUpBHQoG2DGW8ndyAskXzcquVkx2DNqcAmTsunUXGzWsPL
7F8q7AJWAFQhMAxQ+pFn+CYTWyFNGCliFqdoQ4YihilEH2iwvM0SXppsKeoxVcQJwHajPZ69HccK
MAIATGCnvh/oVjE2oFe97q4LJmZaYcyaNqcD2CyjXk9pWhY99DFd9TndhTzG3YUdLiKCV6Foi6Z4
3EaXToKSV0ujYkjnvIcC1MC67KARaUs+57xaHMeZHWZJaqXTc83s0n1Gv4CxBh0CF42+cCQCToIO
fAwEncCsYG4QJYlBtDHd01T3xu5mbluthU8uwnpxKJo5g5tR7dbYJvcwMImQtlq678WVWt/0sQsg
zl+s+pkJ5twNjNQYqhgmgFyp8y1MgAP/uomlqv2M8QIsRprpo9gmC+R4G5K2wOD4K3Xne7GH69pq
7HH98cjL/yxFBRe2mFMeafRODmvYiuNHvd/KPVjBARI15cISQifXHFBXV4Xbp0c5feelMORFxzgb
KXPiR0Gbk3IeKQkt891IrXEX3HZ74XHykKK1092buG6cYde4kdc67Sm203XpFI/tCprHu9FT1pWL
QkI0E7eewDTHPakXgrWL6WEOyFyrqJzN0/MkOoI7WNNGgjXd1qzK9p3n4k4AzcuTaYXudR9Y9OSz
iZn/fnZDQHRniinis33a+6tKdXtBWhmTd93I4glzZoTZ+UML/WqNwohKHxBeZ+QoDM+iPZoch/5G
UzH33cUsMnH1EBmFos6jEZ3WKm/bregZG82W8X4o7NCON+I6uaXe5Og7zSlt8fa13labEIx8K9kB
dbojOIoHCje7PUH7S/LSexHatOF6tDTMvGwlTuTxOTHntWW/ei41zqln3I9sFpGa/lhKM5AVOuLV
epyc67O/VHwGlA+XLtKMKiiAma0X+kKrpwRiChQN/bI1ZZ6foPO4eapTNygtmlq6lh0ynXNvLe25
c7PMnpM0UqdqhGHpse41A5pdkkHai1r7W+tCnmLpQoCBMUJNe87ez4zql36swY0DWcUYE0nbxPUK
WTYxD7x0bapera+uz+iSP+NtiqQeIgyIRTBnsxL5vkrnvtS6quxYyHfIbbt1cR8JA3is/31Gau5X
+McYs3pZCuUGvwNsWw7HW1Wvb4L2RdM7J6pKSxATr1d4YmKLCwelaFBmzNgIgzkTjAA5P5qj6Squ
Ae0baQnSZQ39SnmliFaM3pD19elctoeErAqxCgmPjMu1M2NQkZkd2pUCcfO6iWPEawPlvYZnb2M3
GVIYKKagTotEEnMGCdEQSPXckUTFJ4FSr0PaRopOUvkrVDZ9uwmk0ErR+qsnn6Wyzqrn62NcOmfP
zTNjHPNonFKfQkPB1wDbLZC98qdTUFbH63bm1+XPYaICPqedke1hNh0F91EAZC1av+QXRVB3ctys
q+wkGb9L8S6NM7dreDQTy0P7Y5LZegHQwgCAADWFfonaAcXap9IA45dpJWdsS9sO9ZZ/xsb4ZSBn
ZBIzLOEYV6tGMx06dveNQUNb1kqLQGPg+lwuncvn9hiXmSLioyls9kswGUXKsTU+rhvgzRzjFELf
mqI/G6APahvatDgpKucQ5vnDfG6e3e9ljBaNroTf5S3kyVLQwba45YQ7EO/JSQpdpS8ZGK/rw1pc
JxEtJtjKAtRCmXUakd0kkgwQMr0bEMUEdtKvE9lq6O/rdhanDwlCpIPxMvrBYuiXQuJPM4QtrvW3
0e8S2xf9m2HgUXYu+oGM98RM4jb3JF/OoVqmqpE3M1xteNTaNVFPfzEO0EsIigHNBchuX/5+FLYF
UmLAG/WgmspUIFeAKxU6Hu3AUoEbnVF/7My+cuYLvjAmROtR2yAiTPleloBpEs37X0jDrXpdAmym
VOy0Ml7QXdVYeX2nJkB1S8M+w2IG6I69Pu6lc1/CYYyssjSjrplxy2Qox6SfK2TIFaobpPOnxDJ4
QkDLVhB9QsAMNHysDhCBpjBRJ4wayOCavjV4Eir9nZJwYs9FZwS13P+aYQ6LLND6BrRKKByBMREC
x8mAfqCUh1tkrKBkKc4KlniuA8uHrAYzZWYbG3rd6MPRh/S23HyI9aM/cY5Zng3GTWgbDn1ekOE4
gBExLKFsX8l25z9dX3zmkPjPSECFA4SdjuQly6ySE5pAUiccj8BcCKewAcGTWgjxuqRi5pIqkm41
f+w5p+E8PWe343+NAusA7WQcGSxKDBVmNM4K6nAMK0XrHdMnmQGap3IcvSlSqndVj5Tnohio14fE
rzn3CZuH/jaPEAeWNVDXwucvN2BJpolkBDPbx/TWmNZE3qvgNii6TddNVi/Fx1Zdmz0n9FmaaQWV
ZpS8AewGj/KlVU2tchChxuNRaY8KSV1Ul0j72mvbPny4vqbMVvvP+FBhAlwHyF40h1xaihJTU0Iz
HI66CSUJw688dPaiN7vIBFv2FV4D4NJqzuqL0GhHfzYC/0tzepaMfU7k8TgGcn006x6VMTWutA50
ZYi2rK4ygPwYgxHEtr5WBDwM9dLEonwrChIuBqwq+wxIp0TMO2k6TrTa9yXojzMThZbsMyXDiywj
f3x9en/YQ0kBVX3gdOZK6A9eh06AqGyHZOMxBO/xqPZWn3bgw34j4Xuec+7WH0s528JjCggCaHyq
InMIiGhpT2titEct6r2cSl44DPbUBRtJ4rjnz10BUyi34xr4LoLLjNdAaLTTa7nqjprWulp/A3dd
KT6Q4P5HqlMrQODShtFDq/HaO+cxXJwGCir8MyQJguZAp36/m8/uQz0zKjnpjf6Y0sAeojcj3Eah
YKdZbr90vrpq/+XDCrVT/ENxeWYyB6kUW1tOS7QUQ1BKOFbinuad7Yf0Xhpir0g7DrRgYflgCdrD
aMsGZTo7NCOMqiopYuEoRc9UsspxFQcSMI8BxyUXphASrrM+LwhcUYRitkAgRsMQTqZwTCr9lkqN
q82RAvhT9MpqQKtDh/ityDgv4qXBnRuVLvc9CLDUqEVX+jGokbMJN0Lwgf0/ym/Xt9uimZmVw8D4
BBAiXJqJ8yZsyxFjCz8E6M9L8ZMG8MEoc26FH6cYDjC8xAxU1xH84Wa6NEOboIZuWi0eaRi+SKNi
NYWTKeKtEnZIZthtyKOiYfNBcEPgnsCoj9hcnOMIZmDA3gWCPCjKEZAUdLSPtlyoKyM1bSAVLITu
u8EYbKGlJwTYuyF6vz6tbBgK8yAlkVAsATgPKsNsL0RX+QQwnsk4Qqd31YS3eZEATmoiL+UWwsmM
vujwEk/3+aqU1zHUBTTtldwZhXv9M35EOQrg6Bp6unUdQjjo5rqcdnPM5dyHHs8xJQCx5lpOdj1q
JJgLUT5cN/Xz3NbR5IL5luarCmWiS1ORMaYioNThKRMUS96b5FDWuJbozKl93RKbZZ/nVkPNeXZY
XMDwpktTfUDCTAfDy0lG7m0bBOWvvo/E22TMJU/NSfZsppLojIKc2nUqTJtS1A510tfbJG92skYk
TsD1Y5ZnCJqJYStIlSEAn/9+dsTOQs86FfE9nXGouwdwDruJziOiY/vFUBJDM5GIYeM8h3QkO+pE
xH4Jv0cdONmXfuict2Edf0V2/1JAiIDahpW6AMfE1nDn80q5P++vb+s41ufOHrxi5tT+2RiphDe8
PHTRaTDQyzk96NkpbJGXiNxE+ipo5UoSJFdl9/pSM4/S/4wZHD8zAYKEu5PxX0EKdEjkYWaTMnBV
yBI36NG7buLnQTGP7MzG/A1nI8Oo8m4M59X7hdBKsmPHdKMCqnLUoo86p3V5eR7PrDG+QqI0lzqh
iU6t26MsTmzNaZ3AFltHR438/zl9zJ5UVJIUoFWITmhDs3z5Iwp5PQ1sN+V/VwhAGKQc0fzNkrzK
vpm1QQ+/qC26SXbBvel22za2Oldwqpt+TR4aR+W1Ovw4a+Ylm9VZEPED3sq21kXQsdYSCeOKcRPb
Im2dUE9xHzfGsY6S10wKOMv245ZkDDKrlqYhUiYBfAQpDCszg20svVXaL412HEPzD11Ea9+GoO2B
Bxr66HXG4euoShNJHaJTJCqx02k+sVJEjHZvCKN93fF5phi/18NUAgkCTI3paSSGJZjIC6Ov7bqV
5e2FpwP0AeYriA3SNOgaDZPkY3sJn0Ehgoegua8z+SYatmlKN/LvXio3JCW3ic4DKf28KObZPLPN
xFCpL1dSo5vRSdHtKbWhYU89sbUr/60kN6WENDgw+mCysvCsuT7sBYcBwy74ufEWVdF0wKxjUKlg
4e+wLQS92CTleDSVAUwMuXgvt6CCuG5sYSVnlmW8mfBQU34YSwsAOPsIK1nJ4DHBa/FI1DRfdQZP
/Wxh30E1FcqG6DWAuIDBXLx5b6T4EKyleFDbU6m4kWyBDiHjFfMWB4RaPQ4UcHRj/i6PZECXQjmP
CAoXkrkm5mOS3saGyAlYfkT1eJzMqDIcIzrAAaw8TBu0VdhWaXxSEgstdVFTOUQ8xuKqwA030MaR
eXxuLCRrPiwvTM7jPrtqEjmU8E4P41PxBTbfsLB+5Y7x8ikB64kauGRaGhiLOM7B4h/+axQxE/KC
6L1WmU0g5kD6amEWnybZzr6K2+xVcfvVhIoxTTYZFBM4JC7L8/rHHuP6dayWABLBXtduzWea3oeC
FeU26AIkdUU+rrs+zxhziOXVSJpYpvEpDk2X+nj9BYatD45OTpm56QcDT4uAc3AuHWlYxj8jZJax
U8FygipTfAr83mqVh1KwhsShcm+n8uAm/mfQexVyNWrPuR24a8lc6KmWysIwwmfF96KNN51orMlj
GYynuEELY4ALQ7eNLrTNGOD3jvOGm+eSuZsuhj2fDmfeq6RdKWQV5npUCNqraTchTipz9/qKLkVI
eLDh8ARYQFZVNtKsMjoWXZzHp3wPDRJL0ldpsYkkEEW7FVRVpx2PaG3Rh84MMqdahtJLbYIZ86TZ
0xpw1gJ7ESwI4zPHV78j9B8TeGaI2YmlP8s6AK93ip7GL3rSd8Zn9rsNrN5ND2JmvaeWvH3ZS1AI
Hez8KNriI2dqZwPXPoDdmoIyxGMD9ylGKziOgyXf9J7g9U750Kz0jcMxN++Da+bYzdmr09QNMDc4
oWK/Sp93yoG6kO0bVnvzzok/ef3RvJVkNiYNobKTELhO5d+g9G2rpx6pBhFJvT48Fg9xHHnXh7h0
zYOafeZe0ma9QMYgEUF8TBSsaE9vh94T86/0teKVtJan8Y8RZtOXchCPQVHHJ7+UMq+dtLdQqkQ7
GgceQGspYMLe06F5iXSlBJOXWzxP4rwucbydGjUGt/129PyNvG/rR1XbBvF7CeDOQ4VG+ngQOIfq
/7E5/phmRqnXkpqDDDs+GcPBTz9rbSc36OiyM/DQjcKulpyqfNce2t9xayv1UwBkg/+e0tGqy3vV
fFYML6Y8uezl5f3zTcyJl2VQPTMjTEcQE99Ry6T1MkBKHHSUnsjUu9ediTsFTNiDHHEWQQoFl1kd
epUCvaMp7aD59xao3V3ToAd+2GqpTel2+ApjcdMb60H04mQ9tR4twAAw4aK9l+VNm/IYDpZ31p+Z
mP9+dvbXSmVU6rw6QraTtpo9ZJvOMh+DO4Gno7N4y/xxQbZbV0XdD91c8ySolWiNYxU5tZLzKFKX
b9IzM8yhXyhmaNAeAzLNR0l3gZIHu61sZY7xHG957QVLuRsAt5AQRJZaBWyXmT4StqQJmg5XTOYK
5q0/puDaeICwrzVKXmk+ppu4euxre0c/jHo3tl5KNrVoiS9/42F/voO9WzUzGVpBwVGSa+tislWv
zVfKdJNqaIzWD5l2q8VOQ2tLUh0IQ1lDUc/lEFfR90l9T/x1S35rmaUcOZ/1Izs8x8Vnn8UsRtxN
VE41TE/XhS/E8PJ6PYbrtDzgsVanBeAcpT1pdFvRdWK+S/FL1oGn5IiE/yjHbt4qVuiv6QhtRwdg
vE0q3QRZ4UyVvpN7KzVGN4t4ZZXlo/Lsm5nLvE+VNIE0J54Pj8Vrekruy5tsNbj9g/Ic3icnwqsD
Lt4CZ/aYuzuVR2CGQIlxKv1g8sYaPb1K6Vd2o/fB5vp6fNe92Isbp7+AWAX3ACDzl7s9zaoG2Ths
jlwOIIOU2VEWbITuKAONJKwb8DQJ7YM8eVpjT0Zn+dkDeIXF0VIykPxYkd5YWcBx3cWw8PybmLOY
QtOQQCsB822QVT29KEB1RHHkFGTy5OY9gUII7V5Rw/A4kzFP7LXJYE7lHq2SStlgz4TBrshPchFb
cnTQQYw9HYrIQ3XS3/bUofo+8jmX4tJ7+3zMzLEBgjBZj8H3dqICecZSkDhAX4Fohb8MiceIvXTu
ntn6nv+zE16jlRk3+O9UFehEFAAC522Zpdv03AKzy6E8JNYoNsWnTILGyShtsrJGJ5JkCzqX5G3+
rR+LhpZjHSRKQN2wWacgQi+pJGA0de7iVnTJb92mK2oPN90NT3Z+2TXPjDFHwTTp4CAEQ+SpFlzU
HPrW6XS6o64v4U4BlGr6NWoRJ1hYzCVAjeqfETLnAdFQvK5lnJlSlwG+aquAQEp29WAejHFbBBH4
HVcGqKmKe5081RlnVyydRufW2dB+qFNdqnH6+eibXQXICTnmoODe6hHeczbg0qvl3Nb8LWeeCRL8
Ki/COQordhrIh4UbUaisMLuBghUZQM0Z2UF1KDyDF4rM2+uaEzHHoDjow5SMMBzq60H+KpHCAOOR
lTT+KtI/9Ifr41y6BM+HyRxwCTHViuLle4ry20rIoffc24H86oNqIwwmRMPOdXvLo4OeOjKGOOY1
xmu7gUgkaEYc8hu13Ew9wMI27VdZ4xgnueLmYpd35B9zjL8GclJnPZpUTyYal6gb3IDlxlbRc4D2
GMVBFpr3Nls80GY+WkCvwI5uMvNZVXkLiWQDBkNiWnIfTdakIolwfRaXCiDAG/4xw1wPUpRLohrh
Xo7TQyhb4uTp5QGiStiglgLhO/VT8T0ZZMy5VYwzqauta7y00OLJevYNzD0xUDOd1Bjf0AtutpJ3
omgJn0Vu0/q5+pDvqKMlt6n4YNBtTXKU3nk5xm9imx875Z8PUAWmOhiEXTT3WOFyFlBk3QaPXW6p
BlivgRZaldRTknWTHJN+b9wXzwldmWQbpTGYRWO7k+JVpkM1SLqLypfeOMbZuPp/rZEqMDcP9Gpb
JF/weRnEb2Kva29DoP2btynx8tiqDG/y7wlEL4RuI5DJiafOMkpeE+Xi/j6bI2a/Tf6gdL2kIX22
MkMHRCLd/YnHUbiYmoQsKIQt4ZEgnGacPpWkthQCQP7NXRKj4iGNrhJ9ZPo+b17jqrVaKjqV4ard
C2eKlw7pc8PMNpj6BB2q/Rid/OSpDb+yh1uiWeATtYLxg8RW+3Z/3eCSy8uQfzGBavpuf728FGgz
hlmZ1zg31Hg1Ngche6wD1aYxL+5eOkbODTEDi9KpAVVjiVrj0Fs06m3VeLo+lCXHOLfA7F6/K1W9
qTGURKW2lLT21O+T9NDHb2XuqR2PLnzRnIJGFE1ExgpI3suZy8QIhKTzSjViaZc0d3xA5DPQdfu6
GttFq4iOHPOkjH/iYfDEm0VQYFjAY4/Fw8Qi0SkRUYprnOadnIrBUX3nLoOwFloQkw/ZtaXOXk8c
hNhiaHZmlmW6SQY6CVMJsy1y81Z1CF7lo+BNr8Iz+Zvw9twUc8iIEcgmtB7FsTiFHGK3k3WnCe41
kxMm/B9DQhcYYJIgaGah3kC+KOBan9PVSSvgBUIGJ5Ki4rGKqr2kgTi5GpPRysrS3MtgVwMIHDLB
1z12dhH2uEfLwz+fwARGZm3IJGvj+KSLjlI1Vgi16Hy0cmNHFOu6qaXtBwTjN+wFRJBsRrIVmiEX
SqSDoDlpbDNaqdCyEYlz3cpigkZHLA3XREcH2ggvN4VedwUucrxN9PHUBdu+fMK+k6ev8jMHZFO5
F8HEF31Mqhe/+YLTm2ufuv3BeLv+GUuDPf8K5iQoRlCZ1DXee0EgaCutoEClCikPzriY+wIOFVAt
ACehEs8E1FOrdX4dI3hP0e6pE3voJFclO1Lc+cgqqIZdGjfCvms+Bm52jyVr+K5GnttmXKeBFKhe
mQgDteGQR9HWb8i2LbJNNjxKwrYDsQ9NYnuoXyT6HnWpPYpegl4RgjrzpqvfRtWBTo0qburCg/87
gf+b0HiTiPFaidDmkZENuG3cqOOFEEv3GzxDnpkdvgUBLh1E09K8akZEy33mBs1bIdxMk7omlqL7
1vQUQrME+dCKejrnclh6aM2ERACDAOAKZN2l3WYyzVpAjHSqQ+V/SPuy3ThyJNofugnkvrzmUptK
a1mS3S8JyZZzI3Pfv/4euu+MqyiiiNEdNKYNGF2RQQaDwVjOQYsN8Ywb10ib7aIY9uYL1ncmii3B
2TvLJhPSzdOKcg0mCKK0r9ddrWkS98VMmHcd5/pwz4DRjdGz2at4ttYYUz6k7RLYCXickvgUJ2/x
5EZOImuDEkZF50LZuTvTbGxiNC5RbJ6rJfsEDMRWmQeOgefqkIWJUYUpuiPt9Th3vpovEt8i2kEX
KA3oU2JYdfw7i9hon58mvEPMeR4ivbLKjVKkSljkdvkFv4yoD2CaGOTC5c7pqQDxq/J6j6WqqN+j
/p6NIQhnI3W0I0ASXTcXoV6MZAkeBNCTvMtEhrWxlzwtTkacdj7aepYgm7osHMpV9niUieL8olku
aGihtDg1PbG3BZ7DUVEk2UalmCG7rpXQQaEZ5D9q2dxTRgWSc6wDkuKk1i0xot5tGUIqIIiGTZuN
a3OLabyJLgfFQi4rUCfDBJ5ENsX33bRqVlQgDMqi2tYzY2fkYFba09VJhpve02c91LMcf06M0miC
YXIU+ugkVdb+1tS0QR7R1uctAJ1zwPCVrb3cuJPeeX5iz12za9W6a4NxVLveX5e0cgMcI4DtS/QX
5ZXAcQZcMiD1M85pbq29hZKs0Y0CEVMTva9+E4KdIPN/YmrfzwNZ1lF08SIqxJMMzedo13Y4/9as
BcGB78mpdX9pdntwcCfFZpyio0I9KdUHKFH8VEHqmazHYSlvpywyi2/lFG8m42NWTrH1y8u6X9eN
QBAiG0jFaBo6moFexI++l95E+rlO6MlMW19XVL9Uy41NlsirN6ph+PX047pAkYeCxD/zEqzu6nHX
IgLHugP6Lj31mx4z6OGoBP6H8bY+DycqRQpja8r5YDRWIBbH0IuOCRjOB+cDdarJgzBcqSe6HRp/
fCGHgN7nh0bSDCQ4uReiOI9UpZClj0wvgus5dZ2PtE7fLI3KXJ/QkM6VYl9y5uOtKY5BGglJy2Eq
dkO1RSUiXp6NqgpjZVcpt2Wk4DFsRTH1sxdXfbWmXT6Gef0s2UqR8cAbAujC0IBQyt/YoIipnZo2
9DS3t7MeFXNA1DnypmzzrH9vn5omYuBwYd74VF18kj2Vug9aCKt6uv4hgiCdtc/89zu465xRIuSN
UtETpYDDW0KtuUGBGK0liQzXn23iZ3v6K4mzJ7su7WnyIKncZI+VrAgvqkZdKMLZkJMA976MsaDZ
AiJSgCJu8+JbztBtyo/mHXxX48eKloRAfV125bN7N2HjZTGzqDbPJg4wWQhsZ4zCcW6xJ2ZqjHYP
84of2r3t3tVDMIdqB9xsv/3RjoE2/exfkvkAyqvOiKrhoRl9beu0eGyW0p514bFCQ58B9gag8nvc
3tJyHYne4GuGw0zqYI1/jMoNdVGIWupdr9ygJyC1fpj2/Tz0Gzp2PlGyg5VKRptFNVBQLYLvF4OJ
AKTi+0HB3jIrmjHS04tmvq1l5bsgSHbGiFg+zUN93MXayVR+FObbZMguKuGO2IyhCPndP8OYlwd+
buKmdd0Z9v2Ekc9ob+7X92abbeneeQS+m7cFLvW7F6p31a67GSR+TWTyf4V/Sniq6diWtbnSU+0W
6FTobqgqba1nm8gfK/YWBZUlepgx53apoEWWzskKFSa3Huw6ICag7MbpmNqB9dI+e6nfO5EUlfRP
RuSaVC49ZGFIsW1Vplk4hlNUhlnhk01/b4I81p/9ISwelIMR/dj399Zx/rYtn8a7+S7dWb+rEBXg
p+z9uhv7k8+49kHc0zwFqFfnVvggy9cP3Vu9eU+DLsh/3QLUZz+GQ2SdvN0UxB/N7rG68fCN7Y3y
9LMLnSjZes9uiF6Bfb9Lbon/A/HcFry09eo72+Fb7ssguP6MO1z7WN5NVE2f6OAcOoF9DHNm9DGz
A3ICc2uov0bakxUNu/hOfR32fbC7vk6frx10MiP4Z53ZKHryOW69a5zcNJf2RJTeN0BV76UblIwH
uCdk2WIkfa/LY5pcaoqRJ1gnOopZsxhfXqmNohybtu5P7jMUHfc/0aLZvtBQln8V5LsYOamLtnYb
aW0UkLhjMJkuxYQcBGX7FA0Gw5OnH6cJ2DJzHSrFvhkwJizpDWdHi1cOQAqIfxGZYvaZu9E6b0ya
qqr6k5lbN1qOiV0v/dWOxmbU69/X1/GzJ3EYXrGBdB6DIvoT15zFLfFMzcxFa9Up6dQj2Lnxksok
yYvPkcClCM4o3Xwqa3tp+pMzzRvw06HGt2uaMHM19MhI7gSJOvw8ULkU9mBlkDX35lNCio0Ry7qg
ZSI4g1BrO6+0gamztCAFsUB78Hp9Tz6fJYaiwTbFwP+DUvPS5NIurprRItiTeonBEzGEXeqGa1aF
FgGnUDP99tRWMu8rk8ld6ei3MdU4pv0JYKYM6me/uIlf0gf4E38Y0WtjShyGaBkBlgAgAwMwvuDs
ulQyN3KnNEsso7UudrQ4QKRqbfX79ZUU5BrZUv6Vwl0nU9KapAFHxKnxu+fVT8Pi+BoP/noIrCyc
Jel+8Rr+Fcb+/uwsZX1ZrZZX9qclWBY/e/P+6RffCl6u6/Q5+LpUiTtO1Gstz4khZd6k39IXGS64
6LT+XTFgaFwqoU3YhaSH77E6M1LWk+WNCPBOmNQYzOC6JiI3dy6Ks/OpqNFwtjIf3v2sdep3ZPOs
9DJUMrEUB32POjA4Pz03NbNJuyyDlHVWQlpvM83YtEb+3g+u/xV9/kpiJn+2/56X5nOl9/2pKsF5
H+vJU6aVN+g7elGaShIBCq0AQ+YIftH6jenfS1lW389Fbi2wtSYJS1Bimdr7iqDsukbi84PIGryY
DGqbDwIn9NDX2goxaXubdGjK1ttI8cp9DUh1J410J7lLYyMAc+Z3q16jOZl/XP8CoZ4M6wTD1oCw
cbkDnCUUIB2l2p9I8aPyoCY5JqmsvVgmhDu49lDZLU01aOkpm3RKb4gyPVAlk/hYwVMSrO+Ip4FD
ADtEredy02JA2g6OGcNA6Adw6nxMDwbo2FIx1Nnmfl9Qn6wf+lSh9kMxNxDlIzDNK9QjqvzeKqpA
xxO0yb7Va7q7vsqCwPHyy7gVQLdKkw2tgysHj8hQacP4qUWj++94jeids5s0dAWHzrNzZ40b+5d7
Ak+qb5kn2bvms/PBZ6CmjjeuDigwfqBh6M3SjecRw32FF6Q6oM000BcdFupbtrToxq60yyiLZarx
mkZTNKsmcjorimItnVkPrBt5BQYj3bfFW+VF1j9J84Y3ro9OT4V+AE1IcnY/X33oegKmDiBfEHd5
PPOCW88ACXEwwpg6/1j2TVu8X99NQcwKAQyfAPAkYI02meZnjqgdzLUiZj6e+m4abd+rC1W7HQtU
+o90cL1siz9775riDkZoUnd1fLtonJ2uoE8rvP4tn48WhttR62NvAkyH8hVwtViTwo3T+YQktZaF
QOFQd/liq3UImjoZ3sRnVw9hOtAt2aOAoc5c6j0oVEv0ppxPCiF7ky5dUGvwGXM+4+1YykJnoWqG
x9hyUHj3+CdIPK/V4Hb1fEKbi3pY7Ni+m03V2AOwL5dEFkJRQCUCcx/ysx7fwB9ntlqU5gjFFkBX
YTaV7HSrMm6MGMOG1zdMuIZA0rDw2GGPD/Yp57bjZmOTxvp8yqus8xN9B556C4MQcwQ4/TW6LkyQ
7me4UshSohWEjXdwHhGV9wnRdL2c1FnxHrzE7ka/shIgWzGQexClOUtdPOAck6BIknbj0N5pD1nj
kPd6GPHmc6qYzH7paOO3fqKEvlz/wM9HFd+H/A7jZVBZfpxbjWGo1hIjgacYzcM31DFLNtmlS5bh
85pjft80VRgvoCIxr30pxVkTR2kMZTk1GOi6wRT+crAVJd33VZd9U82pkXTsCbTC7gITBz04jBPg
Msa7vkKfTRPffvZb3AohQaTHdmIuJ/vReC/29uv1nxeUJi5/n/NlgHRJYiXD7+tpUPxT3KQnoP/7
jE31Gbx2+LdE3ucr6FIetxcWzY2hMCDPS4+kvyGgXHzN7X/mdjujV9Q1n2Yl0nrGV52nAYp0/jQ/
tumvxpTN8AvSm5dfwnmztbatpJ4NTNcmkTHc2G92fasjHde85ZumDNTS8snWG+7fJCvAdv/yXryU
y3kATzeVFbWb5TR43+smbItdt25ovEGt+jX5KaMmEdk+JhdZmyzIoHAdXtq+MQKXmXblesoKHdX3
KgPdO43vvayJ/VGvWsmbQ2hPYAVCTz7GS4Bywe1v1vVkwfW4nkBCFdrZR5H5zbd4/2PVdsPoBiTK
3M31BRWdNhsYL4yBDBe+x8UZi6d1mTGpK54FdrfJ1bzeLE4vS1SxX+F37VwKt44N8dJ4nsb15LZg
z9TibVVvh1vM/PvxDfjPJKGs6JTYGjCeLTzdcb9zp5L0pMy12ltPnpvQOxXvBJ/0TrPXlM7YdmZ1
GvO82n9hHc9kcjs3au00wUlDpjrmaBKqAQTeVO7uK1JQgkdCDJ2sn2bUEGv3Tp+h+qub/S1x1+8T
epUkQkRGz8AFPeQ+EP/xDn8uPNcZVJSY9X5ObhPN2eix8UQctwyXzDIlCydy0fDQ6LdiXEmYOrw8
YkhfKlVcU/UErm3Ln9yh/4llLu+scmgkN5kg9ASgGTKJDM4QCIouZxjJaK5mF7vrCW2Pxn6eS4JS
elcFoItcgrJQk5exR93RmerqrmnJcnAmz5ZES8LVRe3cQPSCf/HREhtM0ZwJuYsVedNDXri9nxnD
EhbInATp6v76gsUABRzvU3RoOTwH6lrodHZiwKo549xtVqqBbK6tFYnjEnkRzBE46FJguKY8kK9F
Fb2xplQ9Vc70CIJgsIp5w9P/rsm5DN6HeIPiZAS2X1BF87OxT4LRk9UyBaVy9LAxwiR4RGS4eXxd
p3BK16AzpCCDf8C0bXfjuIu3j+elfxpUJOYKt/OiNnEAWWO26C9NFtvX4mSJGjR6R1ameJupm0Bi
3YDIYVDs7FtSmyRIyZIdrq+I6OgAAwY1DYwjumgfvDw6KKU3pUd1Ff2fcRwWuJ5OYw/ApyEnxekr
okDgjoYmAJ3yuLlKrpdJV3jqqVOGJdBJOj5XnWv61oJOkOuihLbkgvgGL1/kGGwuZpstK8tIZ8CW
1CG5W/N8jUy9V79iTWdSOFfQg3jTyeCxT6B6NDfpUFd7mwzm9rouwh3ywN2EHh6WDuNs1tXJPBZ2
op2AbAEEzhG9g/Wq53dISclYGgXDNrDcv7Ksy7j5/9QmmnByxVVPFBkFVIDcthyP2rxU0y4xVnU4
jktmLL7SrWMbGl5Dl52ReWrna87aoWRPrAEpMmLavppZXeL3rYXR58rMMajwlVVxAL2qgjTL5t+m
g1oNSq/FKgbkivqg9Y71fVGn7jEeKk9ScmELzAcergooNPZ+QYc0d0TQEufUvVdo6G7Un+fVem8b
/Sm1TomGARBEz6y3pJeEVKJNZ6SuuGPAeObwoEJtaq7N3EHm1Napr1jNENRKmm7QPJFIRIkiHYCB
exZKFICx5K/qBeHAqFW1dkrz0s9uejuc42jsNu0kiQlEh/JcEPv7s4d3HMeFnrsVM+TygaZZQBIq
STwJLkZcT2jcYHyfgAfltmoy2VObWUXSJYcSbPI50D18a6JobHm+boCiOBsVWrhMIOkYoFTj1FnG
FlzMI9RRgXUe6MkY2n1qbrK5ne9cs1WCPqumY9+aqOxb7q09uMsrVYxasqqCyQ+kSzCJhFgVtqLx
CeSaYHY6mXMNbRK2n1TkdjYxm6+/tCCowoRB0BzMHgA/iR5ONV74i33XkQFMkuM9raq9Uiaz5GgK
zsvFB7mX+1y3wMqfdHZe0sA2s41OqpsYqzCAM7iYFuAIg5E1vL4bAtuCTADCOXAHeGNxrtida1NN
sw4yExqa+YNaymbFxVr9lcAF5zOeXF7fQoLZpvGGoKLnzadhyp7bsUUyI3us5/jYeJPkHSJKIF1o
xpnZirRuTdpeOy3lL7t4Ve4SDxmkdfmWq+a2ArVO1YPCJAtAuxBhovauqPzMkwCwCqokWFzwu4FJ
F2G2x4Okl2uJmFqBj0BXloE+lVqZgsKxQLmooVmzpEg+xofc7jexNtt+mRtHY5bhXjOz4dzwxTdw
ZuV0uFG8BfdgOxXDm6qoePmV4zi8ziMipRVg38epGPVwpWUncZFCt3KmPncF25NbahlT38E0guL+
RPQamM77SmTJZLFT+SuJv4CbtskTtCzDR55AI5TnvnKH5HX+0nyb7s13GW6K4JbBkgIVC+UnA8ES
d2raOMvSMW+1k90fTeOkdBtzkWTiBLfLhQju2IyjTsgyNfBO9k9oBJRBnb4lk4vrbH/dBYg36a8y
3EHp6WRNto2DQtcAHUI7y6V+ZVf3ZJYEZKL4/kIn7pZBzLnUiQpXMCA/2xT7lm7szgwM80NHnVJJ
J5BNB0pugImEbmZ3W4/YvCxszQV0kvarSY0PK1N/XVdf6J/O9pItz9ntquFtplELC+1qP9IsVOPa
N9fDlP3TKfeldm+kkhBb9BBGnR4pVhu4zJg55ASWQ57lyFEgbhj9FrZqACXhzf5Fdd9Fp1L91Mna
YMVe6Ewis7UzFWm1qsvM1r1L46huGt9ZvW1dPGZLsjWVtwpEuIO+rSuw7nXji9VLXLHwjjkTzzmg
gTZLascDa7n02m3qarnfJU0eXd9HUQyOdUXPEtDwWT8sZ8dONQMwr4QY2w30572J078Couuo+8jW
AFwjkD1jhEf0TCBnzr0CcG/FxcExwR+ykNYfXD1StB+0TsN+/X5dPaHLORPGWU0y9HW2etjDuqr/
6QZSBm6uaT4lpAiuSxIeiDNJnLVMzuJMywxJq9VH1Hos3Kg1dp199JagrtcAySiJRKEHOpPIGYhH
J5pPDiQ6Y7l1490yfu8ohubGzXXNuDUExi+ePWcsQZxmzmwC5LQCGZFBxiXMFPtxyEqM1A+/r8vh
VvBfOQy6G2UrA+MTnBxMy8XrCmavY0Vj7yZfPDdAWsMKm4JmGGSe2m2LUdV9pTdAdsWY6nXp3HH7
f9LBNoOUkKOhDeTytBcLLeIETZfH8ei9GzLcZLYXZ9HEn18Hjx9SeYA+NxAzXv56nupFbFDg0uJ6
itAXsM+sPpi6cUPrb3q3rWxJCCXas3N53D3ozZivdRTIc/AgMZUiqOrKt+vX62vGduSaVpzvqOpO
KxVNA3GfPWOHvNu18+7tvj+MXr3LC0kaUrRDCHsxfGe6SOfwry34L2/J8c+xNVc1qGgyBwj7ZGDF
/EXz71aBGBtvcMwKIZ1zuVV1VdGeqGA2a6xqY6o7pQoZEo8LkF0b6WRCQrzSwi5XJMeMO86f5LK/
P7tu6jo1MASKLbPpnTdue9ptvPphqGUKCpfxTD/umFmk0PSqYcxtIOQ5yV7dQsM7+3XOKSneVPYj
Wz29Y7wcb2qiRm6hSQ6rUAobWbdh5BhX4I7TVFt5M1sKDqtXbzFVB9gZ059qSbJSaN5nUvhD5Fmp
o6Lf4mhpL3ZcB71egL5IjarlozOev3CUPDzvMamHHhO+h0VRO7jZVgXZPJibfMMqYt8oMjXU2yTf
gkASLQN10W2vCxUtI7oFmMNlndgel39LyliDmWUFkHk/epA5khGFheLxC0KQTUQqi1Vm+CnWGOrS
2i2L4wyCmNFS75LeupsX7+m6GNFmoZ0GqQmQ84HAg9uskdJx0YumODrLpmjfHPNYJiGmAsPiK9yh
55I4rzeNeLEqOvj/YHf7NPWbXOIJhNtisdwYRgeZfV96gmQy5qHuIQAAzZE7b9UFPCCJxLhF7gZt
Pf8Vwh0hmyjqoA4IYusuiouoSg5OuV1HSRArVIWNMaDZEbNWfOe9MZrGWqgTNr+N1OYuB01Vitv8
+taLVEFjPwDR0euGGjTnc4q1ikFWYBXHNo3M+daLA898LGRNJXxP3x8HfS6GxS9nDlpFc1vnGBk5
qi2gacm4TkG7aj+0pUJGeo3tGMyUlISNDVSqOR6AVd47dVCZyuCrfXygFWDdDGcpt7k5KVHf2pgF
BsNvOBrrGFjzaEbLYqzfrq+NaAPOPpqff261ugZpMtZmQma92RprpMnKg6LYxsL+onCN4A3UOZfr
AhzUPBlbUJom9s0wPKNz415H25E3On45fExGG31BJczysjQC2v5UbrsBiFRVgzblR+r1INXoLfXG
aEtMyLS5JXGQorvSOhPFqda2JmrV+QDS7MiJZLPpwq3RWKsW8rpIiHMX/kqmQWvZuhE0rHbUCVI8
E7xJ4n6Fh+NMCvObZ1bbGkuyEhNSOh3sBCheWAsJvOFttYfTF/YFZsBe6BDIc491uoZsuDLmxz57
s5zHNXmcyFeUQYsgClOaBj7BT04L5GYEIHdHK39e2MzQWvq29ygNn0VPEetMDneZmF5XKPqKWIwO
RmTVWWAqAFdSlqADBUG6qIGnAfb8f81x/Oth0MeKvDLmL1G5vNyrJUusbpkQPC2AjkqBGdVqW1Bu
IeO4s8ssSOOfYFAK3G6QmaLQzlllH2UMpH9tTnBd6fkMSL3iSHJ0gsS/PYzhfsE4ziSww3Bmhmh7
QSK7w+Nujp+n+YDErT8NL9dlCB2RAzYKtCGhT4FvHEgz257sHE84t9yqWQCyHUOLPLQILcGcSzyD
KNywzmRxK9ZNY7FkCmRh6GKzVpM/m/dxsnXMdqNbRLJ4wu3xMO9usxaaT8OAqb0i57QghHITQPio
qGdVFZFkTvlm+j/Gh5/Gm4fVfj8VsZ3Zbqe+zYtjYj16bocZQ7/LDkgovil61Fcv5ik3A5W8xm2U
YwynM3wDpjmHNYDNC73cXN9L0fqi/QqHAXAkGGniTjqqresyEwogb2BnlvRRHzGP6oFqmT5OsycJ
IESeGN1XQANCPw9iRy7gqmIDhSMVsSPZVyqIp7xbimzbdYVELoUdbOCrqAymiTsAi+bV8VwtxRGV
jUOeU4wkkKhuVb9AIxbUIqGBwf7KUmT1MZHxsOIkqN6wjp9qVb1dABlORfpGnUogQNfBNBf767oJ
N+tMBOcui8G0ByUGj7TqBkBiOWnWbW60wO/GUL1jSDZLJow7eRTMl5pigYHbIJtiqo9t4htttklM
YMeashybyKWcLx63a8owa10OCBcc8+XeIis6HE2fADTKiVHXBG2KLg0zhcZoWGyQCwBm6Ge79JS0
8tpUr7viSDvkOfxyoRVg0xWKWFJNdeUVtI8YbiEuLUtfHTSvATRw14fVUunvJtq5Gz9LG1r7CEOH
n7R1uge6FFkeMZDATb2SNajidvpIPDZI7HSx+i2dnSz27aGIHwaiuTEO99hmt0pBZBN9Yt1Y8Qcc
msBP4kIezZ2LYqiZjyHID2l+0mMURpbJEwpB2zfmNfA/8OReLiDw1BN1QTrvqMSFr6+A5m981Xy7
bvLCUwWwBiAzsdfNnzrq2X1GFVLixVHgEQiMwJvMWZcImXQZhpcoeIO/x2q5QIf4hN6Tu+vQuhoe
aQ3S5FMY02i1Dr0mOb5CXWwGFYZ5CBUXwOWCpXNXdo4D94epHS8Yvl1fKeF2OCqWCm1YUINLMuSu
V2Sdi1+3wPyV3znA4OlTyc0v1OBMBufAVVOpzDLDi7mbqLWPq1IBB5zbhdc14Yvj/16R2G2MyQOo
EdPylwu19kq8Wit7MwOyn/jfXdRHxgREHbs280nxZO3AOxSow9Z6vi5Z5PPQfOSiCwpzDchQXwqe
lyVdbGLjgsroEnXJ0KGeUK57ZVyrG2VSj2Bb8aLrMkX7di6TU1Yb1DLvehO2V06bVa1vKVLXHdoH
r4sRq+YChA9pcVQaeJeQdR36kJ3imJpGCHznsMnNUFfLB29QMcYn6djhK95/tvAPCR16aTFlxPfu
luo0mnUywtY9XxvvUiNsDm0Z2YAttLf9950M31O0isgkg2qd4SuAzv5y55y5TBLSI2nQVA/g00VK
1IqUXDaoJVpEYHxhFtJmLSO8YdaZUVp0BOZxY6EtF+U78M6V3s2o0mMtRfARqoTJAk1HsyMrllyq
VK0ZnpKrURxjAC4hp9BPjj/ICJ+FGp0J4eI/xbZjZFt0hEvVHORjC2SlzWrMQRy7oTE8XrdBsUYM
+QZU9TjYnA1WS5ljSAs2OAKJvpoe56z1x1mScJMJYRqf3Rh55RWTWkJIMSAzvgJ0frRCS5WNucjE
cNkRzwB/ZKPg2PaDP6fbAkhZkgBMJoELUEa6Lh0YMZFSAsBwPVoIXjsg6EsyhyKX7pr/3RM+cbUk
1pwYDZbLtbpgHDq/Xb9QI2MBFpJWqCLA+1xuCCDGrCp22KHJbd/x3vO8CEGZJYn7hatle7jEMdKI
MR9uPzRAMniGAj0s9XeJoe9sCPCA+/8Uwm1JnZEhdolbHLMO1D/WLV0aeTlEFIyg/fg/mvBUTgXQ
spuUeWpXOzRvJL7RSJRIbgOhDMdQgWTnYLSHR0vIY6CndDRG8Ju+GsPv0thO6bExJTsvk8J5MG1x
sxRj6XDK2m0ZtrmGcPphHCVeRSzFw6wuAzbHAMelfbUjXrB6npNjZ5U7PT0UvbcxMGFWvV33Xmxz
+Sos2kL/K4ez4wQoeU5TF+S4VujA9DBEB4AwND66To45jXcyqoE04JLpxsXY1YBKN+brkQv/J/ee
hzsn8QtTOtnAvvyTZsgqa0hRs3lOLnTsqYnrEv/FsVwfVlcHa4eOZvA96QOjx3tF9Tvzo16/NWvr
N4YZXV9W0cHF9ADubYALWKgHX26fuZZ4pXsz2hHqLYowTXvrZC/XRQhrzci5oYHPROkCeatLGTbm
yDsvR9WvBkZmoKtka2bLnTN2ESVPxnI/WACNAbOC1ckw5wQPW0zHsvlAZO5R5OZuo6lSDTIkcH5r
9UOp/KnxLXLo1QDl7d/XlRSYChBBMR2I0OQP0/CljmsKmvt5bsgxn6wdUn9g/9qQYlfKMnJiOdCE
jcZjWp9by2YFcnSjteTomsrzbHZv4+TsyyU5VHiO/u/+Fjr9lcW+5ewuT9SqoUXZk6PTH6wsglbp
KPFRggDoQgS3QXpTWEvlQB2gDHQBzfrR1438AYTij8VMdhiGkFzrggsX034MmITVHdGrcqkTNYym
q0zYopq+rs7gu7KypsBPXQjgNCIuRmTmHnHjqiBgjBp92SZ07z4kVbqx225r1tvrlifWCKlllZFb
IwK/1Khue0sjOgtUEvtD0a0HTL18uy5CaHTo9/h33BZ346WI2VsdZV6gUz8E5a+6v0m8XVJLLkWh
Hmj0YtOhuEZ4bJq5U+NGUeHgy5nuRtfapPP/HmzhivorgX3BmT2vauLFTUZwdlLbR+2mRzvn9YUS
eNMLCdzpRG7eoMsKCbb+2KB9h7S/UEz9ghBUhWwXWTNkynm8Cit3tCohuC+oc1O/DxiBi65rIdqJ
cwGcFvZUL2ZRQoBR+bHhT/9jEyF7neJdpYI9ERUuwHtzZ1Bt1dFEmRgKqCMaaq0kWBdvR3THd5bM
N6dHbVFPli6DqxFZ8blY7qBgTpAAU64kxzS+VbsPxUT+Gz3uiazMJLrvLvTj7tQZKajc1qFfTtzs
GJc6xlb6iYSjlT0Q654s2v2CcYJyAm6KQmPZvI7o0jvXkwuTE20cTL2G+Da+X8m3cZr81R+WOlqs
KuhiSa5BvKooKCBjg7KNzsVI2dilpDYgDYz0KUDUdTNUyKG0ZDS/Qjk6m0AyMKOLB83l4cVLWUtN
D7uHHot1OFjVoSQHr5CYPjNtLhZjbaAYt8ccMP7EbZ3imHmbrLjGISKeHqGJtFQtE8FtD0mdzklY
pGCawLl0C+fVQdYdAMySe0G8YP9VhcfQKRxPSVQXV2tRstYXOgVrs/G+5IxAEMsQPAF5wt+nao0m
wqYdybF3n93EDeGOprr5wqWNwXqQBOBqxfazCPrMcWuL0sZKjyUzFKUMaYNiiJJbtWTv2fn/tPd/
Xq8MUgapukspS1/qmHSDlE6zQ2x+rD402qGlY6jLxm5EHhYXBWo4gJPQwWpyKYoqUwlMGo0cvbpq
Q88haoD89yJZNpGl6RqaSUEjAdwwvi1JWXVrzEDbe8wzoN0Y8Y9Vz0LiqbKqt8jS8HrBsUStA4UC
zgXUY+9WFjFg0ej32RaT7xpB5kjemUJlkBr+U41gYfblkhGtaoEqqeNkIgwZXzo1BOnw9XtPZAAY
MP+PCIcLcxbQ+aa9jl2h2qFuc7Sa39rJFjDSgVfIcpkiCzBYh4eLVxcefbw6RlY0qzXSY9ckGzy8
WNr5ujZCCciTMqhM9IXxkBQERIlIACAWMZTCV8A5Xn6huQ5IaH8lcE9/Wo+zZfx5HndvXUEP5fBb
Jc+JQ3bXNRFeqOeCuPOfJk6mmyVUQbNjnByWPDQerWfkmZcRw1VhO30hwjqXxxl0Phje1LIwji0d
6+NoH6kjefmIDo2pogEBsRBrRuGMzS2GZShsPK6A4bFVWtsvwJ++9v/EVSvRRigJY+7o9sf5BE7A
5clpaNU6gwYXbagvVfPgIauQGaiBURm6ueiIYk4LoIuYYjCRqbkUlHp9DHyU+c97EeA1exhDIb3W
RGZ9LoQ7OPACRZ33cGoJUEkQAnS9LVkvoRoAqWd1Vbx4ePSG3BzicRghYaKd36Mm2VkfqiV5i8iE
sE07u9KMRFNsIIDAZ2Y09Ibf7IB60xRePzkyKVzIO5ljUnQZpNRlUoVkdJ1gdpsuiPNc1l3C1p2/
PcEXBO+JmVYLSZdLhZrFLFPMOOEl/93+TU7lWvg7cCh27aus2CRy0ybmw/9lOgFV8qUkosaeUq45
PXrtaodr2U6/uqR2/TRVlcelLN9Ge9AlNiE8Q2wM0kEBzwG/yqVMDcOVpkoKiqs0RulzDtqi840S
4+nTx/UtE0kCer4O+wMmMBJzl5IyJQXsa0noUbOOHYgO6/QRk/m+0krQwkWmgdYuhmFpg+yVb1if
gYEAlJaSHocoboL31v2C6Z3/PrdidTkqbgtovaPq3AzVEW3XyfhwfalEJncugjtDmNMCPKNFISJ9
nacbwHBON+jRDQbjA6WBQDopIXI9gP5CY6YHKwdTyuXWaCgJlWDVpDizi7/aJnDqX65rxDwkf4jQ
PvUH5AmJNz5m17u2m5MWGhXAMRsKsK7Y37MfbbtxnSqghYzdVXixovGHteBgpgAe71IjsDwRtaYV
5MXdQ0fTxwolgkTtb/LcVvyZvCflb3DAaPEq2TqRlZ8L5payHWNdox0Ed2m7VdbFX7JxE/9f0r60
N24c2PYXCdC+fKWW3r2kbSf2FyGbJYrad+nXvyPPvZNuWreJyUuAzCABXCJZrCKLdc7JHlNRY/Ca
m5sq0BJovcQllSeUaKlh5JMDN5e6jVXsw27zN0+e6ML5Y4Lz9Ewu57EBnur4MVnUnbp9H73fdgzR
MDhXNysNdBQyHENpHofET+nJEiGwRSa4wGOmcejUNkxgpoCTwEzpxf5vRrF0x6BSrmFBrt1NMxIA
fOs2O6paNAdQtlTcWrPejUmJ/NuW1kID7okoFyBT4OmTOyUkUV5CwQ6W7LEdgMlQelzkDHQUO/Uo
uxY0xE9daFbbuWqVt7lXRQ/7q5P5xz7fDlSm1EwMC6HClN+wXiF7/rv1sqGwspD1mJ/2bhtJ6fKO
iS1kl64N9r5idnURNGB1n14Y4fapZA8QG7Ps7EijYROB5HnoH6mtPpQiSo7VCbswpF67Rho6sjll
BiJR7i8INFRerEZw5F47OIC+Cv3fINzAYZi3wUDfVxlhdtRimdT1qYHwTy5LxBekvrUojhyBCz46
jRdV6+ux0Hx2rEbSPsYiqUSvSHy2n/r4JMxIayO6tMQduozWbHK715EB1ciL8+ewetfTPmibkJT9
9vaWWmsqUkGatLSOAH6GnsPrYQ3o+NYRYDGs9yIlM6AWB817sDsXchPpG2hOBfbWXOLSHje4PqM9
VRK4hDZ3R6s3R1KBpNLOTQJOIH8CfAAdxeNmcH6zhoGAXd23nfHNUUe3YqYgcq1ONCoc4IIAKxEq
BNdjl8MeLAhJnB87eT/EWtA1oWvlh9Y4h4OIeHHFFm4fC14JJTUUy7lxU2OcbCBX6VEqHfO+mmST
aFGWEWkAIMtqssJbiLoFAfODRZ47eoBYD/gyHAMULDC3OYwM9JVaVFPI1kLU8aUwgswko0Mq9X4q
K9/R6IOSnFKpJ3L6Ng6oKCtflaLz2/hdy7vg9tqvhB18zFLoBV2XrvLNV+YAynujL+lRddoAeuIN
lE6lDa0KgY+t21mqSUgRSOHc+Sc3jFjO1Y4Cr5FUAVA3DdF1OvrAYw1bwNwqQWRYlu7TJCP74TcO
+MBEXbuRJEFv08FEHyfw2pGZhbnXjYYqsLKycVAh/2OFC9qqpVNLS2AFbLxDXgcxDXIz3d1eolUj
YGRcupeAeuQfcYbSgrhvPVCQceUbS33IwD0T0r9Znwsjy1a5uCWXWY7rvd3jEQXY0OQp1H7HpNAE
aWHVCZZHKdz2UY7hq8tMyqBWYWEkvartmez/nifXrpmguPhxO/i09hdmuBBCJ2NS53Ckx4iBk1rZ
M/Meovab0pjcodXPNp6/1OhRyZ8nGVzVpus0oxdWjaerd9CsI7XvjEcr+Q6NGMvegnQDe/kosWZX
DNARVO6NHbpn/a6U/LA52aKT21pMWujqUUxEowj6cK4XoleHqogVjR7TgtTSodqx1/43tCj+u09d
WOFLllkBwrdWhxUcQXG2cxnDHasVCcisjgV1ChsNKXhQ4Mu8I6hWWbpYyTU3xAPPDML4h7D9qltP
t4ezagjcaThrAKmNA8z1pIE4TOqgF0OPBtqpH1I7+lW3FFxaYSZtjGhCBbtEGrltc21bIkX9a5Pb
MXMsDWnTYXBIGa6ZfR+VPe0EuWJtwwBNDwgV6pbQTOBTRTsOKMTT5IjHH9Jmp8b6UVgbEYWivhYs
gVdCBkAdDoVSbihKkpZqlMFM5eub/ihtwbWQe+GufCjcYZMnJCIWUUjhQrIuiAPmvz5/rV1t/9z7
xjZ6qN1GJcPO2uQudo/Ldsx7yUnuJpt01/++PeuiT+Uqn/3UxSG14uRIc5yFmh+xtrltgKdpWuIG
ePf/TAa3AaWxb1I1xGRoJtvgPS4wx5b08hMUNf0x09DHsq+NR733LKsAg5ugWsnzIfLmP1DjF4E4
HFiU6x0GqD5a3yxKupk0b2i/ZM/2ff89/NZ+H++qmMSPKPndHvn61NofqHdMAV+9jvS6l5O0AMdL
FQGPnualF4PBWbBtePqxfwaI7nwbqQxAFIfLmWaYV0jYdXIE44mRvIWQbLbMZFt2hBG9oeBitQge
BPPJa8f0iz5s8QZpsj4AwnNRFpqEjx5rwQNVhX8/iNtkTjaGTRQB0WzFOamBexgVd1QtVwdT4DwK
kvn68BfqCuw0Bf03XKgy4jiT4y6HezUgcgoZuC5jwsJvsU1Yd9JO+Y9RLYjWB2qfBONJ+SJPQaQ8
FKjY9KIWrdWRX3wLt++rZJIicMyBIsb0rPnnIEFlp9gWJimZ6PV6DesC1KOBpiBUdZdj4HWITsFB
6hgDUPah/JgnNjA7LWHKSar24WQFYQQRytaznKeS+mO5nfSYqEMvqMSuHr0vP4L3vZLiNUABpBw3
+OHQI2q5c3OKCC1I9NS+O6OnvCVkAuDhqXkSYf/WEsalcc7PYvS/gDsP4H8QRnuj+YYnK7epBeFr
iU782Wfhd9cA6sEk84dFB9ok1ThjhPUuxcFXhSZqvh+yH7J27PvvaO34iwwFHMoHcSmqI3zVD/Jj
0FIzsKzoXKwoXibR9UkL1H1EnQlrFVSQ9YEZfina4lrAneqipAwltOAlx5z1bh5/qRTLXV7zQlq6
Tg8QB6I0LolfbgfFtbu4ht4pHGLwDILCJue3mcYSK4sBdx1LJ6jm1J3TIKx/gbNTObLEOTnzs5LP
+0RwVObVRf4JkzjJoPEZp0G8hlzvF0WOSy0d1OToqD8TdcRDYuGDF5wMxSGPIw8Uy+jlmkgbmRAl
m4lJmy3uWIJKxNr5A17070dwwWoMc5o0BggEZOsrOu7cATQFgHzuEkvgRmtui7MU2tTQKapgja9H
q42ZYXdqxDBaz26D+Xubkqh36U8be1FwP1jLc3hSABQEfXFQQ+CiHiheM2meTVx1qPG7KOvBjaXE
EqS55YP5fWghhwJkt6jJfchTX6Txhg1zhpwCtzF8dXyMK1/7XsRHaBp2osfgtSh+aYqLK2iAwztt
CVODW7wox/RcomuU/MU2uDTC7T69iGfGBhixVO+tG0iZkd5NZqImLlCx8eNtc6uzB6k5iE4ZkOP6
2BwXs2clhZ3YEayFlryb9OX5mYyP0aiAoaMnYSNw87XIvBBvL2itRSiC2+OWTZOlRwhBc9Com1fh
yUnT97AORcl/bakgQ+EAuLfkfv7sM5lR5DAZfCOtVm8Npfey7DC3m65ylfiQTseoAoe5eac6L4vc
6hCksrltemhiPEWKqGdpbRvYDjgK8AsnMf5xdywGuQb7FTjPtJLtbKtNfBo1imCzrW1sbDJ00NqI
3TrftQbFVW0qRz05zn24iVPJzyna9ePGc0ZK2nzfVP1jYpWCRL+2oAD7QCENbGC403DeCiocgD/w
CHKMIRkEtgerZJ4w1a5N4KWR5d8vnFRRCl0Z0EN/nOvHcn7R41mw6dQ1d7m0wOWAcEbBxoD8wDF2
7guz80IA9Y2s2MsglcitmWTRcq3OOmkfZ/cJO0k4sTIIHldsU2btAIibTnDL94eUoo3TuksGP0rn
QIcEkEJypd62amBREV5e9NVc0mBTLQE8vSw5O06FH402CdM3mrotE4W+9XW2oNq0pA7squslAEkE
ZDcdJEkwAaBfiRIJJcVUCW5Ho9WFRrM8EO04BQDQcG1lBn9Cz0JYiWsIUNXUldjDbQur47iwwC20
1CjzCEVsnEsVNKoOpmvHxyIXtSetW4EcOyoxePs2uHF0kZ5mXYNdYY2W1+PpZ6lhjdPm9ljWYrcD
Oer/tcKNJaNhFYN8AFxH80kNDc8ZfuPRr69THEa9XI4E8hZrRxRInkF3ER0xqOJz3laAJFfPHHCF
0PwO9bxsZKcOLJvo1IsE23F1+tBWhfI1iOQ/CWnQOmR5E47/UFFOODE4w7OqiJhdV8dzYYUbD4Y6
F9bC7ApBFj/tpke7X15R9zPUfW8v1FpoXkqMkCsCThk9v9dubZmsbq0QC5WaFOGkcCvDNdJvgGqU
OvOV3keF9LbF1chwYXFxnYuISXMrkmKKjdQUvReqajA5VUTsPtoWbfy1DkVPLauuaKCzbJGRBfqJ
c0VasKxiM0bI8toBerk2tqPZ7PKclaRKI8idwp826ZiILiurrnJhmFvEGEyYI82R580FYt6dVP03
gFaC9Vs1AiEiqJtqC0+hys0mmubCOQRbbuhoG3SEMlRRGlNwEltdMjCH4Q0X0c/kITBRGDfAiiFm
4AGUdFqyG7864Nlu9WLjsE5waObJw5dLjw7RIwUqaLjkoUP8ekh6HvZNKyEO2iUlsTJvwVfp4KbV
40U8JXHhxid5nxHIf6Qby/St6sttB13ZfOgURQv3ok6mW3zxLY40STHSlKE2hfK7FpXfqrhyy2Kw
3DAqBIeUVWMotgKBhaK1bHPJy+rqMWUSKF8Gecq9sU57t2gzzbNBnObjQCoiblq1Z6M9eSH9wGs5
vxuYbUBjoAUFwqgB4Nor+0WBV55zX6Xxz9sTueKb6LSGiKOi4VBt8xXlrLLVUsbmw3M50ANROqKs
BHC8p5dhInAakSkuqDRQAIolUOcclRAVANoRZUxIrYjwKmuFWXgmYslCqQvmWW5PDxEtJzwvAFtr
fqEEDOIee2I7mYT3xbF0+8DYSy4EaXa3J3Jl/11Z5YI0jgWJlMnLScqNXYv8tjbMu21h2VPcTVVf
aIdwKADW1fk4hF4EZSmd+qyzgNOshx70M7IdAJX/etvGSqpBSgM6eNFGRizm6m7xEOVWaQA5qVeQ
mAALyEGOmD8XvtYofkGzV1BHtdL7baNrjoHOECgX6kDM4935OphMQ5oUhWbjHApcFqvfUtTxJdH6
rKQYPG4BYYcqDQATfDNuZtZW0uICdWyjxmWOGsjRF2MfW64sPQvZb9ecAR2/CBZgPtLQunA9omzq
TEmeYazIXzLHCOibloRkSDIXDX1/MXlAAaFjfuFh5RWJ2rKsZdCLYFxJoRFI/MobNGFlbllPIvGj
1VFdmOIua9Kc4o5TYgND8w7Mtm/D8GWy72vUSapSlJjXnB3AEwRbVLXweMHd9Lu+7NJswLCc6Etv
otOz0AVZea1OidS1sH3aKP8AEH+9SAkbYmvQkEOAIiaRU+HMC9GoenJZKhHazBua/TJQ/Hbkv8DE
LlyLuMrrNsC9vMNrksmGKAF4uNRI89pXLq70t71iLYVoIAWyETAQ2j8VJa0hTlBRAy/WlD6l3UiK
otjTxPGp6Bl8bfNeWuKibR/TqUtM0M5EbV26CjVLkoSj6tpGKgsCoMgUF2K12U7GogAPSRW/l9l7
X7/ZuqCpaX3eEMixdVGcN7mNW5uZkxYWRiPriVtIi57bPi+igHaCdLE+FjSNLTdiIH55/67KdK5L
jGUY/b7Ypji8CArT60P5Y4Ebiq2VUaPD047Qi/2BnqEQquuCLSQaBHewDeeu6qKFPilUX+OS1P33
WZT0RCa4mAMqlTwGlyG4A8qdHhiO72xv75S1oAaCuoWk3EJ65QONWU6xM1GwfUBVou5KElYnFu4G
+/HXbTtrAe3SDrcctca6hOWw00NIAPyqUpJt/rsFkGKjwOKgOoqwdh3P7NBwCmsEc1ateOiHmbSX
2z//o0mTP4BcGuAOcE45SGrIFlqFlDRa46t+Ubh4oIu21nwe6Puc7xI8v2ezP/SlW35twdE8u1X6
NmUOSfZJtCs98AtLIgKQNR8B8TRgozjvoc2LG/g0SRDMs/Fdlg1GWun3GD0Km3HXlg+vWXhAA8kI
ci0X5oZKG63ecpD7csjSAXagG4L9uvbgjJPXHxPcMMJIzZxCioAbzpJtpJ6mZHDN0UOn/n2YoPtc
C2WioOlxrJ7a2ibVmRWeMVmbQmGeFn8x6KEuRX0ta6empacFboUuAFy2rn1q0sqe9R2+KbKKk2qe
4+mXklQHNdfuak3fQbBF1Ka+jPKTk6G9Zbn3LFgzbqJTeVZ7EDqCL6J4UJQqKK1f3VKRzg5m9nzb
odf6z/SlGR67BdKuKn+xK8O5KEoV7FmQzdznR3lrnzSvDYxDv1U9KDm5mW+e6am9n3+AptDTSelO
noS2ntbVvSywNjIxRRj1tff3y4/i399HKVPMiOGjQhWbSE+2OHZDPVrfUtnesKnxWpBQ6t1pnHTX
pvQxb8YHu7W/otM3uD0/wk/hYhZeRtqw0ZFCpPtsK23ZXbYPA+VruAXv5DHZdDt6vm1xWVx+8bHq
AGQC1Q62ZM6gHrJSHZec1QHNGg9EHb/2JWjDBdWDNa++NMPlrQyerkoxpnjsz2rl0sJHEmZbxKdW
YGntVRpKlpDYxa0KwASe6Emp9V5LLLxhdpV+doz6lxO1Bz01WjLTJ1v3GPNztDWEteUptSnIbWuB
EVd7XERwo1OQFa53b9NJmVqB4/fItE04W27VxsFYiLrS13YsWrPRyoBGSJQoudmMtEkzqgQ9fQgV
xEwqCd2YOcC0gEiUvf4zbiTBU9WqQbzXgrgbngLk2fWwUJlq29HEnMY7e2fQIHNrCLn7t11xde4u
jHBzp6hDBKJmHV2DeKvpQUNYOW+qLdhha1kFUMN/R7J8xMWVfo57NGCbBj0GRLD0H9QM/Fa6/NFc
HO3KxmLl8qMnP/Uywg7aJinRoaZ77VH+3TzmD/NB+aYFyU53cVt8ABsCJKafW7q3Ra0n2rIgt76F
y2yOXOOy4+BbnNiLDvGv2DW+GQG6pvASnvrhXjsqARJbHgzHuD2MG/QUsQf9kL2OfnEf/szu2zsW
MDI+O2g28G6v8+qp5nKilmBxsQZ9PMthHMGbEN58sMIiHvgRWO18iN1mKHrvy1enJTYc2p12dDdK
d8Ov1qetK28twaVA5NjcjdRSJ5XOi2NnKFGlL9RLdrGgbXEtwv4ZLfLs9WgluWxjqFDBrb3uZAb1
STCdtz0ab3DXP58aaSEbEpZa9v3Ivb1Ut6cHeIHrn53r4VAYy0rhVPkT2tOu7ImUv27veoPvXXIk
FuKAh883zYOc7Qdzq9iCJ0TRDC3/fuFvkjl3Q7q0I0v9HnuUNIpINUI0T5+iShjjBWeZp5T0GnhB
oZ7wi4G9B/WN2yuy9vANwvX/DWCIVdeDUZD2ot6GKS8s7lT3HY22r4nH7lT/KToMz7Qiv8HRqAbs
QT1MuE1v2Lf+Od2KULuiOeUCTCJD95uhJeQ426dixCktFh3OF7/9v0MYDg/XA50VOaqrDulAR7+1
RpinvLQbvGDeSwOx7vPN7XkVuSEXCAaoqWl1isSdH4Pxayd4z1h9vblYNb74oJlxU0fLYNpf053k
jme2SVGJmojqlmdc7ui2Lu+G4jSJjgqrtflLy1x4UOO6mJQKAytI6Tn445j0JNqqr82u2g0b5w5Q
tgGCcQI/Xebrxup9tJJf7Dm9jwENDeGmM7iRbVLQoDFI7+XTu2af407gLCJr3PmkskZJAuEzPdYe
UJvf+i3bRa7ixv7/l5Pw3Q5jLOkjVZdAInlVXAZMS/3KFOSL1bFAPQQYIDz0AUZx7fep1TklCm8Y
C1J3vEc3mebHo5t9nQ4i2rR1t7ywxTlHHeexGSWYN1lCJ8qoEmdWyTham95Bu0w9QSTlm1KQOM0e
aWehETrdmLaxsc2sJy0TNYCvxpSLr+GyjT2qcTvZSAUW7RN3Hq0veqkJu62Xn/LJMy+scL5i6dMQ
yotnhqfUmwNrKwfa0T7iuEGDPhAB2lczw4U1LvfYkzaaqBYj+1OSAfOxswavtP7mUHthhEs/xcAU
Z5SXPZ4r/lQ9T5kk8HzR0nBZp9ONtsocWHDyt2w4FLKo42L92nYxBi6hAIUUG0MHC5L2knS6Hya7
KemCjPnoJaHDXol7r4Dkg42K4e1dLdpwXKIpUjORm8Uhsne6zzalrxykZx2Vn91tO//HbvvocVza
a/mYWNOxHp2oQzeqysD/m3eGqbq0Yx11yzHLFc+Wi8nAhY5NA4H48/CYKDYEhavZmiE1U2jltlOV
nG7CPDOBhm0p0qGTayIqtWXAn3fIn+/kdkjc45UXBRNEoDDQR5zH65L4kfowDoIZWT0a4za5KJYA
LvSpEqzMqqkteKKahS4QNiScgnCovF76LZj61U1/YYkLdHJPNTuaInRrN6mbmIDNOKdEehq/tEAy
PusQqDAR0SC2pSnn26ZXxwiRbUPHVR1kqZxfG42TSrmWQbJRzQhNNIX0tuObobbHOovO66srd2GM
c2Vtlou+G4Faien8Ng2RtrPycXlei2W36gGVmqBvFthTLSoIr+4h6OVC2xbP2EDgXyctqJ/WRpyh
TbgNfziojtLhflKP0RDU0X2CbiI0pdye1tWRXhhcPujifJEaihTGPQxOzbAB2zH6le5GsOHECl6R
DMOL5/1tg0sM/bQpbMAs0OwDnBW/jnMF5Q+09mDzvidavp+U5sVUgAe6bWU1XUBXVdOhEbyQ8l0P
q6AQ1rPHJjkGFjT1xg00rxKdRCIew9WXWDRrLAsGpD1Evq/tDOgXnKwCo8nBaDADuaj+LOhmklKi
1A8AppKiQiut6PXqAyfHTyIYTeEfAL7iCY4bHu3ioodgyoLgG4/T1tzHm+EUvQ1frIF0j9mjuUMW
/qFKZD6U2/xxCgqUf7tz1ZH6GaX3jeg2tRqSLz+Im4d2SGwWLR80uVbg+My33GJTH5KAPesBu9de
k8dZmOqW+HlrFrhkGqeTNoQhjMoYf/LwI/RqX9rMrnL8mT2ILjZrHnU5Qi7+WGC6sWrpY8rz4DfA
ZST3b/vsh0DgrfFwm39udIPSASbw2HTnQKX5zmncIyqtB/Wh/lJtS7fbIggFyj58jXb1vtvJX29/
wro/XzgWHw4yKMeaHT4h3RmevmH7ltQkxK1XdAVYC+cX08lf5MJaDTPmwBBofOr2sSz34MGGYNjL
7QGtRZtLM1y+QmPhDLUzhDcUymWiuaJ2U03gFvxZpI/m2jZzjEO7r7adP+IRJnTLV31PrLviTt9F
/rwfN9rZcIdg8ugmzYnu5z+SYL6bvPEuPg5f8d+9StiPeJu7huBksIbxQpPhv5GCh7kkcxKjhonv
m/KXGo1/J90tY0JTSC659C73ZOtH6BxMXFNuT/zqOfTSMBeixiYyM/BoIUS5gyuTxLUOOrG9bKcS
W7Bx1nLYpSku+Mx5X2VZufiSb+zqB5QF/KXiKRiQyJW4aBPprQatJVg5jb8e2G4kDen9Hj71GzIb
O+c+E9Q6RKPiAk6vtFNFY9hrPdN3gs5bxiVShRBtQy7k6HJpU6eHkVkh0t28Z7Bxe94+GlpvRDW+
WckA7w+GATQy4JuoSpegS3eLveqbnvFS3su7rnf7U343vhQI392v75CAuf0Fq2MEqHN5lkXbksa5
hzNTObFm5GinfgQm1hnfGu3Z6gTlhtVAAPoUwAsBiwWTyvVJYALQKQqzFo3nBqnyzoU8W+J4c+QK
FaXXky0AApB+xYkDLZXXpgowSeaZBpSAdrbAfm8HA5AvNn0ZFSXobdXFEyzpgL2wOh08QwDPnYzs
ewYGktvzuvrICsAe0JsA0EGqdbksXJwdEzkzxyTEkJXWHcpfkRlUpd9DVeIbld9qUCmZ80icJPMz
4zhre1Ff5BqNAoQs0cONM56ycFld20dwT21jXLrTS93t2E99GokOrsh82A7vWRIMkCIddsq4H51f
gqGvrja4xxbgIHpNecZn2Y4NvYzRRa7aPUFcHYtXCsoEYJEkfVt0ctBmGzxCL+B+HBvdVn+U24rM
U0kWdRSRltaSlT9tMXQcQBcMDNGg2LieiBwKakaZLlg0ltskraVzVzhn2kJPzwGk0k/SJCYDur9B
scVeBVOxpNBbxrkUy9qyrqUSiAsIkXlxrTzp2msfHYFx2c2Jftd0YEzLIr94j/9CRUBHry9ecNFv
bkB+9nrYqHJERdsBlwPpl9Y+Ufs4lPejiK1xbXIXAIu9cOFix3Fenhe0NlvTQXap+0NE871adhhZ
9VTFKm5L7fe5Vr6BIO7n7Xld87BLs1zxIGxm4ItmmFU3LYAJUZn5UpiT0KpO7dQJtvJabkPTPjzZ
AV0tuumvZ3IyNalsZ8wkK98hJlgAbytUjlrLZ+A9AtXqsmdV/mrb6GkcSyh4wTMit9BecerTi9xj
iT91YAcqFEHYX63Yg5Adb+2o/wIpwIVJWa2Kf6A5pYGX0eZ7VIH8v2pIXj862y6VgjLGKxNQ07KD
FwS6rVQUbtvZt0v7exnLgsez1SkGkga8L1A9QKfI9RR3kpzqUoz11PSaSMoz04DItUT4u9VjF9h8
DBSCQIyI+/W1mWFKSpXZEvYEeF20XdcyIjMLuMje6xMfpCt66dLcxdvPbXddHR74VhY2XfSpf7xV
X+SCcJ6NLG4TqOD19qK3YIymN4QCN10dHRgnDEgKwY/QcX89OlVp1VQrO3SnU1oc7FzWXKY1se+E
crJrZ7UNUP/UDlOJvyrsV22ozEOHarugFrVG8oHuK3TaLq176JPnzoJt3SeOhIrjsZ8eIubVdCBQ
TSSasbUsv5h9Q9JOEIqq5saL8vhV1behfpJQhCgWLes22v73yb/8HM7ToY1t1ADcoNXUSrYdSF/m
8TmXRL61FgjBgwkIO9gagJnnAj2khPNhqJBlssbyLedtGutDYQEcbILEsYnuLLUiVfEfWZSRzVAI
Q4oHQAAgJvz/9ZLrNTQcDLtVznqdgXpzSDZyi0oOlPsYrTwl6/6bI/P2eKB+CCA5a41GOY/mrsH+
1BF0Z1nQB8Ttlk9GuKnMlAJSHhSDUgfH73SgOmYQEj3f9gr+fPTJCpe50CiGRswaVuTH5nvuVZsv
4a96+zO5q5grIjHhDtmLLWSrhSQX+B48rC8jvtj/2eBo0POUlXNR18bRCUPlS1gY8o94rBMvGhxD
EE7X7YFZY9GpAcUAN4N6otltXMFeb20m4zAifUhqHkySJdhbfEnkf0b2xxI3i4MjF/Ugzco5KnwQ
L1YOcO35KfH06rVJ70GiMAwignpup/1jEtAHIMBAyAuS+uvJXFgdxkKblHOZz8NOrsv0S1/neQAc
jem3nTx/MZI6nUim6+M2GnVtJ/CcZfYuznT/fABOO6jSovfuk8ijGsVJu4Aoz9lL8gspc3wy7oZv
2YN8bO9yEWhwZTNA7O6PMS6YSn3amgWsnRtaHjK59tOWudPU+oJBiexws4pnt6LUQKhwHnrcPePo
vqtsL7LnfaXty1ZxGa5LRmZIxEzz+3JwdjZjezlmGxapnjL1m9vfs7rIF8Pmzlwg/FGieDAw7Ajc
GzrqX/MJOjLupGgHmupuk8uQ3W4Es7C6by6scuE0YTQ3mwJW0ckTtGYUhCH1WK4GbS/SrBHMN1/i
G6UicawBTtQq4BTS529WczfrlugWwJe4eGf9ODRchJ6+TwacOzEkOXvPrG+gAdh3ik1mpQBmSAUK
W9rGSBmyOQeFpBOwWrkmE+lNCVaTrwMagJsXUQ/nkrKS0MHY22N9pyfmwWh7z6i6XZrWfquJ5ngt
xmPzOAqKAYtIy0et4GLwUcV0yaISQsUrsIcK4Klkdvf9Jn8soXZD+tfbTsufwP5nsv/Y4zZrlfRm
ZeKQe25je1uCHQrPOX6R9e5Yli42sTtD0jczIE2iyW7j0EBgf9WpcHv4uOuig5aLxo7D8ILe28o5
B0OQNSUnnHhdWevvZrCs9s6wMabZ7Sbz0MxHvWHnCc8+M92aEjiONUGFbnXNL76Fu6LVo9Ki+gDH
01LUGhK30QnwK5OfkGGmZBQxeKxuXQDWP64QlsIPXY6kKm1MLPU0vlYgypoDRSe5qI7Fv0L8s8IX
ZrhRNYrd5INVqOc8bepgziBp04MULSa6nPQSCD1Q/HKTocGlqUlCNzNGNOe25eBrduF4jT2zvdqM
wD10EnrT1emVWmN1sJwmBI1MpvuzOrfEYsXs0Ubv76KsTHa3nWS5SvHZCyUZkE1/6LEZy7pd7Ikh
cnpT1yP1zMLqvq2Lc9TZ0n8/JoLbC/lxEe7VLJ5midpJ11tKglkyp2kLsm1rZzcKWOnCwhaYWg1w
4B7BKQckbYCWcpkC/CN6o9BSPVtMe2OJGZjpZlDvwAtEDOfMwEKbyt/jiropa3xjLCI3LxxB3liS
49WcAuoH+SRQHeE4gGdo7vpqjeUMUtSmeZKNksh96uo0RDvhe2lGXqR+ub2Ay4A4Y7hnQN8er5u4
afCIZ4lKk65IffPUs/IsVeojHYsgKtuOlPK8k+YSfg/osCAh83VV4M8A3rABO4AoDHBSGldGiyoJ
jGra2Dw18xTYbb9ZZDfZIzaa1MxBO32rob0kP0Wt34MuYmh287BBQ4/gksv3nH98BvT9UNcEgbXy
icecNUk8TLbTPM30eb4HrzForNJ+gyJXaODxCBLEkm+BvP4dD2ZTeaBmkCl+hyc0Pzb27bSVB1Id
Y2VDNajOHMMC0CsQkx/QrNtJ981ZxBHycenmVwtddgvdmIHF4pUYYqvSGkjcNE/lzvqR/aZ+71bA
H83b0GsP8kPta8hHzbYO2mDYdsfaz87DofXme/lu2orgwx/PCbe+hgtfUqEzCW8azZO6gWCz37id
D4FJF+d1JMaQ/Pw9eQl5jzzBNWFlf6goNZkKjsuoOPFtDVk3V5GTy+2TQkG8Wbid+tUyMPUFIiZi
5+398TkigPEPWD6UHlAJgdNynlo16L1rW3hq0pdbK6+fcvbq1OWGxS2qhdGxYIo3KwaI9of3Vvrd
2V+HVBH46eejx/IRS38FqD5s/OZCAir/ai+VZvPEHNCKmPVOq5LH6NEovERX3an1AAkE9qSHJNVg
EejGfxPMwkqY0BZJc9w7AUkH0O86zqPfHcCynLZPevI1HFrwVv5OInWnZTkB2wQB5VvJ4t340tSQ
MT2VabSt49ZFj4sRfaMKc0tVF5wI+CeRZe+CoQHfAwpR0zL4GokEXY2uyrT2CawTeBc4FrUrRRs0
7s5gDCkcwxu7dzpuzOShktERlpU+01RBcWGZd24HQG5hIbkERh9/cFdjEyoBeYj89BQVlUISZwKh
9AAhDcHsf7ojYqjorMFzF2xpFl9e7et4wqNQ3z3psdtEELTymf1CtTsL5HvDU1h4cuF13S+BVfXT
4ECrABY2LDtcD+Il12veO0nH5CQ2zva8Rb/NdDeNrj72xDAOeMPGiYBA6GLczsLbzOc958gKqtYQ
8sJdAjIWfGBJoO1gVap99qRtsPtB0eSCA7frmof/R9p19jaOLNtfRIA5fG0mRUuU5TD+Qow9HubU
zPz179AX712ppSdi710Dg52dxRQ7VVdXnTpnwZXcXgCMJeZgQf8dKvAUlka3BMkuiHvId47a+URk
E7UkazQdgYROswJt46qzI1e3VGswBTuywk3m8NvAmY6K9XjmfyBTV9uK+ao5Mr+IqgpFaiHJJejP
0IgxByv+o2/ydb7rnAq87dJWWKVOahXmN5Ax1K6tHj+8pTqcCwJAF+qeJHUTp3TTBTzZTRDOfBbz
IJlSia9RoNSfe1OAec3OSUk4S1sYPtvjjJz69fIzG0+oCwM4rx87xStvAukI/vpzQL7efgMhQ+qd
T3iysNvZ2vm/jIKVXwSZNx55LM7L4Lk+U3JFf56cHnMurZTVtIpMYRMDPZJZ1IzNA4d2gA3m1X28
3vN4mOVGlQLpH+DacMP8EPpfLHcuVo04RJ3xHBZnXdxXgLTF9FdU7tM4WrjO7iwhUrxoZAZKf2b8
YON1qVNDGpfccwSgfGUCqAPGYbFE3IJ8jMWXC0sp347s0hwr1joJ4YStXHHPGmjRq/gzq//x1OFO
hIa2iIZ7CQ+1+QMupk6pBkmgtIvOUlOiJlATvXSAEjYRQJhCsMRodrtQAmqgKEULM5gYQeO1NZkL
6jkBAmt6SHwpIMUv8U2u0bS0sEx3Dc3OHlJuuFjYECeVx67IGyk6izpK2ajqn0vkz6pVFS3corf7
AXMGVORciwTLDXuJAngLpgQuis/ac4raQiindgHirQqdhQWJeNEeljh7bh+9BpqM5wovmp0hRsou
GTJ9RQkYcXxuHOiu7D/lzWj+5Uh8yCBIEbiJ2dm/eKtxS/ygtrSwI29zzLN5tPErqNrNUIr51rvY
Mbrc8M0gpfFZfanMyfKdclU7Zvv2+EiznbVwJ9dmmCusF6qYxoAUnTPiuwpRyGijOG9+gmN5Te3A
Bez3qbWoBZyxKZFfL6UZWEv3yA8d77Vjuf4I5nSkCFi0OsJHlO/BiiMcWrc60sJ1TyQisjXYR7DO
mujuIKWrEzjX1FQOQHIsxC/3dvPllDPXmRpnQqDymHKNjMJBghZDTMJym9Dnx5N+E6RizsHyB1g+
KMdRX2eGW8ujquZJE58VJAb1PCS1KfMi0QSvXy/zNc6BPzu5l9aYUVVtGxW9X8fn+ndip6CMMwi2
k6nboikCmZsBsNY66MwggzVZn6dmNbkqWLYjt9gpJkRWrAa0TioBspRQl3fxhjL/UhKvOCuG8Iph
Ad9ocesl2YKfeunNZ4NfErxPioK7jvnsMI47mohyfO4cyeq26wmddRqQzJMjzlwtZDT5TWOV68qN
ncA7tU7vqKRYo+Moxd37O7PyzTCQ58jijqH7H6wfbid4B1Q+QSZyfTSHvsFtAarhc9eCCkZfNe1k
NZWwUhFnxBLJ+NNjezdZPuwXYLrVH2ppkGEy9sDpYWRcVyXnolbXOcQACn+tchpUlBYAa7epXMYS
4w1oW+FRN8ASmmslJ4BkWuv42jatXNnikFt454v1fzc25iyEFB15XF5ibJCcicNjOzx10UCapZHd
zqEI/hZcviqIx/EyZAKKKEtyoUi4+CxqFm23WXoOEIxO61BKIHsCYISMeHTadtyqd5NnISbld73k
0+9+gwGGNtxjiKNYKkx+6kP0VkTJWR1XVDv40Rb8TKLw+XhGWZALXLr4v/V4vMYEgxnqIA54efNJ
ch4cAzD7ys7+lsfYEteA4LvNCsU0whekWqi+Lpi9SUDMfQ9BMcJss4O0rFd4tdUC9z9tWod3yg24
n/E54sJgb102AkScwjlPh/wuqzibpkGfJuKQnEPO8feAliWr0UeKQVjge2bbK+ZJReTBA6ejQkkZ
8hjXZ56P8O4tAz49QxfTewdJIEGgH9kAbZOBnNzjbvfmfh+/v/33/pAcuJJ0S5jVO0NFbnlu41Nn
pIvELGuWGTFQplV+9j9yh/st2MniRXybKcMoZ9IpsBZLoN9lw+6xFCq/o0N+Hjfya/sRHoIP4Ctc
ZcWdRvBE9M/+GxzrPuFJUVrx0hmdvcu1y4d1SFMizQtqKoNNoEMGocmqUMrPpTXsUBXYBu6bYOpk
VvVK9+PSm/r2Yrw2x7hVYUy6NFFUmFtnq8yD/lJmQprviW7VNcDwK9BnvChPtdPYhtu40XP+Ypx9
m1+1b8Aj60/cr/RlKRK6k1G4/ibGAfNGFM+qoPMU8HbpqGblho5i95ZoFY7/tNTBMu+ZRzPO7Oqy
7CIaFVp+5jhw+OielO6V8SC3pkFfJNCZxNZj3zRf2o/sMZd6yXXaoMiwx/tPYpdaUrWN5KU25Pmj
GSMQn/6RUkMWEsUC/PlF5BypwShplA/PNf3khbdyKc11ZxAgP0LYpiLvBBpsZhBdbhQdKIrCs6L9
GZojl7uRvwQ5unPYEfWjFxSSyYgTjTmEvBjDoGTGIEMj63yQLNk+iaReeFDdpiXxtri0wLgTpCVz
zi9hQQhOxZBCYO4opHt+dAvljy46xVkOtvJO+Y1WABM13Mf74E7q5NL6zWWBilQmiuBQPssfQWX2
r8m34kzb9LO3gj2RVmNsy+uoXJcvEnp2F4zfuYYxq6DmBTX7DCFjMuVynkutRCs8eTLS47Gzop66
pEbB7kGEGMjFw4gIrQwZHL3X61dPfVSrRVCcg5GDOMaTjozowhSyZ5c1wZzdvPW1JshgIkffJPeF
4bxWr+LvbBM+R3grKZvEJ9Pf9Ck79md+wXfeJPr/ZRy01JhJjJHNMHS0p4U+xjB+lrblW2iGz+ou
tTn02EUhWboZ2BPHWptPy8VpSIqhKofZWjGl1tDsABsmfvf6eELZV9lsBFE2GMbmejfao66NxJ0x
gROFL+B6dbQtvCSZOUyQgeoXcvE3L3vW0Lw/L0ZT9Q1ak6qpOEtoyjaDbfGSboVN+QSWy6VlYq84
1hQzceqEZh4Rnctnbuvvy3V6CNxgF55iki7c3fdW6HLyGH9VGQncrgpDGsTCZP9Ppa7jxH28QHc3
HUo7MqrAM2ScTYkIKiclPgRwzv1GtrEFus/yzXiJV+mLdlRiki0tFFvOwOwh2SmpaCiQkLiTmYWi
CArLOSQ5SwcxJf2p9vQDIs2t9Dc6LDmlO7vvyhazUs3EgXyWS6tzso3QYemvKqd9Kxb2w/yXXN6M
7ICYVQrR/2xoGoyE6/QorfiDiE7hx4t0dxxAB0J8DG9JFL2uN3fkdwmEwarqDGHH39JT+ClRIr75
vx9b+aFuZ0aCKx4lZqDm1bned21GVJIUXThFdU7fQ3PYnlzHGbYEkeKTT95MbxWTdmFgd+YOFkFw
DW8313MZ95AZfdIGfF2ds1NQEfHQuNh2u8fDunOKkNdX8JLBZtPA4Hs9qiDnkqrgOHrmhX2cGoTP
zCBYIjK4ZwQZW6Cngd4AqTZz8YNYJxO6MqzPkbCOgQ5LQlcHkODxSG7vPzyX5uw9ioGzjh+z05TU
oFVZ5cCGaCUKjqkKlQLIZ9j/nRVmKHwL+HnBw4ocPnPQLy2GxZ7V29maB4JOEWNu0FBYekalgEpb
7cNEK2wm+TfPGQ6YRVQV6ahjOZIR7KldYRrBhpPQ4weRl4UtcXcioTOEDYfePqiuXG8JIVETBVLP
9XnoGoNkWpWZLR0XG2Pum5llUhXUz3Gsrs0oYeuPYwB4DeiWeYWAZRtUyHlnijUBRFJ855OPbvpo
awtUMYvivGxAhq2oAmUzO3Z07AFIeG184jJA+3zgM8oR+nT8m6+iAUh8reOlXXlvMS8NsZMJCBvg
71p9bnJUp2XwhZRHZemauqmKssOZv+LifucUcFeEBUAQCvSrP516P3wG33ltIne3AkoJNcHIKt0V
eBkGh1qeSDYhaYlizdn3AIn25xa//ecHZSZjnoUBwHzDFqrDqVCyTCibc61F4Wlmn7amKVwSNLwp
mfyMHIh+XCLaLKzL7CJtGqdQ17kGxQR9I2yzk+WAi8cRtmgOAQnDJl2pW9R8Rcs01guX9Q8A7PpG
wCa6sM34zrbqZooY2C4I97ZHMdosLbpWN92hdpARdor178LJrFeosjup/fzn8QTf1FHYoTOPzrQr
JaENgvYMCKaju+UBLb+Ed8u1nxLk2B3FHVYaGv5RxDiJu+Ep3yxVvW8wAuwnsMeoz4aelzADgY6G
ok/tbag3vvYOmlztLZah9YhHXu0kFUga3Zyb3KwxQBHK539GqQJQZtcmRNWKXZRwVlHHJi3QsGxl
Bv7rdGoDtxi+lbEjvWi2xcrgnccTeCcqRuYDKPRZIAMgN4VZP4j5qmHUAjsSoBut3NWBrXJbaMK/
5Xtjt3SZ33N3uPlQtkS6a/Y910e0bAWeVhzfnvn2dycnROgj6/F47vk0hCUoXMxMwkCFXluI4kjW
hjhpz2Edp5uhKfI1zXVq8q1hEEDgqwV7N6n7efWR2paA/ppJLFnIXT0mWspBaQ/PF4Xs42dlv3oG
pO3v42H91BrYY3Zpht1kWqrlYPtvz6OLPtSN8qx8CVvH2QuWeqQrf+cqH8Ql5NSR09qw4982t/Y8
noQfXgu8xzPYLMnfhaFL89l69E3zal84XJ7Wk2K0+CYVzHr6NtYALTvxoWOgioFqIjKJXvaCqlZ5
nhSnfc8TAq5GILI1q1qNYEKv7eZFirfC30ZY1+KnYYmQQd35oxUu5b9uKp3sKjF3A83qJm/qtD2L
ybbu9lJprjAhgZObhmX2pN/idyPBC9qObeqa4snyFoUlf9AMj+aL2Zvi0PHQPijac5+5Y+ICmF7w
n8BrBdQ0Vpzh1crGyLysP1TlRKR+m5briP8s1dRMNYJ6SZaZEvc+oUN3r1HLUK3ROHXAuye2jAez
vOlFJ+vRT/q3XNO5C5IInEuTQ5HYg24aEPlrn8LyafCPcU36sjb9UYXsLIEOT/edZG4LHTZ7Uh1p
HX2B4GqrB8A0k2DwFy7Fn2w2Mw/gCEHhAD1VSLSxkMnaqMGXrLb1+f3j8AnQDEeadUXyI0c+I1B5
RGQuPyO7D7lKEtixNf8UJv4d/xGSsuTpaWNveLL5na5eJPBwxLjan0M7BOhqRMr6Xz89KFxwBh4f
w3unXcNljtwSwlJJZJmJW0qzbNBGhIXaOuX5r0ht9/Jb/FvjVqrh5LQ56+1rHFPnsd15Z9zMGGQd
Zry3gXCU2b5SEaU+snbNuVcgx1dP1YccG+98HOyNaFpSyLl3JWgSwJMorcCVAvtxfa6lmEZ5q864
XSndZuO5Vmqr5GVLQ2ZafY+lA6gy62opN3kvkrgyyxyPSqp4Ks5wYePwapDyKFckfU42wQval4Fb
k2zBFAm35i0BaTZuXW9zt1otUVvfVALgKVDOmRPMM77mRgKx16JS5jpANkV+M/PPO2IcWM3L+AxO
iUECQMHGA/EgLyk2zL6SXWF0FECQGvghBSWg6znPxjiTKY84hlP2BcRMa1DrPd5D90d2YYKZXy6s
kJMa/OZcCW6JpQxz0omh2wVOwm1KsygR/vafEF/sXx9bvpM1wJxeWGaSE2oZi0YWYnB4xDh0Deka
nOTvjnx9Ad+A5RRMiksqsAz8LGHib+qjPwt6YZyJOUQ5yKc2DAGO3cubDn2c8CnBJoRPAR5efEdv
1uBWzrhIDHebA7weNPNI7jWfBjqH6a5tCqhGaKqmAMhgslOAgpdAVA+4ROHkXmIZAL6IC4XTmzoD
M2z2TWBkftAVEsxz23LHPWlPxml40560/eC2n8Yx3C+l7f6fVUYKF3BrNIqwKGQaiJ0aDDg5/kCy
1+RUPofOtDLM4ivE4EMC1T/ul3R+rm0+IJnlPy2RT91JVM5T/u8vYJaal4AoyGQsdSnZWmr6bo00
/Crhtxl4OEVoN/KVzfd/Hu/um+Ltv2YaZAt4RKNjRWdCM53j/VyqEQYJX8NaRT9rQOQP3pYlJwrW
aO/mj8K40/G4fJbTMzQgOEsECcTCes/+4dZ//PsjmFisr6GUFqqYfD1tezsU4Kv7SCrMTi3fHo/3
rqcyIL+MtwKU4W6AsMFgiEWpoL1i+haLPU8b87GBeZVuhnJhgHGFBlgltFjjm/Ow496VlYKH0HZ6
URcm7O4tB5Gr/xsH4w6Fieaa1AvNOfkrfXHvybfxou/k5+qQFwsDur8vL0wx/g/yY+UUSTAF5nDx
Y8JR2KehCY2Tbsvvhr3Rk+bX4zlkaTGAtZn7bPGLKiOrqbDZRo2fhKzKcPwhrUt/Abf0K9soyqa3
htckJvVWO2dvoCCBzO+C4Xm3s6t3YZhVHpJrnkNYYaATBI9wulNd493YVnsBT4K/mRMdl7Td7rmd
OYWFSxNxETYls45xji7UXMSLr6n2eFSHKnWV+IXKL7SaVg3EP1BZqghEPypuJAO/kmWT5tIsL9wW
G5r5Zp7kqyJ3inpp2e9MxdWXMcve9lQS/BGPDugvidVWQfdJdwzFX3liydOTzznVr2Y/bdL48/Ea
zDfL1RII6JsDCHmm6UCsyjYiUz3smxbhlId+NANAf9XEJXhqx2PlU1vofXT0L+HGbxr20IEJp/+z
AiBeQ0II33TxFowgE4jCeVl7IXcIRs83OGuQD3kDxA7djG+hakrqrmgdqSdIgsWjy7ffj0d9mwXD
JwAWgM63WUgIYK/rTyhKPQwjo6m9VkPbMeEac+Q/UrGxw4J3BIUzVQ1vradoXKfVWgutKjuK3N9p
HNG6VR0MN6d/Ao5IutlyCwty49HmL0MHkgEyIFxCbFV6UpqWom+09kCQY3XyruL+NvW5H98b1VhJ
uC4fz8TNXTCbU2UeuhnQf8Zz5XoimiLjwA7S1x4kwEw53BpDZKr18bGR23CSsSJeWykUPUtHdai9
PvurNaCabjTL6Cqr5pFB4k9J4sTiKvczs2pX+fQyRNHC+bq/4BfjnM/fxZ7j21BRArQ/e21lxmHu
alxjx1Vuaty4rqfCEiJTTkoCttss+fVrqHZy8tE0L6CUsf0QWiMbWatBindE75kQ5KvH83N3EZCM
nTVaFRTmmANRiDkfqfFUexMgCG2wGvzaTLv1PzeCZNfMNi7L0BpljLS6HtFG82uv07nPuo7oKpkF
DVBTX6J2uM1yYrlVCTV6kOQBFfvzMr6Y7Fpqw6YthcbrINqrRr4dDPspAkpZdkWIIYNNYu48klZ5
ZtXSqWtP0rBR2lV0rLaxj+6prNmB/CkUnRBtBB+RGds9+mEz/9BV66JzC4304P2ozKpaQmzc3Sdz
aDYDQIVb+bRiSFR9MrTGSzhhm/SKzfUdGcPxFKG5RS4gXaUfufqvj4UKa4Sm2ife4aSOjn0EZHGW
kiR1xPcW75OmtFKZtzjs6scLeRsiYHpBp6VraPJBJeYngXUxvfI4xlUGvXav6q1QAAquyHfoIvft
DuLtz9ofQDhH67HNO9fElUnGXzZCHCgqhcnQ7LJ9C7wRN5yk0evwUMl/94v9gvNmZK6lGSKLQpOB
UqvM1roiOEhknILWa/82DZrjVWKcMv80HvuBEsSpq0hZaEi7cwbBngBOQrSTzG2YzHtgkIBSzZV+
8JDNmays7NEvEoiJWfNauGBqjjKYwc3eHTl0tB6jy4CJv/nCoKEwToMHzJVVitBLmqn1wEMcfDxe
tbtjujA0//nFRhE6MaBlww9e17haWoLhf9OOS6xHNzE+AojL0TAxlV7XuGNrjKZP3oL4s/RfHw/i
No/GGGD23ugLahQHMKAIRNBWYCoNRwdtESh7qlY1PXWv3UK8f7tA4DGYPRgvojKOwV3Pmyy2aaL5
4eAVRVS4oVIm26bnR0ufRrDdtuKSJNztnY/yBhpokLBD7y8kBK7tTb4SA5JBBy+ItFVzSOWA+H5t
Q9XdmhJs+CBe6gK/XTQAGIDNEGEW6Tu2B7uTQVOFYtzgpbqBtGmElu8k15as3L4swITw87DQ8MDA
hmcmckyVNtQjBRPZVdqappnuAMcAamm+TKyWZuUKykXJKqV4W9Rj/rfT29GOIHxLgmwIbLA4BQQt
Jp0DiF5g68mQulJAl5LM8/Ren8dZrBIPgjmTByZWZgdHnRIZlRSOHgSHiWFEJg/UodDrlt47MQjd
H+/ne1N/aY1Z7NowakUcEfd2VWEFtbKS63wBOHpvQGBZ1BHYQ2hWY1nWRqQl215ORk8C2Mt/iRRs
o70qvfLC6fFYxJtnCxYY1MmgkADVKpr6Ga+ZpH6kyFk7emFZOGH6wVNHB7A+bszhQI9agPYG/S3U
e6sCdDscP6L4lAVubGzBdFCi97j7Un7lkUb0mZNj+Hz8dbfuDzwcP9V0sMyKKCNcH6te0zJjrPrR
q5JgFymAghjVSKowTxdu5HtLOgs142GJlCyO8LUhtWg1seea0Zv05imQ6UrMwpfHY7lrAv2TmGbU
E2Do2oTGyW0t9xhLKIR4suSCgsHw08JA7oQWmDJgYXEpzY2wLDRsLFShoqoygks2B7ch/IIbaEJj
UaVozLDVxzclqrtVzoXUzMaxtlXAoDcNpbUJEm3RejzoewuI95kGxXpMLyrP14NO074oaSyMnlJr
BwUbJ22zA+iN3Mdm7rh7vHx1QQUbFyrbLKQrTTXsDZUfvagPTzlYMZIptyn9PS6xjd07l6oE6Aao
dFFEZ+P8SalVsZKSyau7+JsmhpXjF4I6kQXK4HPV1EvlmduwDW/6C4PMCWgaMZD0PoDBtnF7aMMI
5Zecn1MewG0i6l9SZz+eyrsbSEX1CZwqQN3D6V8v2QSCxywDUMnL4o3QSpYI1Qs1BaNZQwI8qwP5
z9jKzjgFBw3cr3W+xKl675ygGRGUinPmCHHytf0+FioJXJaTBwzlZFIpKF1OlJZkMG46/HX4PbD0
oraHAA4vKuY4jjTksirSkLzQkpVQWt0INlkiNpafqSR+ljQXTctg4XJLznDLtrKkSdyC2adGaTZK
PiDzGWfVhjbS88L83wbO+DD05YDKUwDXxg2hp1g3NFfwYQN3UAFjESUz5GyxOggvUulEyke/lOO9
d0gxEQAUAZqNzifmXSnKKJUnsjTh9ATgupYcYCrWebr0Arl3SOeOXJBoSlAPY4teopgbA7TaJ28Y
uhTN5THYK/SKEjUEgVIf/nk8j3ciMgTf4HJCjxM2MitD34RlYgxNwHtC0fBuESUvesopJh9IzQ6i
CJmbUUGzO3lYaly5c2JhGAyiMmgBBNBaXe9foIN1eaxDGH4WN/Tcu2JvTvmm+Su0vx4P8c66XVli
4pCMzyShjDFEI8vXlQLKD1BLhqN2fGzm3oBQ7JiJ0OZ+StYhyFk6GU1ejJ6+T02cker1VCimFJrF
kijGvTW7tMTcFmMO4hu/gCWaOIb6DRihSXkvQf82r5/rzvnn4wJqCJsewPNbZrUgLPk+NujoaXxq
a2EAIJZgSbo16hnh+VNeokDqnx/bvDdCPEpmKCYocW66pkQ6gZI3EzFCdCTI3oiWbjDH5SCodLp4
Aay3ZGuO/C7ejmmg635q4O7lTf6pAI4fNBXitliwcs+RolUAWOqZ6n3mCLo2IzeFlumVPHqjAQBi
WxyKPreUIXb8WF0n6S7mbAoESn9Uot7Np+aVQ8bB/2OoT7xiRkjPe6P+p52+Hk/0HWdz9VXMKRw4
oee4CGHQEKDjWe/WYgxiHPCDJSAOfmzq7jxfTABzDH0dh5BvkUoJRDkldY6qjxj8QU2OGNi5cY8l
XmIEvxOGoOQKrRO0x8PJsPHOmAdJnE4RPHbDe37glj5vG+G6Sz8V1X48untOZiZaFOG04btZxJsv
TElHpWLyAK5rV72vjw4n4ykYS1O1fmzqTlkB8FmMSQB2dnafzI4tRhV+cyonL0mfqfiaJd+p9tUc
9NiKpqeGvqbcW15um8wCphJMdksagPeGisADSEX0xwKXwdyDvM7VPbTNMKvykLhZXn/p0QQdqTpZ
ktu+51KRXMXtMD9XUbi5PjMiqPuMUcCN20MX9yQ9F+NB2k5iBIIDJwiXNujdcV1YYzYoHaYy4Ap1
8pQKtccOIGE9sqs2WHiz3sLu5mwELna0VOBFiQ6O61E1IwL0QOYmT+6sDFLrSLeXnmH8yiG/mdUA
epV2rKw6jpp9/IfWlo/sSHKENHacbCqoOYsxgcpkWpri9KQM56jUSdJrezVfeJTcO7DIvgKRBl5c
dIAw6+wPlTzoij95QGxDm4xKxxbU82aXUME0wqizapBhm4Xe/AdZIvQYIGODvKiC5khm2auxLmsN
3Hme9p6A4F6sLT0ARHydVYOVvT0+THcWHVEWSt6IJYFFZ3sHE3Q6jXj88V4IIkFbCDOBlE0R2bRN
y9VjUz/ZCCb9gjIX5CfwKELSjVUxiWOj71WtFzxdC85qymdW4SNyTgdBNKeR8pBlQBvyQDk08k8q
GCqVSXBaymerAI7sBF3ZfJeoESVTqyZQl1A0R+u63pGiKCA0Ndp9LEJEXU8FuiuTQrdz2pYpkoe+
8C51Q2sj2yzZwEJkx3Tkw9MQBjrh066wUvR7LXipOzfLT71dx9MI3ckys8vLtqnisM0lr2h3WUP3
2XjUa5QMdH1hm95zh5eWWH+UhVFRTV0qeZnmAL8AAOmESIjaYV6shOhJS8EM1kVmEpJCDpz4Y/S3
bQ452IH79XiBZRxcZn3xISrehLyBbtsbCRXU/qhh4EN4IbdqGQn2JUDcLW4Lx+LSxLydL4KVhsum
wcgTyUuUrVo8aRQNBogl+lZ0tWE31E8akIBIqqbjrlFHUwQ7UWxLQP3Ep/9krHgO4UbHpcf2VAlJ
ndSNWkmewnM7ietMLYmWnnjzE/p2Pv9tg9lCMW15oWlKyRvNXLJS1c3MIjU1l24Sale+lb7/V2Ni
N5LYob0qzTCmCKl3BcgsQLAfW7jF1wAbhJYUHAnQ9aAVjRmSNNBy0nNO9uphPah/a/mtgSTYd+s7
2Vcl2pzz2N6td4M5tIyh/DJ7HZ7xpHUjTjQEQZ+HnelE+WHIVnxaLxi53fYSykiaJKtwkSi8Ms8R
SLLUagIWT68P0bo+5g1YuVFVWjjm88xcbwZQD8B5zrUk/KIy+RauzqCmxamK1zhqBRr5aceZXORR
5f1FiJfwkXfmDW2V6AFBBzaynRoTCqRJF9RJFCieWmW7CtAxzsqlbqFN+Q5YAC2pSB6hLAHY9E2W
jA4a30tajSH5JXVqoaHQzYD4DuXHZJcPYWSr8qQ7VdILq77UQPXWauGTJjWFW4lBseqVJF5Yy9uI
GZ/0k1DCpY8rcY4JLvwLnWIwE3Wl4tW2rr1zPKnkrx5wM859vDHnjXe9muivw85QwUcMKr0bFimI
eYGSvBa8KbQUXiLFlzo4yrjU4nC7jrIo46mMqBwNi8gmXw8nnOmPxkwV8IKsUhd0agURqWTYyKfR
hdv9zgNvtjWfa+g/4Xwz4ZKBK5RXakXwhOktqo03CCDaIkrrCW/1td1pkdlqNUHLYqNPgF25kSqu
EggwF+uIA0DrTCGkC/xN9+fxTN+wW6DwhTZebOR5phFGMz6gUkH7HqF25fUg0WrABNr2x7J6r6vp
s2sEs0LOMu1AVhvwphQf4iJC4e9Aq7eC788VkCJqLv6RJn3h4Xl7nIGHkjFR8IbI9LNOQ+j6noLo
UPQEbqNlBenHgqAtUaehU0yvA0fKccG734kTZpOwNm+6+Rq93gxDH+RCjD/xstPYZQDr+1ZcpDEJ
+MTkGsQNfKyT7qkyiJpIh7C3eSU2/U5bB7RdOGY/yaDr/Q9aI/ADz01f4CZm979eFUnXj6Hs9dQ3
bFFLMqfyhWEF7fbaK+SSJ2XB+UCLyR3x9UJdcUBsow+17/4ubI/ZO998iYGigILaA4CrzGMyoXWm
Blwke5owECW0Ne5Xgw7sWo+JAAbh9Kkx+W0VO6VmP7Z8uwMwBReG52vlwtXwTaJJtYwpSIwSnJJj
gY6XDC9ZMzM2XHKsw4V3152MPXiZUfUQFVBx40DMzuLCoK9zAkBQVPXCXRGe27EHAbjLeTFSkJCb
y5ucKD2pDcnhywUcxB3fANNwdxB8mDuaWTR0ImU+F3St6kmQvYsyiRjyR+8DxALnwIeRGaWgmXRo
aUs1Cb7gJgpql+nK8MvVKO+jeB0EqW3ow8J33Xr7+bNQPQBzio6OXGYJRB0SnLHcqx6niCupXpcB
KLEnwcoLxfH/OQhWUCRIpMloxYdYJSBH1/PfhYLcS8qoeS1aYKsdBU/qnE2MRyeOn0fgfw+03xfy
OozHrSYsBZO3N44iAWbDI3OC9b9Jz7Z9jhKJ0WleI9k9aC5V/7mLd3H7nHZ/0uqkvQ6gy86H2J3m
PrA3ILfGYaF9fr5tmKN29QlMoMSjD5sOUa95amkKnCMmr8CeInm615ttDI7wx+fr9u67HjBzsCVd
mHKOmzQPz18V+reQbNLKEVgSvVh6sN+JZGALfAT4Z+ZLYzvA+ryZwiaTNW8I0VRZvoYovalbYQKW
Wy6aNbITMYAXmpX6+6Q9Ph7n3YW9sM3MKrR9YrDTSppnaG5UHgv/FKS7fsF5/JxQZu2A7JBwTMBh
jM5uxnkAwqDkdSrFJ5njsUOq1JcjK9D8DjwIeR1XlhELKCQ3lQRMR9SAr3df1cLwFpVBWZEYndD+
auDr6HcFwZo3zjCgKoMiS/4UZwPYHLpihFaRgf85sHI+RV9GF4W5v2qSmNfNckonHWIZwPJaXdBr
32hNjkoTbL1FZkaDQF90pc/e5XDkfhfTnA3AKZg0N5Yy3O5KP2nqBoQhXOvIcok0oRABE2hyuTz/
pQ2Xmn3SpL+bqYY2ERg/QFYq+ZBJSimASGqYDG893/q9lUdqhzZNScjMPJbQrVM0lZabCYTU32Nt
aPEiUwrumIHOCxxhKJAq5ggdQf04UMTu36Aol7AJ+gEZDCDAx0+a9XVOhsxX8v8h7cqW29aV7Rex
ivPwykGSZdqxndhJ/MLKYBOcwHn8+rvg7HO2BOMK5Zzk0VVqAmg0gO7Va91uiHVfx34sQSKPto24
0MqyDZouqUIwj82gFxzdcgFF1qDEm2qkEI9Chq0PbcxNEc7WNv+0bdJXQV9NKL6Mul57e2WzzPRH
5TWIOOpo1e0uq03wa65VPRmPKyRf4zUBQk2S6+f2OdA/cJITIUrOI8vSLlcgKvO4cV4rfQrccgq2
J2cBGyvyfaiABx/aAf/YYyIXLLgivJ0H1rVfkIPTHQiIF49g7kA4PboAjI7u/WU7XET5YwcRDMlL
oAhAjXduJ836JHVXSMQq5itR3BAdKf6gK9FfWEGjIfiuUceCIjpnxSzmYRooNFR7EACOL2nu7NLt
5bIR7uT7M5QTI9x2XtuqbcetKWL4ULC2r2oNday7DXyScxdeNsW+9yRyvDPF4tfJtUNB/XzpF4wH
laHQjUfITlw2wF2k3hngloXipTqqeV3E9mx81YjqV/YYLZ15BSRkQFTzyk2WKMulWr5c4H1nl22D
k4ElS+0tKcXA0j75PTiFb2XL7w1ECdifMgJ0PvH1xxgT1QCkBCTHvI93Kpg6UxfGpiEyyb26BKp9
R6udO32i6Q8XHLnuduM4xG/sm1T9lqIbt4a2/FJ+sPrx7kO4PITVePpszviQJgPKRH/U7cJvtv3l
JRX6DGNWtR0LGKU3uOHJ1HpFU8/pBPfU0jR0KuKT0pZ4jXD1Tkxwq7dCgcRWJnhN2pNbIKFCp+t3
xDF/VxCquzwaYdw4McUc+GQ0SVub88RGk/WvagPedPIifU2IbSA9BPgbivA8jtpqTG1W56GIO5UG
rvLSuaDil3Gyy4xwa196Q9WM2G+xu90r0CBXp5tpdSSzJQxNwNv8ZyTc6TEDbWai4buI9QptoiD0
V75oNdjnwexUp9//ZmXemD1RbIc21vnK6Oq0phCgw6xpeIx0j41j+p2sGU04a3heQIkQ2FPklc6N
oPt0nggTxXb6BO8sa54O7lInuwHQE4lTy0yxv5942lyXmpbUmLuEPtGxCuf2fi1kdULh5gR7N7CJ
0LyDjN+5kZURASTGXMR95zzOm/ui9InEB/hcxZ8o473Rgmrol3lrPDkZSOUQ26xAoxIj6zmCFW26
1czqmlZlmA7jLquGuwHbVJ/yG6UpgnaKbJpmUZ+RsDDSeLYTSa5SOLEn38Otoa4VU0LshY0ZGigz
WDlemuLpsjMKIhKTykJeBEhtJIa4c6yjE8Y5wk/oOOKu7OZ7W2/qkJTO6s+qrDObf7OwKT4zxwXA
RgdzbrpgGdECAZIKhIv5p7apj646f6UdxBbKq8K5UnoDfelVRBsaZjJ2B8FFEW8lIJ3Q4wIlY54J
S1kS06brhKtO3vlqDzkZZQSUZ4uIXtzlyz1ZPn6unBnklrGwibp63VbEA1Ah/tJCDBT64a7EiiCC
nVnhNkiPV4dJTQxrrV/x2mjQZ7if7dRviuiyx/ApnT9reDKBXPzCPWPMhxpruI4PxL5vsjkcjRvw
CVh3BfaKWftJdzNAoGqUva7/H9OorKCQy3BsxnkUMNXSVQugHOPM/lzgdE6bHXI7KtSYtSxyrTWw
ajzs14fF1m9xA/zY4/6fgaNjQ8eT2zP4XCbyFOpKQW4Zb1MVFgNed2CBKR8uT6/gYoncu2OhruOA
Z54neXebEnwo7pjH2SvAnt19Yl6X0OwrtxgJS9wyXy6b47lO/gzqX3sm945p+zrtVMglx6TazfSK
xMWBIFkUjvMntSv8kqBm+9zrX1ZaQrgwSs2Xrv+tWZ+SMqAWRNz9Zom0T8pe0yQPOumXcQc/5N60
obAwEzbK6bpvfE/2OMqyA4m9z82XFO/NvXuvkUgBTWYboAEJiVRVvWONngdQa3z3ri5PleAIAvUs
HB9iQCq4aLjvWZx8QCprxQvTfF3s59qVLIVwB5v4B6kfgPB5DKqSj6qGWJHH5qJdk/kpm3ydhKn1
6nq6JLPC1yf+rDpqTQ4kDZCJ4kktGz3VBj3Da1nT/EL5OlehZj7pA8ibgIczqi+6oaG/0ImRtgJx
w44un4i1a7sxVHD9t+3nRZJPEn8QXregnUGpAHw/5zs7w4eSxcMHjerRm8DUFRa3gOfvUv15pA9l
ed06nj+5IW32mfmoh834vJkHgkqCh7bIv1hoplqHlYB2Fi8n6KAxaFuzLY+ZZqdlffcyyaEr3OMn
BrhTcEM3PvDG8KSkf0LXw35ulyvDPVrtr850vy/GE8hTJWNi4Z97EKNK/O+Y2Ced3G20HH7QTDBJ
y0czO6Y5EmalEV6eOL7S/setmAo1RKXAgMAn7BAzay2vXFhp8joqUXCMCsih7HSV4Kz1hmEHfU4Q
p6pLEWamkuwnLZskB6FwclFORb8FkuzvataVPbczIQoCaPPD+AovivBupWoBdPwWuM795SELbxPY
R8hP2lBf5SGIk2okaQVhzXg1rU+IVuGClGI/H6yJHou7RYU88WWDwih0YpDbKIlak85YkA+ahpt0
wwMCEr6XLQgnEDyMrEZuu2DaPneVIms0q3CzAgiTAsS9P6ox0PqA/rSLKKFNoFiyu73YoIXmGCTT
bOz0c4N5A44VwCny2LEI4rgZ58sWmXkZpRU0eq3QVCNiykiQ+WrgH1/F8wgYDQzU5OEG7QCkVJ6S
IibDXIKCAT36ELS2w1Evk301Lp4PkactVEpgXywPvBnO2j2sXppJ/FW0MzUAWAHuREP7OzlHg3pD
Voz4jspnjFCB/vXycvLQx7eBnhpgH3Cy9VNDmbUFTQZgQDHC6kcazXvtW3VwduTXoPr7L3WQb9Ea
W3vyAOg8SIyj4ja/QhG6/yRjKBUGiNNv4e6OQLP3ZU7wLUyGeK/VaqQZr5M176ruvhuftSQmpSTY
Ci+NpzbZuXsy/mWbFJpomOCbtfSbbzdbF65bRLNwxnsOYQHqax/swvxnym329EYuCfiEc5Nz4g3m
opbIWRSOT9pX3f5+eVF5Uq13FrhNWneKYRdsItGvvFuuxnAoAi02sl12zA5gdT30iZ/JyVVE0Qeg
hn8GBpzT+cCGVR07ty+QiJv83KQ/9DlartVx+k7r6WoZGEt+ujyl9DEFl+Omgl/NlgRc8XKyfg+D
AUjxUD//BBMVnrxCGiO2h+almGjjO6u2K/MaeILlU+mU+xQEqKjvKumhT/WjTvWDZPLZTY8/TBnN
BZozMBXo6jv/hDUvlybtkftXNPKEfh0olCA2bkpQAV6id+hp0FHWp10w5spuMf8mXp6a57yrnFRM
gIsjwIJ+qJk0QWuBj/63RsxANQK1Cw3ng5ieP+52MmLO3bQ8t9qlYYfq+AMdtcDQFjjFZVzrooOA
gebeauMg9uAiVUaHWl21BEDrrfQHdQI0OOrmb0b6rNZxZbU7w+wkORZhRAI8AApiIOTAtZZ5/El0
KAqvsEivIiIBAdAb34YFzH/5t6xKwo1CHL67SWawx06zJNsk2kloJjBB+OCiNZy365BJb1fHQSq4
sH13wa1W9lxlsZT3UpPxvUBFiNWouI0yzdraFwqCUOPdGAqoZ7KncWn9JX29vB2Yt1+yw72LKqIP
REmRnKfmEpZDkgVGCb43Sx9xrOCExXuimCV3FNG163Rs+vmqDVvTqW6DHOpW7Nz2afnt1s9jqDMO
2UnGniVaKVwPUGRHCzbSRtw8pl1loBmrQ6itX5Wk9W3rY0Qab5sL7x78Z+zlKq8m6S1Anzsb0ujb
57y/URZQwA8yIAiPhvljxEPriIugiV45LmjkKk1Tr0TyYsgG/ZChVyZcs3oI0ZGsBL1iaId1TsFz
SzMvMKZyDJ0ZQLXOai208nbNczkVAA25YZ0mSUCcmd2W1i5a6s4Nkl6pAq9MDckeEV2NcCnCnRBf
zbhazle5GA2SZ6qCq9GwBEV/5bq+PdkSVxIaQT8rCj/YI+g0PTeieBaq00VbxmBBbio8dZ/N4e7y
DhF5ECNyZXlW1jrM7ZBsTEwXzRtljCYBX5teaS3Dzor2A17xiCRoSoaLcifS0veNSVQMArmiQMHb
owKbc2/fIFyPOmplsyRsCiftxB7nTVDQ8hYXKaE41e+7ytxN9RxIc9OiQeHmD9dFWQYgSm7jEWuy
qO70aNPTbX8tEFK0LbLUJfJABDHWObgtZPo4opU6NcmtlDUpfQ3Z2TJu0h/IU4eq+1EKxreNeGqC
c2pPLa2hS+YyHlu0O4H2SA8ylczXXtume4qXHXj3h23fqE59VLIGyRcD7lKRUrtvB0+VyQ7JRsy9
J8utVEbHwogJXnuFC4iHDMEgOtVBUwWmBeBOAXrjTnXLndGTVw9lPNT3OH6SUMtvwMAXo+M5kVDr
iNwSV0Lw+qNHHURb3PNisNFVWk1NGVvTtQ6Y64iuUuXx8mYWHasgsHBQOwDH3zvt5oJYXZdobP1q
L5joDJzR1ah5oXSPCecNhw5TxESxgo9+Y2c060QBl8EWCbZl25vqc249E2odEwKmoNWJiLT7T3i9
xjEByB7uDVDvYf5ych8CfZCiNJpTxnoP/M5s3dd0BlTSPNbGl3naImP9WjlF4OSok5I5TDywUV+e
YNF9Aohu4F3wfAJWlQvIOIYmdHYmbNwEYDZsQ+hP0DwYFve4OjRS+g823bEtyeiYQCYELngA1rlo
tplzXetLhYqssgGbfe2AcsH8tG5FYJfPYDX48PgYhwRjUMfaov/tfIYTOrZkLrGuRI/14itdfnU/
mvp2k5X2BPMIeSfQPaLjkeHQuVEVtHBQBraBy6PXZoImNuvT2veP1rj5IOv8cXlQonQKYzcBneMb
3paXNi68zHUmZq13Kt3fJtBWND04ToouBwlJ4X0pvWo6zqUzBDVa1wKVmNBZLrsPNjm8rSW2J3hJ
GM3au7VsG61TtbGqYqVrg6n5tY2hi9voKCMxF+xOG9xHqNUw/hjN5rx0gJY0XZamijsTSc4ZEunu
VXtleAEAmKb5QgvZdV64nP8a5N+9c93TlmjMYBtmdYQK+/ZVHY6aTFJLlIq34TUIcZrDSqTcGYi9
DgXgBDPY5wcA9HVoRydmOJDA1f3yIUWq4eu2X17tzLeCAwRiZbUAQYA9s88dkE2eVUsGtaIYejC+
oX5WmizUPNB65psk0gguGEhw4tKNEgh6gt5m4iTWGak2O3QC8LFOIkXNd0WuA49uk91cewcKGkTk
rHXZRmEHKvdcsnEIokMEVzX0IXABFqKr6ABNhip2tDm/XXr1u5bYAE94CfH8uaybwG3QmZCUrnU7
pluz192FPi4FJYC7zlsEmSE8vi/vXsG5CTEcwNJZswrqi9ySm3NCdTcpqpimUwVimXIMMoKA5Ey6
DM4jcmNcUt+CH6AcPMqqK8C5RHKvjJ3txe7W46SCChqPuf2kyIApIvwazhA066PPApcCnoqg0YxM
mzJaxVrXzbcTcZIoQacgsIckjSxdy8BtiY7dDIiAYNVmYD5wSkTLPDZROXd9pM10AhRCna+XjS47
tW9rycQLZ4M113lAODMd1fOzYDBopa5rV6H6Wtf7om6MvUWJtytqu0QrspndmUlCry6vtmiDAejJ
gH1o9H6X8uiHzNgGoDHjzRlvU8e4W9dvHaQ7fRU8qJdNCW6XTEUCErjGW6MWd/fTSuCiAVSv4qY7
WvZ9Wcu2sGAsDngUWU/TG3MZ+/vJFkZ/gTtsKZa4sR6m7EFJ/FlDf5V5uDwOwTq9tSaCt4wV5Xkk
5JClSKRoK9aJ4Dx1b0u0k1lomFp1CMYsvy4bE0wa2GFxq2Pqiej15XajRisvtYmG3Ug/5cNNRWVc
NiIDBuIdo8xArZVHoC09hXhmjtH0oKqOCkNDF1A/OPvLwxAtDfpTGU0U3ryospwvTWGDEH1KYOUZ
SDqvAs+kX5rhZRuidTm1wS2/TZssbRc2EqCFGLtyVNGgBw7gg/K27FrBmm3/Oxhuo65wY/Cnw9CI
koGxbIG2PCKBKdkusuFwVza1n9YqqWFFGfdLc+yg3+BebXWQ1R9rQno3HO72kuh2q8wmDM3rfkMP
4mvzPK+hLdudQkcDlAWlZ81GWoL9/WR3orEOHOTUrWLPRKW+wyMxQhVNxhErcjRGtW6A4geoPb6/
u0czR41yfR2rffLDS+4S4kCKyj2ArkPi0oJzErAcZFPxTEBbCi/8PhhdZrSbifVpWue6M/ved4hZ
HTIzNaLLni0YFKr1MMFQ/8hLce/ytnMXQhWvil2lDNf2salejT4HX6nkNSJ68KHYq0PQFnpOTAzv
fI2sijZO0ehVzPKOD4r5NNo/uy2mlurPyrUbbEYwQ+N+kOxcUeId7cEGgjdaUjFGLsqRJWG3C6OK
1XqACBukw6YHj87XM6gU7CW9qa0OGaxrBxKEH59Z4LsBXkf4Qxe0fj7gdPQSlLDglOyFO5iGn9bf
l8VX9ce/sAPdUgvcr2Cf4d9fjdLZS6thBdMWUnOLX/fHsbuhMjyeyCffunrRhIIYxR9NaQ9odjNm
NC7113a+8ZZnTUYpLTYBjAP0FJCM4Gn/xg33VdWpaLwoz9R5JsCFzeX95dkShAoXMhE48FhrOo6m
81Uh1eKS3AbXOIZhoYzYV3+zHCcGuAheN+rS2SDljzvvBgjvbSv8truRVkNE+5ZVsLCnAEIB6cT5
OJpUa9Cn1dC41W6A2TWcEC+0RBaIRFaQQwC/lgHcwDthNKquU2drOY216bpxIbhe/JzSb1n97fKi
CM0gzYscPLLKwIqdD0ZZdahkjiONgR7eV1GPDrBWHwIppz9P5czOIzCj/9fQW7A4OShWpyg6pZ7g
YaMH5sUhgsFdWWT3uDT20zV792QzVNisL3kZZrsttWO3947bAlKKF9X78uFhA87zdj0GjgkXsfNh
gwGoWQeCyhmlz+b0PbEfFPsusz5+mJxZ4Q77tBnnWqMoZJfefPQiq1jBQiXjaBWFWabpbEKKnXkl
zzWJzjI9c0xUr4C4qKEtNu8xl62qBkkJGR5IP9q+bsg0qwUBg7FDuyzyARWlc36TV43W5jrAyJm6
J6wVU7nTBsnBJfBNdFGj3xDXLBtFMxZQTlwG5VrHoeOKFi9zDac5Dda63hVouErA6HDZH9jnck/2
M1NsuCemvA7w9NaFqVW9sfPpOisHXGaukPNCP+cL6ekh1aLLJpmLXTLJRn9iMjGo2i8DsP/u8tii
N/wajPJ+b22htjaSS6dsdJy3k25TdcWBqcaKkqe1re9y+5qOz5191xbfE6+RzKYoVQguRvRZMGEg
aDBwBzA2RdKt4O6Ltx5EALrfKcRfmzbaTCNcCfHNDGLEge7gwVC17sdLBGfGuXsVyEQqTW+wljp9
nXVw/hv3tlRggo2AX73TEXK+6QzEIq7LRoj8WR7aPxQtcKC1p/rgufRUf1V8Wu5bSyb1x373kl3O
UfFITteZYnAa+MWmZgxTu5XMH4tKl0xwjrkOW5KqCfASPQnmPQCIdtCH/ZWswC8bCeeUULcATizV
ing+7mQMDOLftt9ewOCv5wsM6KDs68TDLCFHq8eyw0N0lsHD/vvzvBRO3duTlrBKe3m1Ppr76qU6
ekH5GQiWT110rJVgjbyrAeKwlyOGZFQed/GAInPfzCYyicrQ9bd9ComHRFOcq8tWhOfJ6ei4zVt5
fQmlBYwOOHF/CBe/9OvA9MtIRnsvCksMv8sk3JCL4xufFaoOWlpYyIzeoOCjXBMFEIAQ5X9kXyRT
JzPFncQo0xhg7YOpWa99w5uDlLih1iHtrH/rh6tifKBgyrk8kTKb7O8nAV5RV9Dat7BZo5bdzTuA
2vwu3/UrNKq861F98ZSryxaFDvLvhL57KOhEQVA2MUptXwx7NOpe/n1RuhUwaFw08BCBChv/4IFI
Q5/QBN05jhF48UNzXRyVyPlZ73v/l9H6wwMk73ZZeNmq6KpxapSbR5fOyjg5MNqFafQgU4AUHcPg
kAHHFGhMmMDX+SrpGV7OiukBbKh/1yAxqaoHu3rE46fMJRgR0XXm1BLng4lDNI3kwLo4bVhni/+z
RWw1q93l2RJ63cl4uNnCA2vC0ZCwg2kJ5rkJFut666/T4lGnGvq2GM5CltR673eMfg/3e7zv8Ba1
uJFRPc1cxQL6pQfgYadpM/iXVJkbCC4VzApysyrEJd7rYdtr2S5GWZYoj0HPqVR2+RS0hrXXJ83v
01/riC7YJbuenhJLsq/erxwsI43+lkwFhJ2bU9yv7dGlwN5MmufvQCUPSq9QpgYtMfIG7zoJF3bf
ZLhPA9lg6jczyDXxdO2Nx8SU4HoEPbBng+GLf+WSqeWmA9hTtuqhTr/lY4PHZREVgJV2w1e9fdSQ
NfGWGFqF1X6iDvAPGgiTlEbS/iX0GmT0UJNX0Wv1rg9O6QwbEj5lbFe3BoqP1vZ4eStIDPCNb0bl
dU1b1sBxOK2f0Odc1vcpOCoxl4wchEE8WVn8PHgUrjFWnYO51Il5KHpr1/R3VL2Z6F2+jj4YX8pF
9dM1l5ws729oMMtw50i7M34pbr+tlsduIAvMlhGeYN1vHfQwWRUNqhtKsYvCWYSGAYOMsO3H3ToW
EPAU08KMEcd3lDs8piXDeR/gMRxWfEGjGp6UbyJBJ56fJ5ZONgILBbFxg179EX2QdS2TFZSZYQM9
MYMEGmCezEwFiBUjTOjpzWqNfzUYhlx1oaSBFOS5lbxDf/SYbKghVeAbm+/RTqmkkty+oMkaMoxw
OVC9IV+HXlnOSImyp6mC3r66NSsfTQ9ej2fjbT7uTf3Z6o0gTSC3sxbgJ0kBVZfsK2EIOTXPzSQ4
9rQsqbCx3DXAG/22sj/rkNx01Rul1PxqChUw7VXjs5tb0aC3B6cGDZnCSA+llB7vj28mSImMPTJY
4D/jpc/cvnaTysQONPdt9yvNOrSTv+ToLJdPOgMjnr+Lzk1xu25JS0vJW4w67+g+aXckvV2zYlfP
a1BlYQ3dBm0O6K+Px7DT8XERpknsYVrXqmSJWcd8rCfZ2c1+4P2oXHQ54PaDM5wbVduptapuQAeq
KlbQidrsIU0fU/Ng75dHRZHsDlHkMqBdBH0dtJ2h/fnccctNbai5wlqWTmSnNWDfSFZlheG+uLJH
p/SnEQ36EN8JL8+jxDCPrXE6g1puCsMVq3cc0jksIaFu7a3iMwEK9LIx5v/v5vTfUfIh0+30JrcL
GJuz3251k6yS3xddFU5mkYeT5yWApH3F7iO161vmY2qlIAimvkYll0lxoGEaNizVx1j1z9fLAXuN
o0IwJ16RRZyH1yodbhty0/+qlaMOKXNjrxtJpII1bTKOtgyrK1w0qKOAxwGZcGSNzq0z1F41jojY
BnpZ0yskU7QHqMAG7fxyecGEUeTEEDfMKVfMprCA+OyWl8kM7DinUT/6JVrQ/zdD3G7Lq3UZtwEj
yr8TiOX4a5ihCUXyTBMddABjIG2KQia4eJl7nhx0euvkjdFgNEv1jDb2rL+h5PXyOIQeiKIlg9Tj
AOJpGtyaLA2UZHDjjxS/CrRAdsURrsiJAW4ME8AyxaLDQHOlhZBzDKCqKLl/vrXHvNumJza4o1pR
nXKpDdioj7b/aPrFEUDt450XNYcXMLwHiQ/C1qgLflO8boPADb4ZuzZ6NQ+K5EuEC3byIZyfq1te
5saKDzGsq3y4Veed2n6+vGBvb5RLg+VcHNRXXd7XsNHFUIztr9vr4gf5Zbz2i79EoEXdTYHV+c2D
8tk9tOEooSPgJZ3hizg8T4bIOT4jWay0DebHyNnB74PNr44gJahAUntt+orvBPUOiLnUz5+aqPMz
bIwu1D5lO21Pf2xP+s/qpxZpVzr+cnlmhEEGEBxGAwAIA88FMFaFkY+KgWD9wwgtQB5j7WBfOdnh
fzPDTYCdq6metjBTlMeK3BjzaweqGHow2t9A1f5NBDgZE3fMbkvnbgkDlltL6oOcGqyXwWxIyjNC
r4VUDmT6wDQNLpPzMGMmXqm4I4w45BFte76tPPWdTCZLAF6A45xY4fxWq9C2netAqztYm2wMx+Rg
mPFsfZ+cZ5Re28ENQItXALYKFs/LSyYMclAdQ8MiANagGjgfoAENywyCdLisaOOyTzfD9Fe300Kt
6lrqt64hAwALen4xWJTg8Rp+O2+5qGe66QAdcBdvc3MLxxadRH4ZFmNoGTdzM/q4fQYdLvvWfZGi
eFMARWFKPEe4G06+gIuJGkjSQGiKL1CD2fraQT83p/vyCPCGk8sug+L5/Xe0nAN5NpnxkkgQkjZw
lJCXpfisJOAAyZ8ur6PoiguiD42R+jA8CL8bHAvYviGvYusbgQC8E/bOV5qtd1b6SYc6uN7K9CEE
Dfmg/MapyNJUoP3nVRUW3QJPUkkAQPE689jPIHUdjCGPMujKgE6sqMAPZW87PPGzq3GtSYTmPeXg
Df34aS4aI2BiAcd5SJQvtZf8oE41olyOjLUFEZ+Aoq/UpyB2iKZqRH8RHd1jQToTGKXFu3G1zLsG
jDW9ujyJosUC4T/oigBqhlAW16pVQiWiB4S0jBW33yEbCz2fLBjUIurcjzOZYPYgUfTW44NXrn6+
7yCnPBc22F5jC4eT3kUpbX1F3V0ejzB3w5CRrMsHXPE8CQZrCkx6gsCy/Bqf0Vtf71GgXHDDBKds
LwmVwsn71xbPK1UPuZkVOnYVEvO0PVr10dKuVEuW2hO9UMErhDsZ3nNoWuccXTU320kZrn5L9STY
5jUNG3f6btItC7x6/pEXY7nTujIwzQqElNMaSeaURUT+knHyAe/G2UwD+kKAMm9CpHHQ//JFD7yv
08908pU5nP4mowNqI8iGQtQKOAEuWOkQ/qtTiG3HVXkAAnXdWZ5sRMIpBYYafCxoq0VZ7NwXM9Nu
+nZWEKO6EIxuG/TfdqV5Q4x792tB/en75RkUXXsZZPs/5rjTLl/KDHhuhEQU6X935aOWTPtUbyK7
ysNhkFzKmDu8Wy14PipvNvSVeJKDBSJAnQeNBNDAQCN0p/wq++U2d68sN/8ElOrXBXz1fzE8JkwB
/2SQYS6IrInTTj2ZqriohjBtr+0R7WVoAUH1jxSSk4wt/rvRAXCEViPQc7yjFu/GQl+1Ahj4uu12
rdJEau0d60Z2ZgtX7MQM5yDOhqxUlY/MDDqEarKfwHMCZFGoJ9sxg6C35AUpLIMwxBJrGnRYyerc
I1WSgOvTQZeQXj8twyEHgWVHu4MJpUlLDTpa71G8Iu23oTclpkV3g1PL/HYrCUqodl3FUxqCTDyE
0pqVLvuhV45YmMCb7y97i2gFwcemozqMCxHEZs5HqpVKrrcmWie0/p7aWUCzG2iSSdxEtH6nRrjp
tBfoKjgJ3KR0DqTW/Dyvw3kMvGI/VjJMn3BAOD6h24bOVUD7uAHZXW2OxALi167MYNJWGmwK6C8h
qyEbltAUhJZYjydGwNO/OVuvOeM0wy2Nyb7OtW0Na9W90gHYl+xp5uD8PkMbA+tAxEsAhdrzQdXG
am9rkwDl6zZQTVvCkTypoCArZOrnoiHB6TEW+AKiFucODS0hIA+W/HgtjjUIdSFC/jdDObHA+cIw
0sFdDQClSX9TF9EEjfrkisqy96JtdDoONs6T9ExeqBOoITGOzNopG1j2pwfV9NtHN6GRO05fLm8i
4fKcjIn9/cQaASP86DBAO56CS7RlBholRydYGofsTAcPqsvmBIODH0CrVUNzL2QdOHN2PlvQPsGZ
0pPFX7fjbP8EyaU+HGl7WxWSACEYG5L+wG/+EVvhSZi8eqybeWQBqT2sfYx+cGInweRGl8ckcDxU
cnD6A1/5Fo3Op7BA+0NKgSqLVXRDW27QjkdLkW1YQRw6M8JNHIoLi2WwboCCRmMXrNMNqLZpC8oV
SRQXGUKdDfq9jL4P0eF8NMZqbatXYL+ickhSM1KWZ1sp/dF+BtpY4g2iBQLIFoBvFPcAmOZcXdfX
SskTBU0o2j4porw+guBxkym+yaxwU+c0VqH1G6xU2tGioBXy9fY+l102BeAX9I+CuRJIf+SJ8EA/
n7hRacGV0hU0rnQUdY0vrouM1Wji1Hfq2OvN2OhfFQDOVNSyU9N9LVRzT/YJShpEuzaorAggyoyA
SwZ4C5ALMdIF7pk00HWgJhoYUY+KyEJ81wWMVOlutDr1SXpnloHhheP0LfUolCu1l8ub4o1Ohov7
MA9cLnDA0Kq0uGBpKsO6pD0A3bTIIAF9nOerVrnuiIKS33SPU2eX9ivyM33QLaMaWPRxVluoB9ws
NkgVri3lJXF2Y7Gfx1sKTO8MtRbjhSKpoejXmb6vBihXS856AUUO6BwY2ACdkSowxdyUdZWqjGTr
Ad2HaE6G2omdHkrPDNDgQwLnd2X5TbpGirYFjjL5+KpJ9evstphvtCX3e2i/4Ln6ae5lL142V+/m
UjdQz0dbNqiiONdSF3vCmxcgbUWv02jBJXnfmO0gKRsLdr6rIl+PVnaDNXqwv58cBelidsRrMgDS
yqMKYmPjB95LnnMnK4EL+suB80fijL1jGP82Z2jUkt60OrAteJ/JfJzIL4d+pyDGqY08KNWwm7fr
pU8/eT/y7gXiZBA9/jxCUxVnn6MWB7SmS9ZdECBYIQQtyQAPoa2L+54ZruAASs74+ItgKMfXcdP3
W+48zI0sjItMgeGRqZCiewyTcD7HU5JtScu0DKqsCF1ypVu5Xy954FEZakJsCQ8bNOxgSd+RVplb
5poNYP/fBm8/t7eN/W2VAZ9EVQMwdv5rhLvcoYSr0HlsAfPXXchMeYFS/lRcGlipdessv/t9biGb
sE471xg+k6QPCcSVjGmXIh+M5QQSTImHjwPpIDvJulpR2mJtK9xy5oprQ+8VgMCt+6Ylu2w+2s33
Rda+JtiTZ1a4PUnVxhrQI4iWgH1zkDgk+0Juv0MyEVgatOMh0cS3yFva1G9DAojt0B/RCFodLe+6
c69fL4dowb0FYQ7d33gkojuXz1+voFdCbR8EdKgDulvjA8vlJw9/YQPHoYfijgukNXcptzsg/aFX
gxy5/sXa4ipFF7CsnUDk6ay79D82uJNmVcsqaTvYQHIXgEkzyIsd9jrYL73w8mhEaw63wu0ViC7g
qjjPQqCYGpsADJrVt2YG/vFURr0ruB+7pxY4r0o84PerChbW7aAuAFR5O7BAoW0AjRGWJRmOcOLQ
lg2lCzS1oo/mPBhBFhkTNwEmlD1YWbSaSKYeSXR5ykSuDJYB/D7LdoPg99wGUD2dviawoX1z3J9Q
/Bsf2xQdn5Jbq3DeTsxwqU2H4unpjAxp96wA7QmdQbDBq19U56GX3RIEaTHcESB8xHA3wHxy7lbr
NHU3Ctw2LftPjtl/9lL1trRRf3Fz+4umqHv07qOBpVok+1WwXGeGuduyAmaQMmsQcfR0CXtTR36/
90HV6ptqJwlAojHiGqszDQJAuflMcQoZu1SZwG+64c64aVfe/Lv5xCTsHg21D0pb3132EtGVAFWD
/xrkXx3IpYxFOeBKkNStdmc5AyTjDVrcpstQRVU35ruu1Afo5mnonkigAWUAdRJ4S7cGGYjA/HnK
pt2KhP2Xai4zGw2KFq13OkgidxAdWyQFeVGS7exz+Z0D8lXDTUHA6lZGTLxH0mZ3OSRljeQ68/we
tZu8SsNxWX3X+vij1mOhBw4NUNY7eYgCnYmFTjBT1v+Rdl1LjuPK8osYQW9eQSNRpluuzcwLo8c0
vff8+pvsc+6OBPEIsbuxGzEPM6EigEKhUMjKxE2wEUbSCT90Hs+rKseI3eIcnKljaFYPQkqk6wgP
BrWpvCwrtUJEsiLVoBgubT1qyKDoFshSoVu6ldKtDy06vAmatZ6tooAImpOVP7Nw3XiGxRcrQzXz
AeVjkJSPDYmM4l1qWTt/6Z5z9ZV37JzNWPuJl7foR0ntrv6GihkZx+dOah0OJLkAgr8F/fSeVW7d
PUltfHjsuQuBB5j2L3lK8A/gin4b38Sp4MogRpqVzMxhR9XLTA46o91IfE+yAGv9l/Yoz0uKPuam
HmvShDv0GBGpl13fcIsmJR0e/7h/ZA5oPDCk4w3/69J7dScIuUAfYg2TC4pSwukvnFQTVesJB9EP
Try0fs04k77w5XdO90V8Mrfn41y/ndACwSxTRojLKD1efbsYLYlRSAKp2VScahWg25Oy9Zi9VFG1
TnreCT3N1MvpJR091xNO6bQrJAmkyNFzkzu54fiS/vp4yZfisISyEhIBPFJAW+v2C3W19LUqRBuN
2HXAZ3Bo7Be1xinE0VYnaWS02y2FYkz9PP1ItYFBubUWFFor5pBL2MV5bsuJBCkvbHb0lEn+oawV
Utfi7ylT14/HuJAbzmsOgPJM2Ih1uLXaNBnYmIAQBnHShdMyMg1rbXp/bGNxHtG2O/d3ARtPF0xy
vkQ/fon8U4s+mkadOxpmqtKQpdCwZAcXAVDCzTgRgAVvx+KlfvUfElkx2hTGSKBjamato/qsctb8
Q7TrXhui4iUn1lLmq0hE66B10tK/DPoRCiad3KyGyrOl2l89nsGF5AqcVgBPoVd9BuBTvgFwS941
X+hf72Xw5X0m7/nOLHRtk4osurtFW2BhxYs4iJZAXnY7i9Cl7/xGQDuGHsrgeO9bOwddaWE8NXG4
hnIXi6948YxFEeIvg5QLVl6TjKkKPHWY/po4JwnkF4H/AcUGK2/NwT9OkWx52OZgI/4Hs6riCXKm
o4CICXVnyRKjqyGri77yzEqILJljYKWsq8QSdNbA7QvFHPTcga+UWjtQMSt1JAPqWWmGv+64GRZf
l5OlTa2M5yWdW2Wql2yzuPS3qloOdqR3x0DwjXNYispeADcCI/Qu7XmFR38W+DfAdU0XDGutC4wy
6YGVr9FjYXzq1XHwWZnl4rLiuW4uZuEPNLzd+lHZaGrXSgIQRHL/1EOQMB80S+nSjeCr+LNZiaFh
1Zy8Udpj3EzO47Vdnnaw6cz9F4imdFNpNkmZNvQaLgp+AuU3T+yscgwTmy8CXB77sjMR+hpTjjPP
itpBR8/TkJmNiotr1xbcjp8gLfz4mxbnHRg21JhU1MDpWyWfDnkSKjOODILJcaSRafwetyyW66X9
i5XVBRAOzmJ/1P7Vjaxu834mHa1LawL4w+ajwiBe2Earsk2f6vT4eFhLBlHkgh/NNK44yW8X2lBB
Vtx16MerI3Wf9t8EHq3Pe3mqNmoYu49tzR9PR95rW5RTTYbqDdPcaFUHszCs6HG2P8oa41Bc9F3o
QgLLiPs/bs3zSXOVDeWynvS+gT0bGWXhgLAmsoNA9xxwwkHJdeyHtcK3oy0NQmaryWQIJMu8ajfq
qbp6POClo2ZuiYJ+AF6dsJ63XyLl1ah26MPeyVMBHt4OgEMfxNhO58eDmUhBAwkD49KHTccIEkuH
KdJAEGChF1bDLeTWcOaXgRx5mOlO+qxQsDfkfd1Glv4PMM+ofxkwg9qEeqcEUYhxPcgeBgjIEJIc
XY7XeCcorWb0WRf6xSGh0qYCasiDJZKK92OHQ6AucLIpEuC9VbOPJUj/xp+4/jOiz9JOR7EUUKRZ
ngpR/3by5EL2+npuWEirE5r0SQiVLzEd/0E8gXCTBOZfeAZqzbdW0FIOotgOb6w5svQ9rgsvjRRo
68nwPUbVZWnmkCOili1+QfKoLS7mgeErOh5Yozmcl0TLn4bkpxIwrtuL03Zlhtrd45R1YaKD4hEv
uGL46fcKMViv7otDmV8B8PgDoQG68whA/7j5wi8a1THwCgu0exp05YL04/HGXRzLHzv0fRGPdVml
Zzj+wrqahawDiH8UMSM6LIVDXNnxjDvToCs0Sx0CUxHjIEE4FCRQJaWWB2d7PI7l+fpjYv77q1DY
j1zGNRlAmIW3yjzdksUDGgn5fwAix8XgjxnKl3Xkf5VYYSQJkBbCS2u4lff78UhYk0WF0qGq2txH
R9lOCHTClaXp8xojaC4v+p9RUPveAzKFk8uZGlvQwOVYBZaOZjPwxv+TAGMgucGRq6Llkdb4APrc
8DUPhlo5diTxQ4rRH6N/Pp6wpaXH8yD4zcDoiK6reUKvlj5Xg8yPe0CisB0N7XutcATtPtYQNQw3
nqeFPtVn1jFcfg0gpelwGarF6E0GCAJVZIbJMew+0F+fQ2kk4N6qwbeF4W+nLMCBAxEF4Bz+v8Mj
lDFQHlqPzRkPaPEYD5NeE94Hll+M3b769nenEY1raHr5oqwEcIDyu3goQTiSAS9QZxC6/BzzXdF/
98GV9djMfaYASmeUKmZ+YQGrRQVPLhGnSaxQoBJXoQ3ntgtbMBPGHrpfKRhBOo82CGjYyDT6m8+1
1DAqIEZ68HuovKXzqVN1BQ64EbRHqokTBCrL4/rx0BbysZmuGkyOoGXVUD2m9pUi9WOfBijFg7o2
CleK9Cn1XkQAbjM5UODEckyGMDfjadzx3t/e07CNwiN2NaYWXdu3uyBMeFSBErzU4HB1Cwk00f2A
1lHWHrjfbLdmqDgr52Ej68V8GS1rEqVOg5q/KpxU3Xk8l3Mgvd1rt3aoQKsqpZBNaMLe6X1qxyXg
t/2+lxpzGC89z5IJvY+Hs7FZ7RAOg9yByriEcooirg+QcWXPSfIs1A1YEHaPB0TZ0NGWg5ZUPF/A
L/GUSvfAC7JYB2IahSfcKw+RHtp+/AGSs1+Prcyx7mraZiuIt/h98M+pYHigMqBUSUsjxkPACaKY
b5zXPOk9OmEf26Bc4D82dFxYv2B6sHPraZ4kdL48cNGpSiOzC7Zpv9GNwar+JhTwP3YAywCp5PzO
RNfJOMlrQEaYxKcGFIuDHzh6CNmIEr1ujHxucdKuDFHbdhj8TPCKKD7xzQ8ve5mql8cTxvh9mtij
g2YOMKd5fAJ6/YfBc8RQW0bHBt2KRU8WjdUtlDFHN1Ean2Ki76vODPAfRJsdtTd5F/wzykxBzurc
pZtS7qxSwdwrlYSTOIwMAszO+Ns7yC5UyXbe28Q4nBZ2D3zgL1+QqR3qq1yn1jJ8YUA7D0TXJ9KE
rTMYwAU9Xivq5PjviHCJherzzO5BbSAQ1skN1CbiU5SYoqlHROxJlRJ5lwGBw7BFE1PcGaOmrwsA
Pp0g5HYq9Of0o3/ifIJiSGJYEH3YINbts9VIrJZxTC3P5Z8h0nMZyqPYc2V8auUC7/rlukjRoRW3
nvt4KqmT/mt0wG4ZIlijsXR0v4ZXAptQeJp+TDzxMKGS7hUKaSV1MzbHJv0WCizRiKV9JiJdklHd
kRBqqYGFUZh5SesbR6k/C5DmAT/r4xEtGsBAEJDQfgvQ2G3kE/muVkW/M461sZP15wl8kI8NLE0Z
qryz4g/KvQrd+tcq6LWvNM875o1oelCxn0YS1qnTohIwvMglz2rBoo7ZrzUC6AZ4eDRhzanD7YhA
DTxJYhlwR5T60pGo4MNvw9eqf4U0t5u2ZEBvdXs2ckcfX/mQ5KBv8QxHKQszyhlR8t4t5wMYMAas
H3puvmLNdRqfd3FeFgN3RC+OKVWDnUIt1ogYz1d0wRUjRrEIuhaztrOKou+8BFdmEq7USi+L/NP2
x3iK3hV1M62Uwc7d8KfsmXWBHfd4Te8jyldDjwxEECQ9eboPQJPHTA6UJDypjWzFiCXltMoOyWcQ
Co6fOSFLS2EhKKPQgiIICspzkwOdA2gcPwxZjEwjlxRID6Qr2XgzUAWxFMFshWQzacEeImuMYS6Z
hTYYqpCg3JupVKm0INKkPFdbSF7UeBO3VH1KndToNNuTqv4UpWXmagZIx42iD9w4LIUXI85YWeO9
D2n4BvRHopgPqBr9OMl1Kdpy6ik8FeGIRmtOw/Zpcs4tFK+0Hi/r/c4B+HVOs8DFh5cuGs+odWPf
CXyUnbSzXxNQgkanmpEy3nvOrQnqLJJaxUuybjYhEB045ZZoeGDN9OM0JdvEX6O7xH48qCWLCJ1f
bF3QqqLvgJ0fpjr41rJTJVq6TyYDjbs735hfuDpZxks7w2lY9ua/v9qMkGIQpFiBPVm3Un4iQWGL
ij3FG5wNenIRT4+Ht3DgoqD2Z3w0aZ2XFFMYh7AH+lu9+VArorTbYAJwpVinudmhGyN0G7StS5Vs
Bke0DKestiAa1I0ANNfARJxRSNDBVTP78NWY0zrhu1jzshMeJMDeUI1PHffh+XuhvaT5ti1+1sUP
iJPon4NwbCAGlOWCWYcJND7CLd7cwfKSbibgiBhTs+DP+CwsPeIj2lN56rPaCg94OB/wWanF+TtV
36XfhA8JyqqE/+Gfa5CBrpR979aOuJtYwWPBD2b00LxxMT1AeN3OSdQkQqmpUX4SwLbegEsAwR96
I0gZ4l2Z7DXGxrq/wWAJvhidUMYBbI7aWFnbRmolcdkpkLNLfBJ1pEHpi8+se9LMu19rjT4c6FTj
6jcrbN2Oq66rZozEJD/1zYcs98Twtr2FfZXa3z5L2/gMvX2iX2plp4U55MTAcvJ4VWn0CtjpEAgB
0oB8wYxvpznJx1biQ7Xm5VNpF7v8KXHlo3oUN5Hrb6DjcjS+B6f+oqw8R7Yq03BVRjyhKyJ39imv
UvRhKFM0qZwytSZdjbfikPidBT1H/HHQQhFK5c/GmEFG12PY/rqH3tyFqbFTB1JV+NmACC6fRDNz
CyfepKtmm63Rg+oM22EdrnxXdaK1/6y44lE6gBrNgVj6KlmxAMH3R+P8JTNMYX7DB7SE8re+5CcI
UmMWVGEvFx+yuMGlCdSBrsKtpPzUKE4/sKibaBza19SD9hmP52iiQEGKSlZLtSiGMiyVE/SSPws0
Z1np3t9B/OPgkfw5WT32tPuVRqKBPBIJDrKcuY5y6+r8qKt1K3Lq6T159r/LGaTmifpc7HFVmyKL
Z6Rxd9Fqxs2grgeCDMDcAFy4tRaj/Bb7SWycRMNuOzfhtqVsjugRYfHN3W/h2RJkG9GJM6dv9A6q
u7JGQT4xTt2623Zv2bnci988p9/p6/g5WtV2sMt+yyy0yeL4rqxS+yYeE5TUPVgdg0/vyPWfQD6Q
ZqUFFSvuz790s0uo8VG7JG0rvx5qzGRRWV7+BsVtZV2qpD1V/A50Lcb4KgbfA0WGu66hWRmDlfex
59zdeXDVnl9U0WWvQPuBvnF7BR9pozR4p1Yh4Vraxqbvr57Ul8dWFoZ5Y0W8dRgh8Yq0n3rvlBLn
zXz82/f7mxoCdfHU25zj+RE/3j6NCtGeL/3Ba0lBRCwZw9T8U9RyAWGFUA7VG0gx0S1hZRKJA9dL
3ok/AmTL/TSc7Ox94104fhSa3ptxmBiQS7qREJJPuEeAnwUUmgD8gZTmduq8kfflVhH8M7f2t2Fn
DVvDsIdN6pzbNf+j2utP+ZtisZoBliYVPeeoYgJdjFs9DcxR+lKZAjkIzlDzxm2lNvuISFBgkkhl
l07NOCkXvBBII7xKIGCiN+Qrc7zKyqBuZZR9FgbnbNeutJT0EqmfPehtMgp1d6kHVg5p1tx4rgEs
rVAZrwqR1nDi4hiXBjwG/Mq788g1BOIujF11f88FvwgejoCumY99BObbVatyD7jQOkjO6AnRV+rv
iifBW/DG4TTYhU7wW/k1MPg57qaQskhtsUH0fGgn+8lZ+Jmhe+dtAtsqui1Jx5JiuAuOlCHKIeV+
KH3ex9BCnwxEOWk1FGPWjzfaXbygbFCZ2yh2WiLgiDl3M8Eeq1LFXJ3Z/JW7DXhEKSMJPx9c8qfa
jCztKVbX7bsFjgpoHwLFziKOv68QUyOiAn3nSZ5fTzDZ2z/6l0Q08Yh5tPVm45m/jp7ECFR3GT1l
bV7DqwEafDeBxBTWSrhfQrxD1DrI9qa9cZBZr8xLtvAAjDwXT6R4U6QmUxBboxRqEWuVEzQTcyix
gF7d1NdcT4AVfuwYdzVARCPkAl84MhR2aLanYJDiqcd781nngui5jfraAoMlSyXp3sURGvC0Ihuz
LTRM305fwDdc2QeZfI5Tq1NsBZfCbZMfJvn4eDT3bg47uO7hNEHWBmKRWzuyMiZJxLXyGbBnoUEH
GWeG+rfHNu5TQ/nWCLU+aTrJZdkP8vk9/oA7hKfASd6yV/Vn9xG/PbZ1f+H5sgWWpZktALkhZSvj
RWgcC5N8bpwh/i5/zzqCi7Uh/Uy9Qxy7Cgh1knjbp6aKmrdwFEWfVOABdA2FqKDP3CUs9erFlYSc
8/9/ELXtemh3RWMiyOfyNR3tvIhIBD7ARHR4yWWMfXaKm9xgHjsgwnOXwozhnQP01Z6TiqlFK4wi
n7e9+W4Qf/1dtieIoQRWaA7mt/ry8fE5knNLJMaeuI/8t4bnDXpl2C/VLG4CST7rL4AP6Vb04bsB
IyDf32duRgdy91sjPGjBNG0SYWRfnAv3h+fGK2PDucYKRHXO46m8LxRRxqjTEy8AKM8i6z131ZpH
YehZO0k+WZFmE+5U4h+6J9WzONY8Lu+Uv1bwbttDjdiY+AgTGb9K4CKTzdAWjtqe26Ogaj8e4l0i
Qo2QOkQNSA0IEaLC2SqPbvfKMUos91kj9ftUZNGEoY0bD34vHtPSjEQrOIyp1U6mTzS7xq5MLVAw
/5xGG+paj4e2NI04DCB1iCI4oBC0zkEhcT3edAPlXO3A1Lr1do3tPcNPVvV2XP07W19p7JXvR0ae
lqriyWd+Newii/w8KGZl5zuWCD3dkggYC0pkfwb1NegrQ3UQTjIXagjV5+riSA1ptvw3+ZBta6u1
dCKZ1UtgG+A0OqDflDHIu1sHZXuOPFe2OyiZjHJqyOcqsP2tdziQacV9h1jfJ7j7g7nB9bHBhYBy
M1bKOUvgOKG/iElVyOTwdrc2VhWJrcdGFjKi2xmlXDQtIGxcDpx87s3IzQ7l3ofuhlVhQiWzewk2
7VvNCGILh8HNuKjTCY1NVeaVcEx9lZPdYDP29PzBNweAMldvkQPxQClDiXOe1qtlkuNmkIZIVs8B
FCmE4s1PWLt6Xug7CwB6zzJ5oHGgezJCI0nnG6J2Lt75T82JImxmriajkyAVt2MrYGXKd56gSHhk
AQZkxqYBREwNqQpzJQ0lwb/UYPS6VDlKhRU2t5kFWuToFZAOUBGWT50RsILxXYCcLSPXQ+8feCOg
tX07mYEEzv8pHfyLlrs6brolUteeKcw3n1q3EzpbQWkYHKW45tLppOf5QRFFGJ9SBo4Ugp40hPQ5
gAcruZ5cVYutZCU0rEatpVkFXBIvkqglyKCavR2bBGBNoyL3uQAwZE7qHq9mJlRiCfgAheinlEyM
/Xzn93gsR31nrn8iHEPT+dZeI0lBBcbw4DJueNvf+K5g94wL/H29YLYB70cBcpatot/+Um4IjbCT
g0vgypthN2xVt97JTmQzYX4LnnFjiZo9TyohDysrwaVyuDW3Rtf1ptxX69gsbG8tHENX2ESbioUN
uE+AqAFSkxjzUdj2E8z2m+AQrmUzOwjHb9FT6eoOS5qNOZuU92dBO3EcoLWX+OkCkV35PJmYy325
ZokmMIdFxcRS5H0v9jAsbq2vNMffeL9w4dkINr8O9iyq40VHvHKSeWmvImSf6lKQZBhW+PQsvGUf
aMldPz5V7i6jX6sE2ibsLODwaKqCTEIjXcxLwQWM1La68dfDWlp5z6iDPLZznw/AEF7KAK/5ksCm
/R1F/1yN1Sq85PbkiOZkJZay7baqFbuTKUHhIIcucU/a9SvD8H3IksHRiAc0dWayRfC6ncM2h/yG
V4jRl/v7JwUvKcmntpK3kfkvLVGrJQ8CaFQ6WGqszp2I5xT2m2TX25xxbt5nAuggvR7S7DZXbhH0
eehN85AkXJuevneHnw7Yq/ejE5z8b3gYYx2jrCmkTrVijCauaGBvRKTiTM1undZCRVVgXAkXtjEG
BlJNUEmhRwwd1LcDC5NULtFKH11Q1sTzuiU86c+CHZDyLJ8eL9YXwPj2JLs1RV0C83DSEkBuoktp
V7vEKc3E+t45KUnXoT2s+4KMB/FZfy5dxeTXmjuehp+/0CbG6pZlfYdK3ROjFOdt2eA7+k3iCtgZ
zQ5tzznhIXOaOb7tr0K3d9r32E1eoydjJZmNCYIel+lU98fEzYSo1B0y0EsdGSY+pLAaqwYK3ORO
zdvPbxGp9tUqdDzbs6O/DeiCJ0vozZ9RwNB7V6ktE6ciNJd6eFbnAN0AMhDoVUyeqVv8c7lrPjZm
dCz25ZvA0my+D6y3dqkdlCbZXMyCXf9D3ghbUcB7Ms9wsfvQemuDcuahCEIdvQXzruHIRH6olndO
HdYRMYcv2o8hGAr9HgWgbGSzt1uGE0NQeDQytoyCVtHDqPzyRlbwpqlMoJaAoVwZoY7XwhOKqh1h
hF/JG2/Fb/qvN/naCQGwaFfeql5Va2Ez2SDMd3Ird/o1q1x0f1mQ0eUhoeYHmjmo8lGeMhqNL4VJ
nVzUbCSD1JGYRWk9rwc9k9cWKJ9I2iiC6HqVXDo9hp72UwomNpC4czGRupPUMJlXluwB1wcmGlHj
eZV+MYLsRtTWihxfauk4tGbDAWpn+/2Jk9A6L9gKIAheyrt5K64qxYnQVZ7JrZWjrbzYqUFOitx5
HBOXXAk3iJlLAh2WKk+5UiWmLbaiiCn2IH2N+upkpUkC7cqu+nhs6b7kAYfCM/h8MQNhJJzr1mv7
CfSeal+kl/azfhK2qbnz3fKn8BLtWYwvi4cl0K8g4cDTINimqfS3iKMGYgplepmSaRShcu8Xv+W+
DTmzDbj8t9Y00KwItGbaocW8fh/FYVTNxPf6vSo0uQgomxHholNzyc9aUdtyxZiKeai0211/HzUV
oRqNvl826SXOt0M27gwPDWETaGmg8Somv3KcCTJ4V0e/tKSXYAAQo2dU1Ze2lqGCAQMQYVBY0jhh
hQ+5Pp2S9FLoysYYujNXy6wHvgUbBrIvoHokPEbcCVwUadr6qAOnFx3akCugjHxoJnQGw4OXFttA
5+4MIULQQt/8rV/NDaqyMqXZpbI6a7IEpLO6q1oyIOrGBg/ea5WB7Lh/GkPoBQmgLEt4dBbRMHNr
MRNSmROFLLvUpET907cN82B/FKu1dmAlmEtzCI4k8IkBIIUDc/77q7RP0bqyaLwcGDDzwKqvLs/c
1Y9T4zC8QcvGqsguXt32zwZXie/KGFVHrmhbM5hXlggztTYRB62ATxa1EBARwFjJHFTUBFaNngqJ
WRfJjAUPDHBePd4o928l4AoCKALlGsDEgNGnvrDxtNEHOUt34Qtz7v8MqrA3y+lY+r+byOkBhzJO
fedGYnjmAoOUbWCN9cVvA9A9r3zPkjjbkIBzKKFDx9jEXwCe202Mb0MVC6/lwCKio+12afiJLxOV
q/oLV65LX3AK70cLlr4ignBSb3oTKJdqO1ZKkmpOyIWu1wG3BX6DFNoruZm+D8Z7w+0AW8kTR1Xs
IF0nwWcLGjz9GSJQNv51W+0jkDJ2AJmDbDIYTBWcYHlhc6ho8XjUK9452amVfVnUFu/9zPjcDp7C
32m3quIfavRu9KQGHP7xmtwfYaBRk7Ea6CNEGwAdWxFEmwj9//0lBRqBZGqn2nyb8I4chZ+1DNaV
TtR/dS0X24/tfp321HyjGCqh8QDlINT1qLMaAqlqCD1egAGHN08Z3IF3oMmTZ6cxP/HhQdJI6L0a
w2vIIV8OSGEIdvEs/VBdkduAafwcaVak62b0NIxm4ZuK8BzUQHK68lbWHUW1hP0YahY6ZLURHZ/h
QQSRJOjbiooM+1xddaFZSi/Gb5HFa3MPt52ZFjEs8D6D71+nIc2ZUveaV3H9hY8DAHwhcyw/G/K6
Vk0NfNfTvi2h8xpa2lEx1a3in1VtX1YD0aKV/pTOvAssrKs0h0x6qq+/iHLtoZKHeAy8/tKF0MB0
+tKJy0NsmLXfmFApXI3qDko4eBXJd6qrBh9QCA9IxR0gl5E271xnoWfb09dwxv0Y2JNmiSmYlnCs
WgKAy946TqC3pJpjs/WtJjg8dpT7RAPwekFEyRCUzCDeoN87Ygg+DZM4xBeFWN5ojwNurvZ5JMoh
YNxl5vBzM0+UJer+FItaKINfLb6Akl1xB0UQzGoCA04Pkn3Gtru7WcymgKv6UnHCQUcdBKWnd0k5
TfElJuBNgbYgYDLVSFh35LvzZjYDEWRUlvE2Bfav26BW622UAIENM9ACMJEhtaaoN6xT7atmTE8c
QgeWScO7rEbfYARDLFJNrPNLXQ3cOvPlXDQLPvTilVCquWLmo4ZenqSRq9WUtGDvT2Swi5t9PMag
EC95YJ84sDUXZibqymhm3gg2cS/QemC/irCOVlHbdv5TyHFBQAa07AhEkjzxXBaSAddUAHA3U3WE
LHvRThAN4YO4R5StPAMFqUDtPxIDNPtOO2WBBCUfrvse5lHJmXw1ahwjsN0fw5hzadZsR5sTsOU0
9wQvV1mfGkJyGZzGLZ8kq14FTognuujpQ14nA0QzGTvkLv+kLFKrDDqpbup8ZP3g4NvtQ2mT9mbo
IsBNTmNylndi4osXLGKQUC1APR/qfzRapB0rqLABEIV7xlPj9LUDdHGP0p9Td3aTvcrb+leAVgbk
wYyh3tWxcEajlRndDFCHAY8MlUEIhe6NQpiml9rWiLzZB6bqNvZ4sR7bmQ8fyqFvzFAzmmjBmDYt
8unWTF++nT9ZgLL7Mhk1Dur0q40iSPwCBryVtm3I7kmyI2L+fUgjZYYqYPBaNxVFPY/DLkmEMKOT
pwCADPPxdN2n0JQd6oRRQOpeGymWBSAYB0NyHJ/Irg5ZWm0TEVaD29KRAH4KkGnjNjgj3ano2VW8
XoXSbM7q7cYVf9cW6V7BCvn26/HA7rKjeVxXhih3C4YpGvsiTC/vJZm20Hq0U4fhavfPEbONWXcA
IFCUrOhnduRIeNwZc9hwnjFt7i7enY/MuuzSjr22It6eBJFelugpgxWUHQTiCGv0dwJa8vJSmJ+M
y+jSpM2cEGhTAzcS3iRuTQ2CHidC6GcXLiDv+WCCmsIn6/XjlVk4QFHdQ4sLjwdTcA1T48krQypl
qcVNinjfpefM7QjfrMyaIQmxuFGv7czzenVja5H6clwGO++TR4w98S9NQjZnndUGvjRp13Yol84T
aZCMEHa8o2jWpvqMBxWb4Wp3eSA87doG5c1yGbRtoTbZZespBH1dv4aMcYta3JnXJqi4xkHqpTPa
GtOVuOKKNzmb+y6ZZ9bT6zwbdHy+NjPP5tWq8FMjKaGAkUSuunGq3dyk6GrVSc7IOXhhFU+XToNr
a5RDC0InGGONQaEb4SMOifnJWJh54h8MhxbFSFAsVCsVN/fGla1ow/j1xeh89f10N1CRyToKa/h5
dTOzwtsqearM9a/RlEj59nhbshyALolqlep3VVBml9FEwgkNa84sLSjUoVeGWRdcSgaux0XtTWPg
uy7vqnldkAg4YkRiJ3Q4i+FtjK1JF22iXh24aoKzNdZw7hDOKjO0fNYisXyA2px5Moz9GGPiys/I
kd3fxtZFU6Zix+dxLW5FXK1eHy8Va1hUjtNHnOIXIwxa4el3utusWUNibBuDigW5l/CexMPAu2wK
a/kn9Jbcx0NgWaDCQF+UXDvx2Jj6fjs5A8Flm7X3GecMfZgFkI1MYgWL34Odo1xV9gZXdMI4MRdz
gD+ejA6623g2tgknatCKgiePZrcryfirdzZr3eTcX4+njBEM7gh7Kh9ad5WETWMFZmQcd/YLz5Oe
yG91QDKT1eXCOD/vbwrgfBZ4bg5tjqXowAYXH6mVbAqTNYVLCc71FFLBAOLxgucXX8FAIZ2lm5Uz
Wcq62spo8DXNxGTM41wM+N8xG108t0vm17qcV9K8fWLyXdpGlmrtXuJn1iZ6fGajrffWTOOVUd+M
mD+UDWW3dnmyZgzkcRSVaQVfvucHMazge7ioNmf9EGxN29S1f3Jzu14fKhpkRd30HOg/LvwnIbUz
mWaAiwErij6OCKCwu52uLpOEbFSRRvUmnjl1Ewjg58AMTZl0Hxnup9pnuwOxtM260C3bndGQqFSh
CYAKprEPOj5UJxC97cra1yQNCSNcLweiPxao+Ush+s3zeZJdhHN+4sxmI+GhNlo9dgbWMKjpE0ql
r3hwQCCr/o5SvLOWDv/OAJVK8eoQomoCA+lEEpIR/Wf08tjC/4g4f00UDccwWrTLjCNM7HvdUs3p
yZYye2OOfxsy/JVN/7EzB4irHNQLOuRVoC9EjYB/BQHw80tiM/YmY81p6kL4mi6XDbyqNw3CocNt
sDfFnmHkf6RsfwZCRc6o6JSx0iKEGEdfpcA/cyRe1Vb0lKxZ23O+ld0HzT+mqKCZ9FUqpQ2uhtFu
29oKVNFIZ36b9pm5ZlXFlgPnH1NU4BTKpusjJcSr3uY9JOqZMZR71A+1/NSOz4w6FKoWayPUG40I
oiUoRHjinvB2Q8D9SGxw51qnU/w7NLWBiMiuGAFh2dEhufnFqQQkLxURRKVTiqCdHxOJaA6uQLQ1
wEZgDzNZZ93sAXfLdmWJCgvo9myTQsGbrPi79M0KJZ2AGNZ22BfmmpFsL5VP5+fYv0ZFRQgtzZI0
7DCqEW0vvtnvPkw7WW8+XyVkKSLD92cneDAwmrIAtbEe5WAYC9zgbJbO41C0GE3/DEWmIoReGrmH
AJFdXr9PATmlP8+Pf38xPKAUOlMuzMV3allKoILBAIH01xosK12PL1FKkFk9NjL/yN0UXRmh1qMo
yqoQBuQ5+goH6eoFPR//zgItel9xaEEKfKTYwftEZLhWs+LXjPRwcaH/jEKilkIq2v9mvafVkeGx
i6t89dNUJUocQ+A4a0yQ+NqvlI1I5DVjnVkWJCzR1UlTNIURo7kVoQzYusY+e6d/OQQqLHtAuQEj
AwPJoTN7y2ZeoZdj1dUkUdEYDGn9GGhwVRDtnH7k5qG3+F1lMsbB8FX6uSsxKlAxybAyHt9/GB/I
MH/9q81Ah9zA4BqhFWEguEzreLXLnWr12MLisXU1UdSeHscmzRU8IV0S9/9I+87e2I1l2z90CTCH
r80wnKg0il8IaUtizpm//i7qvmdRLZ5pnG0YsGFse4rVXakrrPLveRIy082zpF/QZ4nSZz3Hvq5k
fifJm4fKkvZ6MNuM0GIVBRmM0KZVk/spikuoRXnySXzOTNbLfOWy0W6kKBKaNoA4Q9fZ0tLDg6KR
coQteJnn5uiQzGdJ1Fpw9IPKzOZS9zBSbhQVqNS25LwJZBtvsYkGL5eHy/e+ouM/6Mx/vqAj5GU2
8DM3eP9v5wMbWbK7ciFYYIYmF/QH4olCd9HHspQFaLHL8RJ3xATtrANrt+/vIVbM3CxJUIc1jQXQ
VjiQ8F5au3+4Kpz6vrB5S3gw4/eAMLR9xf39oEYdmVHkwtQUan5+8o4OX5oyEDQ6RD/Vx+WrYdGh
VLIS9b5J6pkOeswHIp1M78R6eLFoUFoJH8IpaoeTG011490g02ihdx5rA8+XeVnxg8szozPNcaP1
WjzTAXoyyTtmMmHFumBNGx7AaAxFOx29lsVoekHgJpxV+NDbNdG34ZZIiBfZ6r+WyPpBijoyj+uB
3yaClIIpWA2PFicwUxMSENhYcfbISvis3tA3Z18ebqGgdYTVidHMGXZvOJzZmafY+WS4l3VrsyBC
hSmi7A9tO4BITKLtfrSnE/Ik9zeXZYBJhYpYRqUxtIAHldKWN8d4D1D8e+HzfnxkEGIdGRW3DMUU
o03i68jaV8FV7+zs5fMyL7+7reYdH+r/regEviFdCs57oa96TZ6fyN4xPhXbcZeevM3Zs8JjeEQr
xOF5eBgPuYU+CPsy7a/fplzpD9pUUIPNLzo204N2GpjJe2WFVl3YnVUFm9T2Zbet9nmJSf4KK94t
tILXg9VJJm+PJjBDhuc8nbFCwj3GNOTPdKfZ5U5ykpzoFUmP+lHcxTLxP8qYVBFJ3yqJyCOJnvpD
5lu+57Z+akrHJDWI4PKvnr7hsKntUY/NYHhF12FYnZtp02V2lGyxWbBjbYtZcb5AtVAwW4mxBfT8
UAnrLssAAF4JeP0KVrHHgqL70LIuHy+LBKULnYanrWT0c05cNB318HrHGrxYi0p/cEEpgsSJ6ig2
fHbOK/JU2qIp+dguiXO8Yc32rlmrH6QoXWgbOcdWdnBT29G2SMwnoCFWZpmYc91F26YM37hi53+Q
k3+GE0YgAjM/Bbk9/4FWKOH58t2smZAfv0+JPrZWJc2EjtHzdIUqv4aOrsDMiPuQu+LtZVIrgdEP
SlRMUaJzQfIFUBo3onmsN/of998RoMIIOVaqSFKnuYjEm2/qdcVgYMUK/mCACh8Goc6zLIKqIDW8
le0qIa/uJ+O6Wboyf8PCOZV9KPZtDEEOMXPnjK09Si4r33T5ItA1+JNGFXuVmmug0X4e841sFQ8e
oxP/8kkBnPsnhViaGt3jcRPefU66c28QM7dMho9lsUHpvFeqnaCXYGPfIVF/3/+3mGQzasY/hvHX
BE4i1INU8qim5OQYksi6NeyYNYnBYoFSbqDoZ/5Qj8j78ChKJlZpdYxO2JW3wg8uKPX2uEzFFqDZ
fIQ79Ak7IqvtnGFAVLrqNMRhLXoeKHB7fnecqyaA0hqce99izb5e1g2Vp/SbR45+wmpP6F9JdGL6
6EQoXaZ9X6mi/TgxSsuLHDDQcYM7ecLbSoSX18zyoD3sGCHVZbuu0kAzGEHLpUwGM+ct9olvLltC
xknRIS6kWjaiBD/Od5YzkfQjPDYlM5nMOKkvyVjYqjxN5boPYA97U3Je5rlKlWB5POu5yzAmXyX3
BRlP1gLFyyFgCnEc/s58z22G0V2lIAJcG8sMsKLh11tH1YGP0ElQEg3dVPlElBvSvzOioLXeasxl
fFOhTHudSVPoGyIUxdWIVSduieyD0wBdF4DZOfFQ3O42PJqKcwQW8UnduA1G8dvHT/uVv9qx8qir
puf7a2gRQSweShwPnmOSv5TWM/qrGae6KoQLCpQTyMU890sPFJqGGFjnvu+hrpflfNW6LUhQLgDD
kEUmZiDxgGtTQSVn7YVkMUFFexGKQ5zcQMaTynJCoh8CLDk0GaLBkL+vSspCwpM2KMW+BxGFBB2p
8fIwrhyMxeTny8fFokM5A7nV67BscFyj+VJNjoGhCNNW7i8TYZ0YFeZVgx7WKm7lvK8ODnoTreqB
tXmZJbuUIwi7fojzHiS0K6fbRy7LsrHEamZxcR+1quVGWeM+MGg8WA3Ahe8unxGLAGUKjGxCXRv2
/zzdPSm3rcPsq141zd+K8fXYXnAgR0MQpzNEPbD3twZ5ik8DQVkz2fnOZU4YV/E1KLgg1A4SBno5
EMr+5OQKmh6+M3RcYEitSCl5zbWt2gq47dJuLMHhTQV1pczkUGgOMVPaVaZ2Y1fk7p3VDM+QZHp7
uiIH7TwDOR+iYNURedz1RHm/fH4s5uSfooYdSsVYlKARbXtbf/gjbLTN9PHv7MtXBXxxSYPeGkWm
gUhvKjlgtyzBfK5O/5IIpfeSV44JYFeg9+UDDNgp3WLoymS156xVlZdelJ42hINtxm4WOGswNhiH
7cxtcy6fYkd+28sui9xvtIX5FbBQJMoURLXX9V0N4XvqDoJqh4fjGVOI1/GA6eJhJz2Y5jBY4FOI
7U9Mj/5lZmPxAZSpiFo/UQAEMAvh0Xf9nXynkzvN0v/mxfZNhi7dyt3QZ8HsrJ/4zX78alLBJGH+
dlna1/M0CzJUTDAFWlaUHm5vgGtAH9z7q2dmG4ZOrVUvlpf2FYkt5J2HsRi1AGeGXtLexvoibPVF
GhGFpUA8RqSA9WBhxzA5owKF0As1DMfhAK0mI3lEXpFHCx0Xy0/+5RFSFiPoo3KUQxwhXqXpfbh5
fM1M7ZqVUWPYProml/Ccp6WC8tXyOxB/29n87b9khDIYGjbwpcoAEsfUdZzoPasdM3m6TGSVDQwy
zp01OhZiU+qrh0Y5VLmOSAGgzs85wONUN/wbw7egQWloEYcqJ2Cp9xmbj2Kg5Qo7+Wncs5Koq47i
m8ovj14qCgrW6hy7Rc/SDfrw52ZfjcHL+mt+QYZSUBU7UycN8dvZGs3g2iCy2RBh15zcy/fy1dFC
ZdwxNP7PxdBOHZsbdL/JQScuNpqtvXhkRh0jpg0Mze3uVJ/30ZZz9F1NNLyICgD1YqKa8QRfT+Uu
PoLS2Xnnu1qEM7NivvdvsEBIvYMPeQwIt0ktli9ZNxELcpTmTljGPnAjBGV/FDEtawnd3CQjblhs
rQZ/CzpUmB+meZ/mtTY/7VCZIE+d5e+mz8/LN8jQLHqVa5V2SYj14migyEn5sBd7gpcRhlEuU5lt
wCUxoSP9wQg8gDejJQdAQ6THKpq/ivUXh0VZiDFLg7HsZkFUiWxhuPn933FAWYdQbDDe1OP3B8yC
nDJmW8Mc/V44IdpxYwh8HGMFJ/RVpnXefDvcmq+RzUJDWJtsWGos3XgV9CKyYhwYmfsaRPNqIuj6
xbo3Zv8/Q7Jo790Nqpd7PjhKCYCfzZYENw8thoS5q+C62Fb8pkNVGGM72vnyTTEsLD37zul9Npeh
51e4ccdddWfgBThqYDFEepU9gHTMvX5oMqfPEfNnFeyrAaPTPjT7eHsfW0wrvmoBFjRmoVkEQGMf
xlzfg8Ze3WQHfidYAxkl8/Xv3pk65neBVwnoKBr9ALBZceiHYY67ekjOAFx+8EkIzBS4psuXs/rO
XBCibJrapW1d8tFMSMM+F0wHstqM1wV8QYKKR7DJeRKSKZ7bkAREp6Ndmx+DCV9uBYSVZV6VtQUt
yq4NzTBixxbOrYvNE1D98IIILYMVM6x7nAUZyrgZkz4VWgQyT5M1Ha7Vq/ZwkzPSfOvnhq2dmOKH
NGNdwU9hq7tpxCKIbG516Jz8tX9FXGrW1pgT2REtpsjNEcgvg/dNTptlfyHbdYR1YRxf5HjMTs74
AJRCcj2Z3pNgMzzc+uktKFGxUGlkRhcpoMRjI/ZVYMnYy5SCIZYwrMr2gg6lrVi52nISVkeeLaxe
4ODnuL+YfTY0dGhgIcg8ok4X+dte7uI+rSBuQJNUzTnumNPN7E72NX+9JEQdWeZ5g5p6zaym8SnE
xqyusprD20BKS/wDiagP5bkx/+aillSpA+S5xpOnEQcokekpxbuyAch8h5wQi9D8Q7TsLQlRAeMg
dNwwpm1+1pAXTJ5lsya3GZns6lTsGCnCVbVa0qKixSTi/awpcWeNgwhutIVZq5zaKmAtWEsr1szR
khZlXZWxhRCquLZuRst1McmRW4Drty7bcIElHfOfL1RXqyUDi71BpkC9c0YdBq7pFTZVQOQ7s7Gx
hcyHGWTCwrHIUsYWPbKC1hj1bKAmp9oC5NCSX2UbvcuNnZyGF+FBZe+3X1Pq5ZFSpjdO0L4cA88Q
mjDlpH0Ybc3RHOOpfw1MH4UyTTd5xU6vmaNGTMGh7HHYSYOuVGC3wiljgM0s9oCQAXZssWGCUcxC
+J8V4tdmFSlNVDGRZ8FxxBk5/eAIB9VMFZuMdyzpWQtqvk8UKNk/pQfP7IhrMCYDIU3eRdsnf3qr
3Xr7G4aUzr9ziSfKmvR90TdqAjpAIXpL7cD5aOzsJGKJBDOmZrFE2RNjigu/z0FqcmSU/7FgCIXt
DF2PzOBm/qVLTFHWROFkkQ9KXJSmR0TpO0eSPkb5xkDxMeOtCnF1Zamd2zcbo30ti+6/hq1GHhUL
U+UvHDWAG1NCmWhhWAX1ODddaqgJSXCmdoEXf2Zevr11tfuHzpdPX5gYRNwK57dfdOqX3hHsbPMX
/aOAzQRCFgDUdQw4Uaxwusw1iTbMcojZx/nOuKPyyt5iuCaH2PmqoVbPi4ZIV6X93uBqH1i3QCvg
TSeDdFwrm/vYeb98Yqv2YkmH4kcR6jHoNNABjv4frNol4XZ0jI2A4rNvsXr9vy6AFsQFNfqChlCW
U08ENSwVJm/D/s/0sGOhJYlrZmlJhDIVk9dXZTCbpR4r6lIi/cFzzlJHAiwj6+p2shy8Xq/9rSzb
w2fk7owta1vLapli+QWUEUlCXkw7Hl8wdTsl39/vb/xTS3hy6rcIu3SG1K95uCU1yo54Uxtr3ARq
ClAHkMhon5rXy1KypldLCpT9GORxgJDCqfiv6K3rAlPbXibwe+cyLMSSAhWDaOLIN0oNHipLnEFt
JitDH7hGlG1Kno7+TWgmpHeuZd8a7m3rdZeZnywrufY0X34CFZ+0nGZMvjKHXMAbiJHIFcknC9ud
RYMKRrQwxS6XOdRqH7aF3divvsViYzWvueSDij3KOmtGXfkSBw3bT8/oIrY9q0O3yT2/N64vXxyL
Icp8BAkv5OlsPqQrZyYzmCMKH5dpzL9xwWjQye/Gz716bOAnkQgSX2WSYnUbditYl6kwZJyuZYvj
JIZDCCo9xA7gzlNgnj4vk2AxQpmFTB5qneNwWFaIYJfE5mTG6Jhi9RWu2gPgReoqoAtlhX6SG1Eh
5HnH5+cXyZm28bXsXmbj92rrWVm/CdCP8ILDMuewnMBHFtiOulPNASAQERFzUsGrn7LKZK5LWzXq
C5qUUY+kxI+0En4XiPBmTlQMa8/RrWp1Ju+Y5dW/5ZG6K7HMiypOcYiI32WTw1JE8T5xYlM9d+Zr
YHNbfh5w7TYMKVz3kADXF0XosCTRwt71hQSwTQFph01nRc+1GfAkP++igVn/WAs/AW37DyXqRDkZ
xmiUQEkRIfGNo5DjkFvTphWZ40QsUtRh9pqaD0Igzh7Kiaz4eNgBQp9dhZ1/5pehWHBEOULA+YZ6
KuHO6thFuhi7n2Ui/xFss58clnywaFEuEQFtVkQJWJqcDojjUQBIOcmsr25CjKiwckSrNe3lXVHu
se6VLAWSJkZ9gMAk2enBqJAIaDbzqwQtg/vcRbnMDDaXFX3VXi3Ok/KIQGUdcr4DVUnf1PVD0V7r
zUa555N7vnVSnlymtlp9RLoS+76AuYzkOHWkcaHxHB9LeKVcbR202/XHw4Dusb+p2C7JUGeJFXgF
oA3l+W1ukFYmwr54Ud9Yejxrz29Z/GaGOru4AXS84IMZ9PSVJHiah0EPHtEegG54+dzWb+mbEhVT
tFj5O9UGHj28ndofCTnMT0hWjMm8nDkQWDytKqNo/XK+HCs5HDMLCPvw9JLNUqt13/XNzMzsgkzg
aTKnBiCTXVvOYLV2fV9u+bvhtSeRWVktI309f/WFW6LrZ1yClRO5By1+mjJSnAp0d2ZMjKkvm/2L
iowd5gAhnddMz+ZxwZTAAXw0KCFxM5Se4DyFlvnQhmbsSm7giGd05m+728T2WEK4KhkLupSFR/uD
rBYJ6FaoaLyU99fl9c1l2Vs9vwUFyrAX6GKMlBoU9t4Rw4cm7Drjhlg8UDZ9xNJ7lMtAAVtXUtc/
DR7g4a762vX7v5neRYr8+54oA6RklT+WPGhhgM8SbnmSbW5Y04azdfkpCwDxxng1ANAVrMegk/Gy
7DdJbsjt2dqy3Oz8eZd++ud1X77Y39Hwz8+kLlaZ2jHwJ6kFokrtpMfeMVkFV9ZBUBfbAwK692Uc
xNvtNasvlfXb1EWqQ5OqrYbfTk3mnrCV99XPo6H9h29wLcC027Nk3dYW4Hrsgw/ne/d+93D5DlZm
Bn5SonxIAUvIdfMRxWQL1OKe7GEw7lSLOObdbbbZv1jQN9uyMXpoMzoCvwrRl4SJ8ioeJirjqoMA
HJ2X/j681+3U/AD49NHqrm4DC+vet6Yb3tlma925p9TyTN8xtu+XT4B1j5TTwdbYiO8qfIRzi9wo
w2/+djU/T5dyNW2nj/yo48cH8sHS8pW02vLHf03Z6a2i1L6vtOeH2OZO6aZ4Swgw3KN7i2NtULus
9vS43b85cOy7/OmpRMGbKkWcD/yacZWsr6TUveRqzwtLyPK//uWZ8sK7dlMrGd5sqoAdzWrsvCyA
Kg3bOHJ8GvYjvlohhDCy4it5yp8yQql3FqdNaMwyAvT729qwxfz+JrltHKSUrcP7oQVu6Lg/SA+N
YmrH4C0YSHSIWFD8X712/1nRf83V9YI3avqsY1hmbUokxtZF5zDntWuSuaXzdD+SjWt//ktxoDR7
1LSs43gc7EBMxk9LLFGjFHso0PgZq/htPMriksQ3+WZnXx1GcmtaNy05uK/m+127NzfWjO22kyKr
ZMWxjE+g8tyXdfL3uiX9h5x8heYLAQ8DAeMcE/jZv7QEFe7Ico7etiIisT+wBeAyNezZuxhGqF+m
bUGuF41J6xOIZUm2lkG2g8W9xeQ9Rsm0djmyrRyMFaYkL4ksW/HpiAYZZcvZ28DZb0ekt0WfSG9X
yumpycxW3J8HgPpjW25qHxXC+6S0/cJ2J7fdPNWbK523pT/qjYDtbhsZK3w3xkHCPj0S6CTE8slh
VwLZguhH4RaoIMQP0JaabNuENNfqp4Auyi3gF/AfTFa4H7CpE6u/Nsnh8VOKUKLXT5Ul3NWZFV13
HlZ43GaHorHzB83JzQafy/3RX5XoqyMiyki/kRzsFq3N/OAhuZRuBOz7OF7nM17ax5HfNs6mcD4M
omDCdYuKmcnvSvvYg2gYu4MVtahpI6WhvPH2tB+uStLdXel2YCKRjU1kqhlYhRPp5GlbEiyYhjfL
zeEKPbwO15Cto2wgqUZq4jlqAjZYIq+HjQssiFttE9q2ZiMjfTRu/H2RoYxxo+9SG9CevVOgdJ68
KdigN5HRGgTT+ND24lZuiJKi4nu6Dqx8IFs1nPum1D0SdDcN1mv2nvWuYDpDJ2VvHl75t3Szeyz3
p9JSHq7Ezu7IHdanZVYKvCdpy1k33q64185KQYC4CkhjLA2yOYTGGwAOC6hrqKeut0aXt7ft7j5/
S2tT2QSWqbfAjQkd7QTfZzemVgDJC3NtaNGAjGCZQDwhe+dt7cK964kETNzs8723xCv3/b5/VCRC
gp2l7satfouBix26ZV1Sfag92exUCP/EkeZokgyRhynDdP3BiqazJhGnwuqK6EMzjW10QqvLFbHv
KpLYpRVbQPrqsOP4sTM77HHaxdZnKwAGyq3IdicdzenmFDo8EW6r+wAW8IzAF/fRnU5b/M9OT4oB
h4bMVYdvsXwTp++q7ycFnUGmjh/FSXDmU2Blb9PGATp7hn8V7H1KHOxaeuRQ7H/37PytB8R1guZc
mfRWWNhGYp/cRzP5kDdX+f7UmuAUgBIaSsKbEPtRzsXGuBaEfUJaK77/gJcbIfkH7wDw2OL4jkFR
IhfknXdFUruT5uw2yS4nt8a7n5HgM7TGJ8+5166xsrq4b1Fz3eUYObagaDwZbOTrXSJtdlsuszwf
UhnYrZkdUfDemMr7a2wCPVa6nWF/dq1V1yZxE4Kj/YNMKLc9JQ0Zr+p9YlcxIe7WLgESb1iYmfZt
8ZpDvBNfFcQdTQ9n8wlbBTxS0uzv35/Sq4fUGW6CY/RqZYMzuTyUoU2OOxX8XzZoa25WAZCRrMmS
jCFf2nyqQaRxXOh16MGVHKj+QF7C09yQkVhNSvQr1Zlh4I0trmoXou+b4Y6Y9KmYSphqqUpkowN8
pJCawj48n50QePqtg96h63xbIHKWrg2Y0ezIeEF88UY59x+8U1GXmgYRn+mgXY7k5WwAxSA0PYIs
pXv5kFeaezCBsDjk2SEunAbP+xrGwbnu/GSF9hGoN9KpfIKyKFjnq7FrXL+zaz/JUW8wX2+SSa1w
p0VBHp+Fh4jsBQcKwGJrJf4DWxJWqkiipAKi7idbYtEFYuf5/dkgqPZnvAMLiVH6/Bq97hHwsMpr
JoLcSgVg5u2bJnWUcRm1qa+DJpDdswBuELtdQuezZ/DGClF+snb5+lm/RX3yIOVi1BWIUKxbxlf+
Tv/8jH2oiw78Wqiwzm0OwA0S28pJAXB/T3IGGZFFh4rFAUGWc3UCOk8OANUIOV5x5svx7NtwdcTF
sqWHvc2TuweXha+4ImGLfJD6VWtbKI4f16WQzq8XFLNYrxdWJEwPQGn6UPTc/Hx52HeOE1jnCH0k
GXk8IwBxbolrb5XN7iEgJqDi30dz51usdpmvHnDKAv3gjwrGPVlMymYAf0+Wdbx9v7pyS/KM0NLZ
5yS10UTpOJDz3Nx3e8/Cqingv/nEmlAcNT83N4Np39k7eX8H10CuQ+v2E856u/twP048PNSjRI7H
ACGYq9uXJfprkvTCd9N1OM7oagA2IAoWnCvPOm6PVo9PfXEUt8azAcNqqSORAzYY5lesCj5Dm77e
AwuRiCYBy6jntE9q2ixxk3+X4n4oFD16pfZBNpTzY8I6++S4nU96Y9pvZ7TEBARhWma1lvUe4i04
IqczR2uKZSK0UgmeTozc7heM/6VD/mmD/kcq1ISLRXwM9i5Y26fbR/9G3j5tjta2NPXrhtjuxiR3
+CcmZ9BWoNo2PtDcuHdYsgmYDJclrQxlpCtQXKDpajdfOhAVWa545oXm1UD6X8KyVIxM/HIlwein
TYqluXiwVALCoP5JdzEmyln1nnXLa9ZsSYuyx0qAvjJA2nWwmqHduX88cjff5WUVWQsusKr6myPK
No9emMaDqgDhyTzGt2+pmbximoGJAL8CAQBvuKBD2WYj0evcUEBHw4Ovt1+ktworQYB2mwG4nENL
PracEvv+s3IuM8g6RSoF2tYRKrzJ1ynytv+iwffcaT1hNcWxyOg/Y4wgMsYpLMCelXhESon3J4VQ
JNDAy+ysZnowqIMdoqLxtXzxJyEl0OLcG3TEaEcBw1vwB5XL4cUZoDmowisitXynd7Vt8jEjLJQM
ZV+rKCypU7ouFFIxhuVMvb29rbeZ/X6ZvdWU65IAJfRjUldCLYGAkDrpaOWaLXrms7/la9t4GD0L
V8daXPQfaAIfUhM1AbvOqbvjJy/mRgNKfTQAT6TuIiTGG3uyzez+r7j7pkT5UQ7bWlspAneW9xBN
Vm3h8RpbrcvjwjhGZnI1BTRP5/4/tmjnBwjxrOpCsFVYCumxc1Ig3pbHpBIg/DWgEhEGc2tOaUnv
Z+Xqf2J5mPxUAHPJ8+Qqp40pohAb7Py7y3TWnmKwJN980U8xL6g9OcRzCImU3JUtqXM4u9ijlULc
p1jQlRw9xBV41+8i1NDVU6kRllFZC+9/fAOlBwG2v9TBfJEjEkax3bj6QbDvyrd/faiUPngRx2E6
HZc4YocO5kewSse5109/Mck/m+fvQ6XcQCSKpdGNXwzNKHYpgBZ6B9u1NkyOZm367UK/KVGOIFR1
eUwGcDTvCzUAndVhPB3Tc6d5es5DrBQhTxFioJJJmSWglCvIeK4yDGHWcwfQldeqxW18UBSuLwvo
uiv4ZpAyJ5EcZFzg4+mXYmYk3iTAXH4Nmd1E4ixil86RsiWtpBtYuYQbk296ZFSx89cEgDAKjAUC
W8P0nBBQo5sO1nOXHLmtf1W7rH4+xlXSjRcJV6eiJ8O3jmZ937bAjFH9wlIDu/M+/+szBb6tKosi
Ai+A3FJXl/ZjUeUcmO2cpxogYRUmD+5YvnU9/7GgQt2c2hrT5GMb+PnBIIEZD2QAYqtPaktEk0xi
h45/N74xqa5c5A/eqIuU00SSUxli2TlfMSXeqoKNXKSzY27eWLmwBalfsz61J4Z+OeteSnjMxiq2
aN2xWnAlFhHKDwiqWvo+QB4xXGHss+cMebLGle3yxridbhJ9HmFGv5tZIFDJ3c/qRnQPsN4Z2d0j
R2pZGEG1gF5j8a7BbLJfi0J/HADtO/J0zLL5hnHWvG6WpoFenjfvcP1R7B8LdAAS1R0Jtx09VNEu
i/Caz1AENIMaMoZnsP6dop0pvB9HEezCaGIW0DscXgtmePg14U5ZhR9EKMeU9lGPflAQKe30ZJzk
q/be36nbcqPY4U2Mmd7ZJ54y290PSIV/tmjI+sxuOKTQyYhBC1byYu158eN7KP9lxMpQ1hq+p3KO
os3LZDPY3alBgxZrvJx5vpQLSzmtaNUapCxvrsPEwEC+vzOeWS+mFfP+gyPKf/Hot02UAGSOb/7u
WofI9ES1L8vKqgotRIUyd2Jb8qU8gkZx7R0qW3Zu8IZnhPIsPihjF6tC5PMNsq/H6Dq0/3CbCk+w
v/G5P06LMm4Y4xGjigcnpV3bud3aaMKGe0/ZC5XXwvglKbqhPfGFQYHj7c+YUSbaXtr7KLmdcqe5
L44svtaSHj+IUUbOmNALLXM4PeFKeOJhSI5bDdVPwXIwbPgi78ajv0ssFfbEem63ZvaquLnJmQdb
kglMm0fMcrsLjhLqUCiC2Z5z2rnd82UpWkt//fhI2uIEnVgk84noA4YVHkMJxS/MOmu9k3duoG5a
ieSSFVYbYMZHwlU4kkkxg8mseDNJbS9C8QiN82NhR4EVTbuquKnLDV/cMT5z/owLNkujbFaEk1Sb
BmUH3vR2yqO/H74qnxub3wMg2I2IiQN6ey8BiBI6Dwzi66qmahKGLGRsr6EuclDVUckDXORo9q9P
qFX2pEHBPLPCXX9MdNT3JrOYiB2e5St4rhZ/GpN+b1iFxfiSmdKvY8AOWBVhji7+WpfJi5zkc9gs
icA46pAoF1AGR/X2o9xeD26IUaZn1N7uIiLvMQVnsYaa1i31d/GHpyx1JlWeEXR4VkmtGX9g8Wi6
hZLeMbhctToLKpSR9uNCFTIfx82b1Ttnxs/IyrNwcdc9wYIIZaITQEKJegQiiCQeVAzphHgN9mee
3Fy+spVsyLJeRqNZt3zJV3IBOsAcvhXvJLwA3csU1o3aghXKSk9VqqfNLJ5wat3Vx3Pi5hYjtmYe
F2WjJQWjvVUGGiM2Zwhuse929bsZbVh7EFZV7ZuXr+9YpMT9oEPN7EvCIN3DlrtVnQ45qssntm70
FE2SVSTIZORooWYLKqHMh1lbxD3SpsAW8R6M2JT26BVBWK07iWs+z+8xEd1ZMrIEykO1eWeI+HqQ
ufgCSsblIPGbSQr689OQEUAJ+rtub6BzYR6riwi/z476CTiU2LycbZiviVVjuiBOyf5oSDI3xCA+
tBjS3mbEO9iks22G0V5ra0X/s6YqMhafGoZMMRlGQSsFStVDx2R0KnQh7hRgGuaQYRfbMXTlXUmU
yWoe24jUZ2wR3BclzBYfASxSfYzv8He3YHWNrVqXxUdRzKPUo01q0iFuws6mJDbl8z0A/+vHyyK2
rjC6IGHARZAl4WsXzULEsGsmCxMsEDmPuwmVpGfznllomI/vlzPQ4QZ4XsW0Ab3q3MNShCHwhpmT
7El92cs3yZW6HW6HlGTY1ftyw2qkXcsnKBiJl3CdyAPJGnWhOebXFc5L+nP4GT/Me2fnzHJoHpzH
PydUcXyiHYWbCX03d8GmiAjjSGcfT/MLUFHUIXRRVSSJinjHnM+HiE97mNIR8xXVObaBWXngsbx1
2NyxJpWF2QhcIkeZ1TAXilCPyx5wM9gNUZ6cARD+HrqvTG6jsODQvmp9v6iJ2KugaBrUhR4X8LOq
LzMd8lJZgxOdm9T0NVMFtcS1zcPz84RgMH/mMRH9zjjWNTESF5Sp6KbxJi8Pu7r/P1h8dFQd5swG
VuC+i45ISmT4GC5xTQOXBKmQ0x8lL+dasBp45CgdEqIkhHcalpFfs3IQVUPStFlqVEpcuniakgoA
4uhm04mEdYBlZtbyTVpghzH/OuiOyhkmRu1MA1hP+clLnlPOHbXXKBBJV+xyAe2NWdcRNXeFAMP8
POMDV2b9FLRYf38gJWC1mIdSMWsTVElz4p1P/OOHB8iMZ9/k3aRkw36uBSNLipQXV6Osk3QfJy8B
+a7cJTWsci3NXYic96Sq29N0NFAQCswOMT7wKJiotmvxqwibyBuqaiiqRn1AEHKSNkb4AAV4lYdb
A0MFg3nimHncdUv1TUif87wL86v31Tg1s4w9ANkdQ1FPMZFtw8nuBGCX72RIgnV6FfeF2WYk2hnX
zZGV41qrwuF6/+GVfjVIndjFfIlP2M945t22/yiPxWO2nzbp9hVTpFhv79qR7UYb78RKJK2FUaKs
qpiuFDTxFyDulHhikhQjntTlnDVDrx+zn2VlOBziu6BB3aWsJ+jBy0Hj2FxnsTnnUnYIXDb3yEsS
tNBwFivlsa4x3yTpcpUnlEU/9lOPQrSyT/EKm5tl7WsAtgdHzhK25Ruz8LfqdBYkKevoeXExehGc
rDWvNatvsLEbmGMYNYbUsMFgVqkpEpakKqpsyDp1pvyUdNhSIsOlb52QNzML8EfqVX9oXqLdyEju
rL7mkCv//8Rol+O1KfBTahB70JBrQW1YwPomEcBECSsSXM2aL0lRp6iGSQysWrE/e5vmHQBSwUnU
tnXu4K/SDlCOG+6VzYS0Y98yKi1rJU6s5/3mkvI2RpuMap+CdONo5CoS7aYh6JNIbhr0ZKArnBUk
rUZ+S4LzHS9MT5qVaYx9JXOOKRL+l7Qva44b57n+RaqiJIqkbqXeLTvxlkl8o8piS6L2ffn135Gn
3kk3o69V8XMxc+OZhkCCIAgcHCDFCAcHmjVHA3TxIze3xeaBfqbgBlNC2RhvsjG1rTkABJUJ4FTz
G2JwfxqbQ7hdxxUsPjQRKFADbzD8YynWacZM08BAA68ymAACi1brJodU8fSJpZiB7HRtbjebIuUg
Ie38MiqdJqn0CoMQRcu2fms0b6bG9Z/Xl+F9AvIfoRNabsU8htk23iF/ZwtOpljL9T4enhI82air
t19H45SYztD2jh3mOwFOmeSFgIBVR2eNeJDTzzZ2SvM+QYko+Wp9txNg2q3yR6LfG5ljjP8gdbet
q9vcfEuN0k0AyzR+xIUTEwDDnThzWbUf6yOoGjhbqcgvOm4Q5CDKBieUreqSW5Lw3pTDE0YOSvba
PWY5aEm/x4/m8/VVW97M35LUwlzJ9aAyDEiSRxv03+jECH6MwynGLCzs3ksU7iWyWv1xRexCgdVC
de7/FHxvRzzbrDlaC0BONqDVUQfGDnU60z01q5n+pUhnHpsMqIaN+axcia3kYE5EQw35KcIg0+mu
/ryWC3t/bahWdy5BOQzC1PIY7TPDE8+BV9V8h43bcVtlaAeJTpM32E53zD4V1LW+GuExCfd+gb4W
DGeJnHY4gJ6tdg1zQ0yMFu1vCfJpEtY6uWNxFMFeO2EIZMfuErFpi4O9+pRaio3hE01iUh2IKkt1
imZP4rTARVpt0rfbTnPZscC8la1bvHa362HfklWfi1Nc4pTRvtJoP/vg+eV2+5SBEoxv/5nrImL7
9oik6WqSY8kCzmUqOZ7Rt4YaSPUec9ORR/wENrAc813YMQV5hxdv8g1iv4O1RsmzGHiei1WeyFnR
ptE0QWwOLmvwQXwChQJckUN7RPd0M0dG5NAD0Fje5DfVRt7mW1Q5V9JLs+2ptjknXYABYxzjwxXb
zK3WT0VNZnjBj2TDt5P7Pdmv9Vss5rDOpKi5ukziEReUZo+jXDo/PmkOSiguRvU1TvMYe/KGl2st
FosB4LlIJY7IGyMBRRQUG7f0dXra7F42nUc3weduTw/xz3C74q2W4rFzeco5GbSMAMkJebcF5itF
hfs63cUY9I2CzPw++7WW/lx6i1tgctJ1HEyCwdyXsUOjxUU6dgjJaOcnm5DjhTpETeJqE+gbr+u2
bCO/RSnP4370iaG3Ainvvfm1tpySbziatDSQ+Rq7ia5IW7xuLFAcUg7yaAEIzaVmQcMiP6TQbIPQ
tn7IT/4G18sDu5Gr+MDlRfwtSvH9bTdqei8RFo2Ytjkcx9LxN0AXoISWbTf1o3YEaGDNUJYetufq
KSeOlNMQAeA8P2yJ294F25/tZgJ0Ilst39PZBv483P+ppz6CqrKvTc2EqCSFXTSuTsNNwlwdOKzp
FLebIku2ya8hvc3zyG3bTbPtp69STE4PDrLsZNJbu9/0PjKEp6g+WkEAU3ardue3rv3S2k9JfuOz
bZf8bMKvdXFrh78mEJhkhzHeheAYC7Y5Xl6Vb3k9/UTqOzkc/GRlnOni2xJIS65z26ImWIIurQWJ
YyESsDA/fb15IczNgejcuvf25q1A+9xmFaT0HnWoa3ouT9k+n5h53Zn+AG7uEShIG9wjX1Da2xwf
jg/c/bz95xsfHddyk8Op2YOfBKOTg0/oRfh1/Uy+B11/fAewH4DZGabFqfIdeYxxt5nox6evX5Gz
mECgCl6/6QCowoC2Ecdztt8l0ATd/rFwi/0bJoujFnlzf/0rFM8AhndMLZjT9YQi1LctZfFTPxmI
DMLEo/mdMbl26mjfpYZtd8cnyp3rwpTD+ocwReORVFMh9CDxCkkezNJ2RFPeGn294n9WdGJKPiit
RC5oDp18kE5OzkScsXf8xA2Adc3dPvjftGLKPVV2mp+iVS7xGFqYk/q20O8ZXzEWxQ+8rxxI3YRg
GE9HiRritoyTPpzSxCMSE+XrF7sNnHx8vb49a0KU7WlqcMon4H/2UhOZ0P5BT8GMR2N3XEuXLW0Q
Q7eCjfuBWzj0lye+hDpFl+SJ16fgro+Pg3Cs7rXXrRPXrF2RAnGapitGsaQcXggWmfN0+Nf897O3
iF4xPkxdkXhcEifxj4UIdlEnNzVb8WdLRn4uSLn8TNYbvZHWiSfqxI3JKY9+EWauaLMohMFbAp2O
qE8osYptTaAhmoUYYYjFem2MvR2sjBhYkKEDl2ZYMzrNJJZi10Ddt5LUJPU4lbusPI02hg8BGfLX
RqcbOgUQjsylLbU8W/VRMlo2Tb2s1+4ZuApFLVxufZPD/rogenmVzkcIgrjFZhwspbZidH4n2gxs
sKnXtMOsTsmLFQnzzp459H8lGDqBQ6XCsNUanfCbSvaFnnp6fR/3hYvsu5tEt6Ud7Grr5bo2S5uD
d/W/sualuzTnYWRxJwk2J0vsbS+3DcXQ9/7vTXlOTVA6Z1oQps4fcXZmgiTUO78wU69mvPEyM092
WtURj9bdX5I7/bt2uIVQJ2AYZa2Wj2VGMs3oksyLyL5p0k1rH6OqWrG1pUXDO9iYbzoTLF3KokXC
EmaTycwLonvMYXB0pAe5brp/vzUWGtOxcgyM4urQIRqkLMTFlnkbrT780OPjB34e7xTARnVCmZrJ
7ey+aos8z7wq3OrWLc/2NP/AyYdb/k+EcvIbLukYS2jQT1s6fc2Sk2jfPqAFnj6MmRYq5ypUJpYa
IQWqdF5UTC4IIp2UMkxPWDHgBaevI7kOyiMTpO5MKNGNzHQEOB2k1Drb9BFKX8a9ZX3D/JyP7DkI
3THCANVOVOgvTwpLqoLXgZ55Y7616bwpXfb9+ooteRfrtwj1KcC7uqRJbGSeHTxY9Lk2kUSPmEMI
8Mlasb0ubGnh5lVDRQtmBozIpT4JyIN0XtmZN0TZUYKIA+dRz7NNOHW765KW3PK5JMXHtLpWTEHL
Mk93vq1BgNe0mP9+5r8iBoKdsOCZZ0Vbjd7W4bZOb4dqZa0WNgYYCZgwZ3Ol21SkSB1cDGGhJd6U
vIxDe9Szw0SiQ5rMIMqVMsCCRhey5m8504iMTGihBln9iY7RpgE5jpfoa9a8JAV3iwUwj46ataVo
VBm1lmtdlnqkycDtowUYv1P+nJDH3nCSrtGqvVuucm/OV9l/4hSlplGGMciEIe6lDmunrh/qtNrR
APOMqj0tn6zhl1U5Jp5icicCj+4Z2mt7zzYDF25kQ8aDtrYCCzfFxScpjiMNcplKGysQdjdt5k39
p5Ad/trwIQL8JYD+4x63lRAOeAUTw7yK1DNGTFYKHvTq+bqAZR1+C1ACnjzprD6cBXCORgbzmFWf
e3v3v8lQ/ETJK3OstSr1WvHYBc+9AA9JuuLEVXDOHBtcrNSs6JnR6y3tJGgrsVIWa11Dj5pHUdti
w6whcIe8bD6ZRZDvgGAPt1MS546hEX0X0SY+NoOdgMbZsFD77+KH68ovuK6L71KOSQBCDx7PCyzE
Yzb+0rof/9vvK+ciIs1I/QCLy5Jpa1v1TRvGKyWoRRsBqgyjSJiJ8EfZv0mrY9YSREQDaM8fNf10
/wEVUJNB1I23CrGUreuGmAdajN/XwXhuhKehXjupi5twJkHZhM6MMu6PUeblbeWmqKPztYfD4hoh
mif/PoPUKNjE9RQwbUo9TX6PhhPJXupsxRfMH/mHBzwToSgxmgPLxgoiWiDpUhQrjB15HEW9Ev8u
rRXKQCYKBYTZwCteHiRK6k6WLR4oUfudNC+1OawIWFqqMwHvPBVnJ3X0214nER5zNi32Wt/epozc
yiB+u25Va2KU+LRmcSB7BjG0A8c9cIihtkqEsLJW1Lhcq7GnpjZMBlQJWkcXT4b4dV2JpT03dZNR
vBIwbFONgLOutUg3r1XWGwfMYXxl2l3Bg8lpprVWgkVdDLzgkZdgOOnKu0fPKA9DTK/x6uLL0DEn
t9boDub7UDVgjDX4T4KyI1ph2QMPoYw/lW8Zj9ES0R/zsn7i9OsQ3048XJO4ppOyPxhWPLXcmHVK
Ygfk9Um7du3M3/ynTqYNpAEmYwhbOZRtKnUUvHjqdUHSbSo9fLWNajPFANGZzI2RpiYCbTDW15yM
R+KL3XX7WAorTYObAlAHE3PO5wU4O0vZWEzjQEWKsLJA+jIMT2VHTzz7MvV0X5FhDSi/vKC/5Smu
OpgKvJ8YbtnOepYoDXcrV8GivZ/poyxnbbRTzjT8/s54o1+/rfz6okvAgiNbAboIwJUvV8tqG2oi
Y5V6g7azROSM5CbJ12xucUvm7ARK6QTJcsXmzAAPrpwHmZeO8keZILUcDFtWHxKDbtYyvu8sE3+Y
HwbwgtQDEv9AuuhxG/RNhIxIn3QAFKD9z+nGYDpMYuxcHdBsl8QWexQNcE3g1pc7WZf3hZTfOqE1
blVM1O2CINjotrQPsd+g07YsMKLGboe1N9zi4gN4gawXmwN5ZfFTVlRt2cR4Z3WWU79K0mJl/j7t
AbI2oBspiiW4KpWIfEhyyqs0QyQR+K4+2W4OWYP8cv3QLRrpmRTlhrSb1kwNCilFsGn6fUTvpupZ
/LwuZHm5/lUFJNJqGkoCwDwmeE17vDk19i7qHxu5IuKaHrMIxR8TJvs4mFcrzrZDccrobVG4qymJ
NUXU84A8qBaEkFK2P8biuavu2mr/v62V8oixJEDEfT8rYtyjlmPrp2nafkAEBv+ZYII2OBgfLl0H
zfJcirDKPF8AnDtaoFXVMAcI+a/NdUGLm2LjsSewIxQx96WgwDdLzD3Ac7Kn1U4fIicLdYcxsIcO
K2H9bKaq75if7ujcYEh7qbEFkY1B9Aa+g4OuVwORfb8R/i9t/NkLeQjT7yP3V3Rbuj3OJSrHMxGA
6hZ1mnmCaE5sf/HL3Lm+ems6KUdTdEVfpRokaP1wqLrPZUGchp1KAYbUyqPNNpbfrktccvfv3sbi
mOuCzPTlfmE2FcliG+d0IHi/OGPuAqKVvVD/6bqcJbtAkh0ZdpBR6n8YoNnnEy9KGOAkDoX8lNy0
0y6OV4QsbRCy0oZNMOcLvTvK8o1pKtN2ovBs/NWUwG/KDxwjJMDQo4RLnmGO5uVq1a3OJC9wOQ5h
ln7jSVm5jKehJzvQGF9fMBV2+54RYBYx524oCp4aRRluNj7m48ArWJMdOvl9DRLPQEZbYngFQVcS
KGwr6zUFGPS64CWHNzM1MBu5dzR6zX8/i8lKmfOiDnucq3LcFjJ07egVjdB/LcREQR6VN4MgWFej
dR7KfjDCIfa4lbDHqghAcTuYw6loOn8txl2I2xHgAuY7560pSjyXChVR1faBGGMvj/xdGUafzHDY
dUazmcr9wE9+PiDUIADfm8/GAHJlu7tnXQtOW2ED8BvrwMnbEUrRmN5yfREWzsTFh83mfLbSrO8a
Ettd7GFE/bfQxgRTtAuySB4kX/GVKmh8NqYLUcqmNmPGQ6ttYy9ux11GnDI8RdNzK2zHND/p5sEv
PDagdz/aDrHE9RNtPqIqMM0MnTIGTs+lqrnVkcRHpgR3de2MwZsB6HFuHY3k63U5C8YLPX/LUQ4o
6oWjXTMr9sCe439q+jQ9WtH4VHdZs3I+FyWh3VY3CE4oV8fcCmvSrL6YYs8Mso1lvYQhJggObHdd
H7XR4N+NOxOjeIGuZH5SGEbsMbQhcjtykW1wpszfTXr3I+4ofEC5jZvqtgvQ25v3O243e2oMhZOS
aSuC1iX9Wifhouo4unDj9lx6Ur6pYmwqeY8DFYHGyjiipcSRK6XfhWsJLo8xYPLRGYm45dJepkTL
R1S6cWaJiA5VVm0Sa3hmVXmfkvbLIIY19OCiQAyqQ3A0V+ps5SwOfl+GeLnFXqD9E+bWhkxO/q2N
+008vF3f0kV3dCZJOYqmhdiYlZA0jk+G/qRJAMfRS8EEkv3jDs0I18UtZZZNJPbwD5IiHF73cill
bMuwlFrs9ZJMLilTubWKHhA7kwRuM4C6cShjdHSh89aJ2wQg7y4oD7TIdEwSjX/4RTNswgoth9e/
a9GI0PmK0qhJLUyvuvws0RtDZxF8Vp2dUGd2yqlyjPbxfxOirvXYtqEOqkMP5ChoRPR6feWyXHDh
FIEuR2EMMYFlKeFuBlBfIXUOdPBY2Rs63rdzJi0o7sGWN26vKzOviBLwQhaFJwfAAwG24kMzH+KH
Ar7NysyXqmoOYVt/vi5CxSnO7gYyOIJBRFG4NJV3gsy7jvAMC9ZM5TET4PTs8Ohmjl2jHc4A1qf8
kqNTOs2dkiXfjF66wTBsOAoQPRpPsxFlq2btmxYs5eKbjEtLKQ0LhTohYs+Oza9TNB0SgCZoGrnA
offDY4qxy5nebbrmrqpqGDP5Lo38hcJXxjRaCSYW3MTFtyh+qfEl5j0HwMEBTkiPrEu4Q+KxOPG2
QAvWpGE2QDr1++u7srjx6J5BNgYO9w+6liwKi77psSmlJWu3CGu8PnQyHa9LWVzmMynKMpMA42fa
wEZIFu5t+YmB6dT/cl3EUkxLAU35TxNl+fqoBidugeVLMZkLMZWB2ItUbyJ488FMVo0YGsvNg1au
UXItHlNDzK0hIL0BwcClCcWtUWUtUFgeJXuWnsLue/NM6hVfsORpod1vKcrhKfKwnCY6JZ4WWejc
MoZmmySYsVIVjZ5sok6fbjizq39kL6tj0Q7aHbJbaLXRysDVNVAPCVljJqr0/ZXwb9mAfn+YsrVJ
nYdZn8vEq7fdZ23lPlu2m98/ruwpa+vRhxMEbJNkTm2Vm3F4jfj9dctZ20DltuhpbNaVgOG0ARpW
A+6041sdglpfrDW8rEma1T0LyknW2DOXJZAOwy4wbqdDNx0q8++fPxeWMn/EmZCmjvtWBrDHoT2V
M32kfxSg7ri+Zou+Cg84EzP9UJpUe2/jtkSue8bsNhLTfdod3KWsf9hgYMm/X5e0aF+/JalwLSNt
Jmw+7nKd96epfZAR+4hzOpOgHC0WIG8/GnBOm4zc6d3nnD1fV2GOWf+4XM8EKEckSDspG4nF0nsL
3vWUlqGT8s+SPM2BSYBm0HHtBbG8PxZh3DKAClUz7SzXfRmOwLdOXVrvp9oP7uvU3wcA66dwVoji
W7mi5eJZtfAKRgnkvWfx0u5yuEEYBF4TJf0W2zc1k46lrSEQ1Zaxf4OIMynKWk5MjEM6MNwkfejR
wc3lpgeBy0DRbmqAHmiitYPJv48tAtBeVBiLEdfoQsWbpUMe105BbWGBvdnCdKRq2JiAZDXWJmt9
5FraR65na1m3hYgcpY65fI9JKcxSk6Pd0M1oIHxvVIQOq8dNH/40zVNCvja3jK89hRf3gM3txiZy
EaBgu9yDqJFQpZ3jcVHdElxL+6Y13JL29gqOak3Q/PczJ9PxgTRpjrgJ0AHX4ve8wUsjGJ3rB2fx
7J+po7gyzEbXuoRBnZgcAKVvV2Iftan/X2PCpuChLVB6NRQttBrIM1lBizI76WA80bNjnLVuk6IE
85RFbBM020e+2k22rJZNARsBiBb1tsvFy5O0qBF3xp5h3FMe3PLOXrmUF60OSbb/k6CkKhLOB/Qi
4A5o7dwZTO4YEXmJghutKDEyNPQGuhZIz07yDx93JlF5t4+ZHxXj3JqShNqhYCE647otbzNE9iD8
De0D649SJ5spTP6py7UM8PUVtf6oCGGeCok59K1YdjSa9JCXK7fq4tX9n36WWhCqZI3Qb4B+ZW86
7RR8FhH91FDmULnWm7CmjOLi2rAd7Hheygj1mtu1Z+varyshVas1IM4YsFTladgfrp/X5QOFdgqG
aR5oqlBXqYu0vJ9ifHpetm4lu32Xs004Tsds0r9Gudm7KKQ+Vnb7GFahF7ZrqP5F5WxAc9COZTOu
5rVFr3FNnxtjagw+cAy0qzxkZTX8uK7mEuAS+WugI8CIhxzde+ftmfezjTA1E5klHjKf7oRq+ZDq
m8nCqzEw3Ly4AYSuGUEseULjYdRM27gjOz8JD02MUaI82I16eaykvhvKyOtD9oGI6fzrFK9ZNFkq
owFfR+rECWrhFPGX6wuwFNDgNU9sausCgZ7iwMyWm3FRohcoTY5BVW9lVO66fkSzNqIDvOe7Q0bl
5rrMpYjmXKbi0mImslzj85oH32VH3SBu3bR48rGccf12XdaiHetzRzhBXRPXhHJIOppUkusIn7j5
JQWAMC3tYx4M32JwPU0Zu6VgtamC7RBaL1GMyYEr4pfX97f42czP7EvkMkxFMCYe+shA5RHvUbpH
u1q570py2zQPgRZuBgbgbnVTokKU9SFmlSB5sGnDTdhWO4A4dzZir8mfXJqtDcJYuvv1uTFDiBlY
qhZx9LDpw9TC4ujjLo/u0qe4XokuFt/yugkh0E4AKaK+qWNmVrmN126OmY+JD46t+kG3cjcNyEMt
dLfy/a2o0YDdrS39vLPqPXYuWXkM6Ak43TuDwPn2kxPVGKPT32XN61C8lsOraYLCJQPCrLzREFbq
Pt3Wa87l/6P7PIuIow8Cte7LzSdGIPKOV7i7SeHy8j4XoFnRiNuNkzsZwKzb6SlobqqoW/HeiycM
GSAK8l7g3NS8eJNafdcFPRbdN7zUQl9MbbptXjlc1PsyWmtiXDSjM3GKkQPAkVRROCBiCB7ivtxr
4b292leyppMS4U1RxfSctkibmJVTljYGAnzX01NqF0c9TrfXz+2iMPRgoaUQeWfKFK8h8r5Elxxs
x6hsN+q3lYXhG+SlQCJvilbuoDVZyurlXSmyas4HRdlW1njP1T9GzWnx+mG0XBumvhT86GeKKatY
xAPulFlYmGI2DD8J3dgB7usmOAvXl3DZ856JUi4vM+pIQDQDiQX2I63ym9i48S1tG8jcHfkPhK6d
BFa+9IqiW4nwFu2RCrBWA+Vp/NHgOmmsYnYGp6uL0G36tyoq3b5YEbLo2fE6M1CWBsGDiokEDVyu
Ny1WUg/FXgSnWqabuIMz93dN94RUotPoa9yJi7t3JnM2pbPbhANdxuIeMu3qmBovGUWXtZnuhcUf
rm/eoiAsHTAFHLXwd892JghNbyLrmhJXdDKM+3wEH2QDFOamJoHtNG2+8uZY3DCBnOi/5WehHLew
Caqy6XEPJUHq6MZzF1UOW0sOvsdyf1wIAK8ipqWIaf/oTCOyy5sCXrEH81Uj6vboc5RjrUJ301Y4
NUueK0lyZ/op62RfAE7R6bswjQ8TOMVHsVbaWlxjG1ejgdZvrLGymVVDkra1YaVVe1fWGL8q8tah
dNqaEkHA9f1cWmBDR38NmBFBD6W2fAeWn7e+QREFAXEKUV333K2e+NlRqet7LkRRiBqkqaPBQvd/
WGyq7JQC03VdjSVXeS5BiRxBb9IbTciwg3niGu0vvduz0HQa1HkNNP9dF7a0PwbmkYCUAnVHQGkv
D9to46UdIHwD+CR3y0yeimE81uGd2eI0XBe1uD3zUNyZz87Ea+RSVAEICYIAkXgxk24F+pQa6Kq1
FsA1IcohS3kzpiHD4ln2c9bVThRtkzT5HzVRLjPq6z2PTA5ei+4kNN1l2a1WrZ2cRUM7Wy5lZ7IY
zUBFheUivSsO5Rpd62xFf9gxgO5gGKSI2yxFh6mV0rIndBZ2rHxCetWtphgznOhpMMi+zoufQWiv
LNuiYQOrTSw8tQkQdpcGAM5ULTbxFvWiqPQsBmiNeYwKVA6BdEaS87q1LS4fA3wYNDPodLIUQyhM
6pd1E6M5nzS4i8G8txfSLNzrUhbNjQEpgWZQ9DupNt2lZhZqQ4q+wRjkutIoqUtZq+M+7rP9dVGL
J5UJ9KfjskK3tpKxGjRpWxVBi6Ld011Bv1RhsBvAdcjl3XVByzr9J0it4zdArHI/R5tb0dpO1Q1b
u3+OW7ayPyvqqGwTZVPjzTSVqWdx3+lT8aMSn8MEU4tYsL2uz5IlgCYNEDvkF8GoqTxQ4jFPasqC
1AMrPxBXjLbxT3QmrBncknVjgAioIMDXgtYYRUzSmbRtGW6ffuxuRg1XbBEUr2GrP9AKlfHUf7yu
1tICwmOb9tzqDpSxYuCiT4OgJOiiLavKzcSrNJA90epd1t9fF7RYyz2XpLgKUH4GU0/q1JMg2nGN
MQRi2q6t+5oKtguIiN1irJojDeIOfRj2a8v8wG1NooF7x/akVjK3Ts3gA+fh/KsUb6JFMuqGAeeh
ML9w8UsnoPo8hekaE97SaRAWgglE2GjNoIryRp+lIcCJ8CNxsWXNab5N+maNU2jJG4OiAjhd4Lxm
DPela2SJEOZgoCHQyOsA5KuboM1feFOeakPbyhY56UhfORZL9oMzgW4BSwAKpZJ1VlbQZKgjpmik
nEwn7D5j4DH4VRMCbtU1N7kmy7hUD4CyRmCe8Rxl8K9ZtG0TuQmQEPD9aXPdWJdOIdJ86MoHYMcA
Q/alJEROObhBrdQzjcGTlu5hguZWr5s9ZgDviiRewcAsvY+AJRPA7mLiCFCAl+KoXtEibQCCBldv
6rCW3dXDV7O1b0LrxgQECP/XyR7YiodWCffeC0HAsRkM/U8ctCPK2ceEETZoIdpsrRBZpbC596P6
U4YkQSrMvWkhYztlbprLW1L2N2zynaivP+B+bDC6gjEYLUC26u6MUUajwdGHa4/lqS/5P6k03SLu
Drxcqw4tWg8y1wAtY2sB+bpcZNhknOsWuhuyaQT3an/HAQ7sRutWrMbeC6JQjQFfECZ7MDzrlf3M
mozZNkYEeiL7IipMwmqHTZlx4AWer9vpoiC8BBEIgeILXWyXOhl6YWUlxw6W+q0lrM9Z+paNJ43x
v390WgSdBiAS0XXkOZRbyapFjLQYuiioRo4BYI0pqfcfaZm+kKKcupIOYS06dE4USFtJfh9ZgSPz
D4SsF1IUL2JOTViEcxdA12mfOmAymfZoaBjsg5RyE218vjZmYumcQeJM62O/3wHKLoFkv7eiYu7g
4QzjdFji2vE9s76MDDd6sc2r3MmDzinJPwFo5tCgc7xuJQuXD9i4EbbMLDM474rl53amdX1OcM7p
4BTpGx4aHyH/uZChPDdrhsqI0UJGSgsHpXFTUMdKv39AEdT4MS2H485R8R1RkqAWWYDMRhpvPEMq
orqX9hrYYulMGQQEJgKlcZTIldVqp5J0ZZ7k3hTRfN+OrHD81HwtSPkJjFrVyk2zKA08rmA5QAUR
4i5PcCvpYNmxQG9IMB0rAxNyyvIRM5E2WbY2bXDhUsNontnVAh2DDlHF8IkF0saIBrkX2s+V70zp
UbIb3h/MNe7oJXszcI8hW4MUkq22opTEKArma5nHynyb+c0J+eHbuDMf/t4azsUo7mKQzEZBNs69
esJLac9Tx+5X+knmk6k8b9FG/VsTZckMUQ+ZZcrc67vE0bu3FsMyPqIE2MsEkDJ4Ac72cZY9bOuQ
5LyFEqz8AgHMfibd23URC9HF3Av+nwjFoPnQiClCJ6ynowHZicaucuxmAjxhG0fg2B7oRiuLGy1l
X67LXYr4kfNFj5CO0oqF1NClbkWG4LDhFkg28src20Va7IvIbJ3IxzizlAi4XgRa+2EwrC+9ydGC
XHA3zqS5FZLTI0qf0iXFCNLK6x+2dObQis2B+kanI8DmyndVfdjbyNp6RjnuLZvjMTLtRvM2n9by
YkvobxBsgwNvDutwRc9H5Wx7B72r8SDAUdCldRxFuZvio1mKLe9tVzQuQSm1j+wDmH7c4LPdWDuf
95sxjz73YnCN6pHRNbDUkkmDmACDA6A+MqnKqalGsEcEUZ57WWmVjqho4IbU79zrS7zkAs6lKAen
6nsj70zY3DDUFfxnZblGCCZI4Y/F7rqoxesV9yuaCE3Q4iJTc7nGZp4bkT5lOZJBb7zU3R4wsyKa
i5Q9AYPRTaEfBuNmzAD0tvmRlcMHXDiweWKmPEOjyXtL/tkeF0EqWZpVOUqXJ4yVSF/qonBWzvDS
euJdx/EUMW2ElMqujT1GhjRtiV2rtU2U7KfK34TDyjNkTYiyadaQgjqCQ5Ec8DbEXwK82MYaud6i
ECQbcBWBthNvkMvdsolfmwkfICS8R07ALavbrOs/sCXAwwAEimoT1kvxPHafTjlCngIN+XXu8OS2
6OSrYaEjMflIuACE1DxtFdgAFAwu9aklaOiapiw8WdV7mWk/RuOnnkY3OLzX7Xzh+sYNQU0cK1TR
uDrfdpQkAu9Sk4Mlp/Edu9B2WhOcBMfTQvYbK/3nuriFfboQN/uRM6vmjZ8iD1bnnmhHx8+/6zHq
THn5934CHbnvhSaBwO595t2ZFH9ISxL6BHYNTHDW1PvgEFnxyi2+1KvJBHoY5/2h6JicdT2XQkJY
9FAUXq2JfW/Tz2HwXLTRLQjnd1NdbPL8O6C0biYrp/bTPcAjbpw0K6drwfGinAYW2XcWUQA8Lj8C
jRRZErV14Ym8OOZVdcrWqHcXLAQNfsiJA9o5eyPlaKFq0SatTAqvmsn6/buQ7gPMEDPT0PGHtatt
QR0kqxFWoE5mcqE2gHAWZIInY4HUiG5OG1h/+WKFIZ5s1+1wSSlU1TG+CP1ZAJ0pTqmnrT9NowF/
YTfJLi2N7Mj6TO66jOqOX6DPT0whXTHLBeUQi6PCBO1AnK0OWUhR9+s7kLR5VlJs46nFSFJpfKD1
HUtHsVVzeyRIey4NotGFpdmDXaADwxb7ptDiUxTa2onmQ71yAhYWcd4lZszNNBzjIy5FZRVpkdRF
vSTCf7AbrM480bKNHDYxc5dlke3wvDFXkgZLiwiByKJxFIfAp3opdGjsVkv9rPQSv/quhTNE3fb3
161jwUuhSxAN78jUofNRpUOMfItUQ0hLL6xvBag3KrsAc8UaE9aSFOTIxDvAEvgs5ejGli+znMvK
M8Gey6dnlIQrbfv3mpzLUA6vDAajNmVceUluuvsS/X96/P9Iu67duJVl+0UEmMNrN8nJozAjWdIL
YVsWc878+ruoc+7eMz3ENPY+sB8MGJhidVfqCqs4bRhLF4LOAbxqES1ZOpsBa7pRrs0+rOAVo7U5
VX/S6N8McQN6CjNhaJPDnbCPTKWRtKpVigqTzPrKN7Byr/SdtvXW909rlp3rhxmYEOcst4qnBQCN
r2Ury6t6ApInHum6v6/UD12qSJU2WCDMA9zkUWK1NCoSePcgx+jFyYjeUw8zdvpDLLzfZ+j2bsAQ
7ACuBo+1m7upI0NvRqWDd/8ljaThPcl5P8+kGQrgOvktIqI9trPZmmFnsW7/bwwwIZda6qEftGCg
d2rabu7/+K0C4qkCvHuEV3A6QMu9vm40LIxNoePzK29lWFiH3byaAcdGLtJArhZZAwWCxXZxi2WG
xLBv4AaqJzN8BXSxKL/cZ2PpFmBD/iLB+DJNrmq/HHRIrTmSrHsFAN19ArfCChQqGNxZLeAwWbVQ
MzEYEyys3cf1UJFAF9t9JRWoyhdFRAehnzh+8jukuNbDa4KMdhRDj7EkQNHsq46a46oo7PqlK53K
d4VtmB2kjiMIPAYZOfazTB1E1Cv3eu4p1FRLbzOkwnsmojFVqdKKYzFnob1lDygQmOE2EOLPF3oR
OKaeEGStMoE9QentrMGolYo4QOorR+4+S6WxBykXiDf2HPt267Dnc50XcyG80jA+fk2486bQwLIZ
5Gy6VVq4aebb2Ang1QEN46f7MrPE41w/mDHVMUDFop1jdCxqMxkBlmVU+xTodwY2L2F3g5m6sheR
3DSIzgvqbhUB04WAFIKXgNPWDeZc8zhXEOSI9V5R/jQzxDanlXrh+K5+nzm+TI6MPlbw+/0QIvFw
9EjkP+QhiU3O4S3IIxwdjg0RCHrFWCiIGaLTUia5RlD/2SdHyIKGmbyUm0haZGgmA3BtxDns7pM0
rbGTfvDqfaBr68IALsq5FXI6ld020Th1wflwGKGHCwchBAp4K7GdDtjXm06yGDbwrSHJAWujBnhN
vN+XukUi2EMy5z1nrBcmpKpyYfJNFUR8nFcevXatm9Sv92ksSLZpXtBgQipBAqZU6ycNAGVEaibR
FvtG6YA1EWMoOkHxR+ljMjRyyHmxLAq3aSDkRawFzWKEr+pUTx/HtAH6yHOWPfU9L2e8KHR4zWLJ
PaoUwK28Ng6JmWOYLq+bvVg+JoOHHM1gwyINsuzcP8AFTlAfxoItQLQih3vDSVaKytgP7T4EhIOj
9GW3qZvQ4jmR2XszAoe+GrxZUflGBxTrtRqhCTyrVdv9mE00sZLXPDAPnSS5fdwQPe2fxzZ9Vqds
q4UrPd5K5qvefdzn9FZU0HaF9p4ZjRbvPtbQwz+isqkrHbBTvMwJ0FngRoKMrLDce6SS48QJfJTm
sdpkow1jurlP/fZCQR2JQw1LLZBLYrW7KRAWNqXZ7TFwRztrIgk27pmY7dU5T7JbM3JNiLG7Umdm
nu8Z3T6O1lni9oXbY7THPwg6705n/b2+U1Ta4bhQbQRWMYL0axmtQ68ya73DXuo+KmOAeCflVlQy
08kAnEvDCQiWlpV6FN3nFSkGX3IFsc5X98/11sjgIzBNgwcvXiOoG15/RCiletRAgvfp5NmDDwQJ
LOQVKpWj8AvXh7wsunugKCgasgnowfOyUesBx2j2TvRY+/Oo5D4oMg6ZWxmd3+4AAMXWCDx+tPkz
LoKRGrWTxIgroApqpbgrlHY6BAJmnZQu+dkYQOXWR7Feq8l4QiO6wglIvjNx1xcKmFZM5wBiDk3h
WLt3Tb2YuskcckPaawAuGlUsw5qwgfiQfPaRHe+s6XmUIyJiPWTravG2ecYPrUbv3H1l6in2NqIe
Uh4G2+25m/MYM1AWMZeIzP98YBcHksqZhoniQN6HQ104YyVWxpOVRV1JtUDLMZhXoKLDMYkLg0oA
1wOQzzwwgatmy8NdKyddk0xYZ2R0RMHoWWq1GG80CUBNiVpadp4YzjhFTqX/c3OMoi12hmD0EIkw
TOld8+tLUZLXiSTtlVTAFrxY1/Z12JTn+0qzcKpoBkInF54PwDZlc0VlUnXof/dxqlkobcROrwSS
YxyPtAoe2j2gCDhG6VZL4cMQD6KJbMYeZfNgZTQNplGM8h7TlTIg+3Rgaf1KKq1KD9GQhyZHkhfe
LKh+Wd94Yajw35T/8gp1jSivpb2o22lJVQPb3Eih2IDPx4I365hiDGf4xxb+miYTioiRp1W9mUvf
YBhF/9jauYa14Tyo6QUTAZRYSCV68YBSYjIPzLjEowKZPmlvpGpX0UlrpJQmeZXh3ZLEZU7Rr4u9
IWbRTLYfTBhBSwVAN94XoFsng9hb+s7pAwPiBtcZi8tMYRA6fIQgySvkmEx7AOaZK0WVsdGm0O1b
NeSo5RLNOQYHKBvyJ6jGXasGgPKnAfB60n4Yzf2oB4cRFUCSK1aFVR/i3rciDpNLJ41uDRT8DLTP
AeLummAiKLXaAMtwn2X97yDAsCLQJuUULZaAnVxnUUyFvCZlXHGkd0FZ4AWg/vCuaINh+3WlKpCr
cIDNQ5eg4JhD3/zM5dSiTVR3I8eJL1gCAHjAiWP+Bz2yLDq6laYINLHNABhP/nPTYYw9Lp1WBxYR
YpP7MnMbacKroX6KtAvmCG5Ac+NeKKoOgHDYBKAGP0u96lxZqETO4S1TQaIYTZ3Qe7Yvz9fCfJJg
gfboqw5JOhbtOi56Xqf40hXh9Y4fgligMDgf64Vb6vsm7xMjUvZmkk57UWm/1MBvaIlOSo5VWaY0
jwqj9RalEdYnQ9PiKE6UvZdov4ZeO41acxQ678/9y1kkA6+P4AMhOjDTrhlCORrl0yRV0GgjA8Bn
8K3VnC1ZF6U4cZJwswtjogzwosO9IgyHY5+fChdnNwWiJtS+LgMTPtmiMYoq5Y+yEmnaPSqCsMLf
f8waKnKwGhKmlrBMl2GtNAw5aNGIv2+H92xKiIXhNpkHG3MrdqhCQ+LQgYncpWEyREQ1CTUAhOsA
UVYxol6M75E+xByDtEgEHVcotMyrDEzGIOVhBXkefBBR61a0yzJH2a83CzP8N4QADg4l11BNYkdi
rDYu8kwr9Rlcs6RyliLu8aes+fynN4PrR70Uq05g1jH3dy0J4lSpEZZ86liIWqeiU1tGV667ESEQ
abNSip7/OTnInYhaHCojeFhfk2sbrwKmW2DsE6NqSWd0JzUw1/o/h+pA381/go95WlRhyExt2QOE
OjT2gVDuZyoAYfvH6RsLvZ7IrGFbD5oSWHgfK0n1PBF8Y9814QseLR6qfMZnmZi8Sbxb9zATAmrt
d5ISRvv6yNQI5V/PjA0UFT/qWDjnWHGUqm4o8RIES4Q01LPhGVRsm2I3pFZ9K3pFAAhnPbeo3wOh
18dYuwhkZ9713Kd0s+qzR4um2Iq4HsBmOXLzoZiF3bdAwzR5vvU2YEGg8hdPWAB5fXhBU1p4kIKS
4h2kvDoCi6kQ6qPkl3ikcrKhy1zBKGDVHuC62bd4X0KNpxLnJ0dhQDNfDtyqCB/zNM92mVlzFHfB
EKG5DH0W6DJFmw/LWQvg9jYVe0QNASrzRJD8VwOdzr/v6+silblShjgTERg7dR3GsuZlcikDmSgq
SpIpcrWSEPz9uU9mNs3X/ggw8d9t2zg+xJaMjJeF1PhFCoD4xkgSO7IwtpMIokJLXRqc+6QWOcII
CKBXMAeCXvtrichDWcr6ukFkp4YdBUZwB/wPw+RUNJapzMufYR5gwOf/v3CwgN2dTDPoAHURpdYz
JiwjV88C077Py410A7kXRhsDbIaIBCLbYSn0AOLzAXq0b1OfVJ76jIVxdq3AnRvqSclrztGxDT6o
IiBgADM4vjnjyzoLrW7N3Iq8/rwTgUZE2mPgIhp30droVE/D6us+d997TC+k4oYcY8WBJSVmegly
Pc2JPpCDnpC0opWjUOlV3Dvy+7GiwmNF6N6gzkvofvUkdWN7y0NhZdf93HwJEy/l2Oir9SMgrg+m
YX+Yf+Iny0VG+NkodvTlq/k57mlAeI3kXKqMEFlJ23RpAaq2/+ympF5rZKSyg1dQ90WUiOIVn62C
Ay/fw8Ig3nA7a+uF8HaJVpWiiXMfX5SANMJG3wpzUYcO2DwvvuWPQ0nD9+a1+SpHn6J6EbrWeVJ/
REfMXGSA5vp1XxCYR+DN9zDWAS4piOsa55ASJSMr0cUmDlpQjvn+nuK5J25MmF9bol53Fch0djzR
bCMCHJn4x9eI/OwccmqJ9gAYKv9ZpsNmIgY1PsJVepDfjqK7erd+ojNi5RFKuy/R7e3ju+gq9Enj
aDybF/vvWQDqEUYSGzXZYTIvSeMYUJjDOSadHdCA+k5Hy41PeVj5XEqM9IVen+bFCEqTaw/nyE5I
/NjQ2OUcO5snuuGIkTZDHczQA6bYua3IR7cpdiqpQ7KN7TUvbcNliREkbENtCy0BS/ohPrbH9jAd
rVVRk2TF010Wxe2GK0aYKl1Pgf4Irgpb0BzPEEmH2aNB3kgGyb5OQ7DOSlJs05Sig6A0gUq+AT5R
tfUj18jd+/rDJpX/+zEYWZ09OSrdzMdYGXZ9ywYku9gfTGz0JgC8Ckh8eDRGkrtf5ppOTr2JdtWh
X/MEdjaNt1r1N+35KXphTPQJ7z61xEEMlW3+HNpd9VipaEemjaOf8yfNbQJXlbt/RXYeBUOzq4gI
iWF5AMhXV8dmf47jde0DQvQUfaY+5i1TJ+tSImIY87eSULy5N7wRbOZx/Z/TviDNcGwWWVip4+y2
rKPQAhubDKNtabuxsCUecN0yLSwmMdDfKGIh+PXpaj4i0aHDzTZuu51srNYpN6n9eV9+eESYIFq1
vGYYKzAkb72VtUvIu/Sa8i6MqWT999T+5oRx9nGb5/o0W1+5P8O3DTFtHtRx1aTbcdwb+YvJa46Y
lf1GMFE8/v+jY3z6ZFVYzNeCq9IpPpWtRBVeuMRjSb2+nGay5CppQEEjdvmMNc+woYMzrHg5CRZG
6ObsGBPqFciSJgoImStNJqEzZtioTN9lso1au/3RE9Mx6X2ZYKeO/kvTggeSsHQBywWvmUvx6Ioz
DzR7arTU+8JmtuA9dh6Tn1mxS+3EOd0nOCvs7XX9TY+5rjEQY68LQK/RPnWjfyk+UMXuXqym5BBa
jnIxT/f/nDHXFqAlIM66YDi//fIHktNH1X5P1v26Xg+ckgyPJ+berCyMAjOyEOBpP8KceM8erTkP
kWWfd8EN6/NENVebOWAQv+KXoCEZAZLjzrcFjpFY9uMXhBiLm0YYq5xGHFv49QYj626wZG60ZbL7
V5YCpSVU62fBY2f5RlHMvQzLr+Ba46O/fjDoj/QckfV9eVt2mhdkGH46xVcbYGggLtEwtEy1xEWB
bqWff8SfjZO+YZeFvt/3IelWwvYLyFzlzuOkmBbj3osvYBxJN1WyX2n4ggjPHzqQ2pVWJvnp8w50
tt83qnVBh3kSR5FfNGZZzAca0Mj1Hk1b3bwnT/1a4gg8hyPWXUnIoyteDUq54x8D+uyt4w3m1ji2
iUeF8VdTnkRRW4GKcgrOOo3s0hbd6evrvoAsW8C/j421gBioibBGC2S8P8oD0qWr9I/lmLbnCk+J
Uxy2PeEQnE3cnXtiMelyIHv7egqCnWuQh/zQrP2Vsj2OxNrspM19YrwzZIygGIu91PqghfW0PwMI
n+bs1TdePYpHhTGAWohqNeCLhrN8EFpiEZ+IJ+Ngkpwj4vPvsCeHsVATmW60Q2KpBP7/IgjtpaZW
1DEez43YKU4sepXdhWG+6oqeh5u1+GpHrQZpR2QCkWKaeb6glWlTl4hBOpwN4u+6x+LBKuzIVomx
kpzcI8gTuwHZmR4NPv7VA+eCtjJHJBe0URNBk1AC2m7yEDx4wWPntD9EyzYdL3fuC8ii+F/SYrRM
00csxSlAq8136vSBdVxJaI/tJnFMz47FR71G4X1T2zK0T139j8SZ6KPxjCyx6gSG5Ms77Gyd9isf
T/I5vmpWAMF64tBbChYvmWWjDzFKOjUFvQoNTs5b6AhU3GhP2S5Bb5Xz7tOv3KM5xwUtxnVz+wvw
jIB5gDfU9XWWphdi0Gx2Qc8HF4DtKn3WCbKWsn06fQkcHVmMFC6pMZFCqKQxsHdALbHHYxFTTAki
obGdRl5IsmTHLgkxnrXK/SjW9Ww425hoQ4s3kcl6/eU5+pH3DGeHlr+j1EtSjOIXYlRJYQ2e3gD9
QOKj+lNJbZN0Dk9AeDwxWh/rYQArA0I7F4DSP4xduGk+1rZHW8ILvZeM5gVPKqPkme9LYzGClP+K
Mka9F2ybe248Goxyj3WQhAl67c6vPX3bxccPxXYDG4UuJy0IPSEZ9npfw75zxzcm+m9ZVxmNRpuy
nrQdzMnuoaax8+tXSTYH90MJnLNqR6PT7qm4O/n2mg4Hus6QWtt8RvT+R/AUju0Q9QCtqnjSfIuH
wo196m8w0EnXa9/9XHcZj9p8iPdYZnxsVVZK1U5geaRvBkkedFsnEo2IYfPgsHnXyRgSzUsasSxB
KSZ2eFRtf2OST4UTn3yDqNzwA1xxoLfDxaoiY0DMvkiwWFiCXqs/m4dEdtr37pdO5D0eoM8K0Z21
faofTrTfIfnkjqQnOFdeOnHR1V98BGNcmqGSciPAR7zah2ofPEqu2/4sSbd5/oFkm8/DeVh8LaI0
9hfTjIWJ866qjQj0Cvv1rbNLWv4+UvrE42v+mZuzRYUeCAzAgQMK8rUrSMexVopUw9kisHD6TUCo
wXMAi0d3QYM5uiIGSliOdaVnO/2ZGk63thzd3ksv25bsDgAJ4T1/FzPugGP7iynm7KzGqoCVA4Li
xwfWyGxj3/XJ8/PzRErqb9PVw+Yc2KVvF9vy9LV+yn89rQOHvlBn+Oocn76s6ekJto8nyDOf986a
seVJbGJHJGCyzm/6atiNG46RmS3ZnZ//9sMXQVqCLa1GWuDnAcjtr9TTdrt+enriXOaixv99tN+v
9QsiaWdIZWWCyHfvpV0lqExQjtOb7RPLCIqOaEzArjbUOplzEitJaZG0g+gHz0os2UUsc0zkLNU3
FABChT5slBx1Vur9PC7UCHgZ56yP3KLtqVb21NfXWcXzeN+h8Q0pQMkBW1nGhgIWIq+Ty7bWUeQ7
H34p+gqgmQ1J/zynNHAtR31crahzEn98VR/xb1qtIuer3/Vk6pxPzr19N5Pd+w7G87ZN0LVlN4zn
N/uAZaXkAePqBE2W+BTsaSArWpET1t3jz1dy6MnQOTvOtUq3p64rgHw20O8GtDvscMetXMhOH+kB
hmua/iwEBPsGtt0+ddSIFLtw3zgWwutmJa/HfxHXXJOdxe2CrIduxKnXQFYjHi7A3OxNkjg8V/hd
er8+YJCBZsBoI0mPFq5rMlJfV4rXjv1ZX2ki8bZ+5lgkO002ygEWsX5Fj2Vsq7TYZ5aNibzmp/87
Q3W9Rtf5oXuNBl40fGsOrr+H0SKhmQC7PkV4ysSW1tm5gXUwUqv1X4VYAOStloDiQiqpLM/W2JlH
sVeMkIh9i4EqT82NjPRqmvFM4HdJ6PaUMJ+LghH609kB89SIZA8dB8jFkxyAAiTeViJRjvJDbR+/
MvrSHU7RIf9x3zTeOrn5KP4mygieqCid7hkSagCr8qV2vYcTQqH1fRq3hhG4sGiowsCgOj8PmOjZ
krHHSS+NWcpGJ3YCW1v5FCkUjh4vpEOv6TB6nKRNWJcF6GDlmxu+Tm71Qzqmm4I0lJcY+p4VYC/r
kicmdpbi0YisHLT6bbY/Y4DqoUTHhGEHsaNs3mA+tjufaCSh7c6kja1vZQznOfnzZuUHdvRzclR3
ok64t5zIs42nfj8SzTbsiHQHm5ujuPUa1wfDXHI7xJidgXxDspJN6RzOpm048kYn22LlUc41LEnU
5ckwNqUSJy0Bcth822/Q8MPPjHIZWlLgSxpMcO1F7WQJKk5/vud5LN93mrVBhYOwLeg/z21enx4T
B5bGWAbAufyPXj40O891fJu3ImnJAVxyxASCXqnnaN0EkfIgrdBZwOtiWNZBNBABtw7dS2zvZOJj
K/SYotYHSfX/OD+/6t3rv9Hyvykwx9TWgzDGmMRHEm50IrtYmyS1fZtrJmdhvdW8v+kwJzW2ulEJ
c6uM5j68JfQtJ6753r2mLjc4n+3FPUqM2/K9QKuG5Jujh3AV2SnNCJ7B/Zr7CF5W0L95YhxSLYqR
YpWghN1r55IgGO+JetIJWm6ilW+XOx7uy0LmaRbqvyiyacuxTAstsnCKr/VTSf9M9Jg++Da9LxIL
uaBrKoxFjgI17iwdlTCNTO6vwBbfvb1E0TZm2DHHkXE5YixyiGY/0ZtvKyWt46Ii+3kU7Hb9704O
r2046BlxlEXs0EXBrzX5u83kw3+Cfy6ISQSkXwmvK2whN4LjuyDFmNI+G4wylr5JIVvh5jT44dmR
Kxz9Dc1WaU1LjqdedqEXFBnDWuu+7BcZKorRZrB/xYdhO6HNznefeMH/oj26IMRYC8Ors1qNkd0t
nbfBICS2E6ps7ovfbAlu9PeCBmsphK4KIyseUC9/S6BNyZZzXDwmGAOhYUey4RXIqu6SDZZ/k3iD
ypDp3OdCmX/lHhuMcQAGmdYKLY4qe6vckX4EpwNmqRElGDa6arYilTYpqWzsU0CPnPypvhsUa0xd
03XedewScmt7fIw3W20DCOb7n8b5MvZZ3Up6kJclpOWgbic8rEc7xDXep/H9pL3DPvustoambVIV
RF67jBw+PJogZtHsyj6Yj55qD1QkgXPcPhPLCVfi2c7+YG0TJ6b5blG+9xGMcamM0Eti69uQWUQ8
HFA3i0mxfk83xxeab0JXf+ZF5gvChayTNOMgzE3NFiNcVjLUkei3/fltcpHgbta1nZ/+eeoOJRYE
FnNXs4TZRoaveQNu6M1tLNi45SKd4HY7+AIqrAALQL48+nn/MpfOESiBcwu1ij1HQEaArF88OMs4
U4UR68TO2CdOUzw5D26OrkoEpH5IRhfA13a2Mp+BdyU+3yetLnjzK9IMq4KchVqmwpiWX50tIN2F
qfbInr/gLTgU9gcabIlwLAn+EdgG7V35UT0N9Gd8Go7qjtJ8v7U2s+T5brIyHjnR00INEzdxcTJM
jC5rXaWlc7kLfd5UwtMhxtdoTh+R1j2ZR+foHbUNr+S80HExU9XQeYNgAKP+jIfBmHlVZiEsmAKK
rTPXa9zE9rF9jBoUBdTtqSfZVrA1UuDFxpOG+dcZrbqizngbLcVDu/KQIxdX8uogO9IaUbwzbAti
fGSr/EfOE/f5jlmCOnZ5AZAMXXo3+N2xV2ACXAW7Gqk2kt2u8G4g2lbYzj6O9274HqG4oQZ0BuDj
Y/IKnF4Le5W0QxcbKG3gyWXsXFdx5a1BoodqBxDao7AqHGf9hHZy4tB3LCZ94YbK8/nd+QAWrhxB
ZR40c22lwdtTQuSQrrDM+JD35LhFL6zSE9T/OPZ6KeZTgfluAdEBY0YY573mepj0NCgUE2lQeTs6
iusisXd8RFXT/31foxeKH1hMeEGJ0WgAB4lRCCypc7we0AuSwAVObklSqmAdDPXPGdqnJ/oYOo7w
EVHfxghzSiK6Ns7SI7c2Pycx2LO+/BhGf7VRHDO1q8az5Q3DNiuU+EONS5UUZRfssH04pJ6ZYnhD
TKuVClCWtdej5Z1zIryPYNQZw6dh55c4e+UUWZsko01HsFu5c1vNTgDB/Q5YYpO0CS3QTQogxtjV
TFuEUeOhmS0a+svjYFS7BUY3FhsaqJyUtrBXB5orKyNfqzHFnuNhe4gCOo5Hw9+EzQ5b/FYiHX8Z
in3/PJZSalcSwkSZVSNjMZdkIUCBJNq6jaGCvWfjTKi+QwTxxCuvLPnsS66ZiDNLMdppZuC6sXNE
RD/eu9VIeEwtRF1XTDGBQYZ8LV4FYEqRsfiTyFJB+s4JN7VBR0zrpDFRp0fJ+tFan1Hn6uFz2JxF
zM02T6nWcqaaF3Ln1zrI2Lh4HgpOslnbp5wcUjK19CM8RptDtok21afvGE5h2OHGWLV2Rt61lWw7
ZkptXn5jofsfH4LdN5KC8awZsuba7AheI3pa6I/n1+Htwzx8oHZu/UxWR5sgGp4j4tDmJQGXxeuC
JqPzhRcZnRiBpvikwbBIp0O4Vh0lJY+B3ax7XA+mpTzKSxcshcRXvDJqLvTjf8Xa0FC6rteCtTZO
RvbRWCt1sLEwHJ2THZok3TSmZbIzM1cxgfX0okhboAor6Q8MEAW1a/VEnHZGUZOyOTTxpqiof7qv
gQtPMIAUzfPhcLcmYN6vb6UWdVRWynA8K65KBWptj7wsDY8Cow1TUXfC0AfjOV1HtkWTI7U+7/Mw
G4kby37BAyPiktiOlljNPBDlFx1WPDFaNBp//T66jq7PyMO2WbkZwYE94ZCKh4a8U+/XfR6+AzmG
CcBdzKVD4BcAXYOxx0mJ2gweAuO53sor1dFA6TneW/SPjva47okbeixcyxU9xvJOagMUPgH0rNOc
jUd2vEZXqL7xV71rrQxMlIlohzjf53LBMgJrFjO66NVBoeFbXy9eF7GkjFo1opDXyk+ZgCEj66hW
EmmbdeYjv1583Ce3cHFX5BjRK2s/t5oI5BSooWAaRM2eWtOkkZQTK/0B5DdahLx3wkIIe0WUkUZf
KnUgjiHOALj7a7tqDymehr+BN/kSoufwPoOzHWGF5uI8v23uxXmOQpNaSYwCbeBX5zgP7GoM1v8b
CSZaVNtRHuUEJNI2pFn1K0o2/4IA4DZmQCTkO1kcbcvAwsB2lgkzRiBq5KT+552uMybK3xQYL2AK
oRGG3jiefTSrB3bPUd2FIP7q5xljnyhmqwwKGAjlD0GObQuOFhCq5P4xLenrJROMfaiFtvCN+R40
rB40W6D+eBgHyixqJb81Hmj7wpjx9ZEx1iGREiOcUmk873aH75I7ct7n5Pc5p2RDfu87Zx/vyTtG
OmnmbE/Yo0GzwydyxhymeUfLeCdPkIc8CvEZ4tSRWvnddxppSt47cFGLLuSDMRN1omGkOhHHM7ql
URH0e3fQZY6QfMNr3KjqBRHGLERW2I453iBoozu4/XNI8Ion1nEg0en5WcGeZ7rPyJacQuwnejh9
mc9fO+v8uRtX98VoKQt/Ia2A7Lp2ZobQxN2QQlrFp+Bx2KTP3YO0Tj99JMlzzu0tnit2u869bxri
PvmalBqmLdDgcXtelRFT+QxabqC16FAuSDCqrUVmqKcjSCCkQlH+8DBtzpl7HnbI/a1Wzr63C3TS
NnjCn6zN1yfH1i+K5wV1RvODuC+1yMCdWtWbVv7IMietOfe1yCBODwlAdPwAc+L6DIcx0oawC6ez
LI+/AaJht9ZA/aH+bEuxcaQ4wtqQnocQssgXlpboWPmDHRQGo3ZqiUavKYync1UevPhYNY+SwFte
w6PBMNbmjRQCUnA6R+avvO2IJW8Fn4c9zyPCKJ1qJV4iWhFMF0DCFWXTFZJTIvzn6NSioGO/CuCc
5l1jrKBPRjG10pRP31W0nbkSiEQE6rkZEVa5PRJebWYpcTUDJAPgawbjRDR1LRVITIyGORQTIt5D
hzSORQDgepZffz3kTy4p7b1RkffqOX2syLg5ZXT9dJ/jpczO1Qcw/kHVhqZMk3o6796GkPiI5B5H
5/CrcN2UPoe0tJ3WLkqa/XS2sl2hQhU+oCjLy+l8F8VvjOrFOTCCWquTryt1OZ1fXw/F/qMmv8ac
+mQl0BWG+vzHo4xRtNgGGhWJ8CzgqP+ibl5QZ0TYnARhaMVqOnfFk+qfsChrLxYvngb8ng5Brcdb
eMy9dkacB9HyRqD14tTRujE6Hw+W+6s+DGTzJ6QrJ0IOuqL56fQk2E88T6wsqtLfzLKLSLQ2blPZ
mmnv3szVR/T5ob5MiKc2ZOV0Tm+/b3+etv36aysS+t45zktEeMWQRTUDeKYEWGgFSIuMuW3U3g9S
ADWfO/lPLjxX6vm+VPN+n9EqP+xVoeigxlH6EZsvusDJbi/9PmBpsMF9fucBPPZaa6tIrqWh0aez
oedvSlC9WflA77OwdEsAkrbmLfEoSt20KcbdNJWBOJ29MiTWuGm113y079NYyqrMyxX/IjLzefHq
mFSrjiJtgtZprk7FBIOY1en8I5Vt/7FxehfdmG1KjDOH7BwusMoOoEb4QqDlAY2WUXbRiFI5b+Hr
+2gQIoo9iiP6inyryYnaYx0D1ooC+5mmCozxTh8t6xBGkpEQwBmpHmnDInHLBCiMHOsvL3wXtqIB
sR5YwNiDzH5XqPdVhhYKCdZfkGmAFi63PKSH84RKgvCCkmtEttYWUCjb9bpdv67/+bGgCVgBWAWw
T0SAUl3fhmKGaepHk3S23w4qDbeljZD864lj65YaDy7JsND8pRlXpjaBy9JJCXp60o/K8d/5nTbz
5zK3fEWHURJPS4Ix7UFHWCOeOzz8GgApRKeVA+NGTk9rng9ZSrygVQRtHLNDAwIkE0Iqvl+OHdBr
z2gbzUnwsFnBmO5F19lydPPWXRiQDsxAoi/cAv4GozZmostl2GLg0nZrMr7v6cQLdxaC+2sSjAXz
zDEb+ipBcL+ddsTZb48n3vK1BUG4psG4fr8MJ6E05rlRVIZLuiH70XY4R7VQo7omwui6HCK8CBow
shOI+n5ECwG10eLC82rcA2NcuCCiSRFRKJLSBwVzKtkzbzKfd+mMdnpjkxdtNV96/TS+nfRnjjHm
/P43gxe22Bp0WPwcv1/jKZkR2qxOHPsyy/+1Ql5dBdveESodOgI6UNDIPAkf0mC9Xn/yboLHx2xk
L/jwiyktOw0XEf+0fgK1jDf7sdCqdc3GzOYFgSAS0mZCVzDe39o6X+GotpCqkTzx0H0WmumvKTF6
rkU58tEqKE0Ph7eWvr19BHT9kNNfDwe3wDDPgGnLB0RpnJicpzNsBlksfCxfnJVfevt47AjZO05E
XjiaeWueZ+YwBWEhhQtryShMFukN9ivkGAlBMwYMMx4YZHq/L3ILYGvXRBilmaxSFmop+7aUL88P
ANoa1s/P/qFt7Of9UzzZVkF8tK4iq8uhzGFPZbIjQTfPwcugHOzbZ/S8/B9pV9acNrO0fxFV2pfb
0YJAgI1xbOwbVRzbWtGCNqRf/z3DeU8sTxTmq/cklatU0eqZnt776U1dkciNl41n4EjFhw15dooV
xnN/oM9Uf/kMR8xaGZbMfQ8z5bJvZ3DtlpnIa7kAjtNZwEE/GT+etrAY7orc69bm7Dw7O4sntH9R
hL/vlR01rY3aDKMc5KoK1Q2U4vy9/a9U1RcJ5gVeFA2TbTQxblckLaxnwOIlvH0YM2Xt78fGPD6z
wSqJvsEFbm3XdT+k++X9xqFjXon1dOL489w7YsztRY90fShxaMjpje6dK+KSlmcv9zao2ZToAOVj
DP3p4H/nj7G+nZCd+xI1lMfRb13LfLwt/3/Rkl93xNhdtcvlfDjV4OiY7raYOn5EaZZEXrmzuX0o
9FP/NCxftBhVkqK3LpEKnJ69vQANAmu/0NVFnEOMDjPT5hmAmUL495NjlEqRKHUgKJAM3z8Re4vr
Wq3uO2v50XgP8C7XGDA2MeDBM2x/8Zd+s8kO12AxCmaRFmDzFFrq6xqiaKBRrPY4wjhvQL/IMH5z
AdhsFWPayIQWRFhpd7bX8xobJPobN26MXYg7nIb4bGKh8aNvH93aQjcrci2aTRzHOpRLTGzygg4e
U4zKUIeoT4eqGh61HyqiTHd1sj4Ue4khuBeMvPKOkHtVjPKQNbHRCxUikhcAJgu39XGN6fr9nnNV
M62E30RRZfSGGMllGFI6EEPoDNQB0Bm7dCzHM1cmDArnGHn2VGWURqJXoylkJWzJCQ26V1vy+EF+
IT+OmMryQtt+5+iRP/ucvnPI6BEzUpRYC0ExJVu739YubMqdzSHCMdbsMrIkQCq2LSEdRxs9bI9k
hZw/RnoxO+wbDu8dzyTfvrPE6I86raVeNMCSD3KvoBe5D+QjcJdOjv5AvOvP/fu7wIG7mlX3kmSo
IjK9QOthJBJDVDX8e0iK3pLiCCjV20c4/6Inv89IYtkPeaB2eNEyecIEw+vr3QoJPYWgGcjAUXoe
RxRnoAFwihOCjChegBogIvGPJ4byF1DKaGBvuYbTvdzmjB7MH6pqQocRwAwI4WrX4uBUT7H759s/
PpMB+84FY7pK7XzSF9n12ADgiVHojbiWrbVn3veE6wrOKsEJK4zgtfpQa90CA99hhrQBioS8xMS8
PvqiwLYRhNjbgx3TYKdEDukOav2DqiMkDwApwtN9s5phQouxU508oAkSW8seTTe5Kz1UOyOyf+c5
F5x3c83ZTbznJvvv9cuHeKkub1//TPXj2/Vf9e3k18Na6NqMOstP/n86Wl9Tz32slqslEvGb0ept
Z7c72SfXQ5THY20m3/idOqMTdGNosP4HJ+ijaXlcZSKm0M8Yfncby6rfAJfovXuHH4LPHQmib+bG
m2JHFE/ZuclaGhwlrZUFLw05D3ed5EYyR+lxBP6qiSfHa+aLPA2Bs/yo3xkrFVlTjgzO++0TGWSU
w1kcF2lT0BO0UcuAl3uH2KpBIaO3rfXg8eoWPHVxlacJQ+cO6NSAqKYpMx3jDO5/lKztqNba/ldZ
gAlvjLZQzVzRc4PCQ2BKQLfE5Yu13u8bjnqdjxe/yLDjiWdV0cuUHmF8IQJEoQdiIWbgJZ0TkfMM
Bouv35vVP0Ln24KjesH6rjr+6F4xxsS18LPu7YQnJgd1icVCPFVULE7kqSLNxlU38Cp0pIMB8OSk
xzU37KY/eeNJscnnAVC4gA/FbSErReyaXPzzwdwKaHbhjYLNR8YT7hi1UVdSe1ITvCpEPzT4+QCa
GZwXx/I+/T0PUWA+CTahxjgWgpGMWJMBxmzUCrbuyUHr0Oqhtpcva2c9kIOH8MR/5+hlGg78eZp0
d7Wq0FWJjG2RuovWlCKiVxm4iXfl4XGF+ERaEQfX52Es+POzv2b8OGTnjc0XWUZuykhelIZ0JXs8
3mlWgS0EDpx6S91Rp976RB9viT5zwUNZhldUnKlfUHPwRZ2JkWI08WfSuUFZzGo2yePrdkUuFug/
7nY8dK6/uItftBgZSuS0CdURtPwnv7FpZ1hM3Idlg1IDdKcDx/v20f5FaL8IMmJUhUolnGnwTCNO
qE3AsGr2Evmvvbbj0JqPkiYHybim8smsNU2nVl1YHjHTt6XOcOA+L53dTwfesGN7HO7oL96SV8YO
dUaXJBfqfcOSkxNEBq0by5/nJRfl/y8+w9c5Mg5rdRLqslxAtT01v3Qi43Wslrk3wtN/xp6Q0VJc
wEZx2PuLmf0iypgiPar/SabWTmP7ETpUjA1ZYta1tax3dbUP7fcnXkcY5zmgzo4zn9japomUzqS+
7Nm2j4K11b079FHX9mXZcvj7i1n/L3/YjPidlBTpp9OJxjKv5l1gr4iCnLt1jah5jWYyPaq/SwpW
G38n1cQ9oA4iGnzarn1HXfSH09KN/VckOZGBAX+bjeOJlnXwbOCsebG9z37wUmjz2cHfL0RnJ+uh
0vXTWacGEm/ffYwJ8jFkXCN/wD3beVv8dbaMpukW+kLWz1RggUyAQcvcQ4Bt7DgWQ+ORYfSLIYdy
f+5BxkiJGWH67DhY8q8TaewMWxpRD+5sDKzVZJUb+IzVr+Vy87JeIy46OA5ZRW5g//r1jAGWI/ph
zX2xsd4DBM3rtYPwuS144fp8gmpyAYyKWmhBnQQ0u20DVq9cYcp5Abdhz1FL8yHa19kzainGFOYl
oEmHAiO31uJVcK29xwP1ohrnlkQzGkkX88IIaQg9rio7IBTr9DYb8wmbyWEx6qcLpUaqL2AjJUge
7o/oVaHYeQ+YMiMNnurOseJ7QEse9j4Xpfa2J4Jx1u/vNSnVwBRohLgF1doyHeGXtQ4bwmFx3n38
fVNXeZkou9So0+RCc1IAdqQ+FrzVZUc2SMierQNAIXglHI5K1681yAnBYrgg8k2QcvNfKzqKDQfr
4V4DgpNEPtfYrXBIlrdZ5In8NT6YUGzLC9qZrrVAbR30RNxDD6g94g37fyTEaJwmEsqhoWF1sQxe
YO6x3cA7cAXjtq+os0XaRLikhnyBYDz5JTBQzJ3wEh8ya3/1DW9zdI3HbzyxK6bd5Oi6hRTG6oJK
x9N2K8LkY7EOWaZW7qE2fLA8+UXnCQjHTl1N5oRkqhq9aOY4RD9CS69V2+HjnqeebntNWPLy/W2F
QLJv0hPY2tqxh9TH3en4WT1juQZCCi787XUpzq1DZLRI1Mh9LuaQ+Itrv/qYm9zePa4e4u3HY3b3
gN6kQSYfH4RYNVrMgSRmbvxDehg8j3eyHFcY++2+s53UiE5z+vTOtn98vXMf77GzB0b/sNdXmcVx
hnnP7hoJTC5ykOMxqyjbC88tIxJ4smNRbFrOZXKsAJunU+MkxJp0PAdA4Xa2sjVKMma2wHvbPDJM
jJS0wT8FF9dVPRTSTeuBWD/XqOHj7fFcUM4buIbGk6Mbw/8qEn+LSndwD8C42w+b53iyibiuQZan
1vDKhqWNhNLdKnEb/xe0Ph104PV6czQWm427ZKU6GhdIQrz+wKj4O4cX3tUwzoZanuSwojV0G+3b
1JygfXzp0JtB5e2JQ4z+2I3HzCbiokuGtcQDeAESwesj8qbBZnMtc/inN1466S+Zq9/GmYWCHUoz
lksq2+3JFrDIVfMS1csum8w8yBVkvVKWefMwYOCttm7zyTlTNjmXd6kodCLY9PtP6eW8++S82pn5
5mnO4Y+ll20bZ0lO3ebTzy26z1NruXK3ytKFKD6ES5Sfyc7BIFNPPtFgxZF+LnEmFioX6H0+1+Cu
cI4oVzy+uravbMXK7q2xdIJ2b9xZw7O99z4P2TYpoLb8/1E7smm7pk200UCnBNSWDVBmeMlo98jw
l8PrX9Ksv2XoOqc30SXnXBYvtUJvMv6JNjLdko7oWuNQ4YkLEwQhqkuKC41jq8IqPY0UjwOvZ5yj
E2UmcBki3YiFFG0riMrjtb70eFqKF/ezy+3E3EzUsAaF4/a0E6xXUiInBUDw5WJ1+3HxomC2Ba6V
labVKJBIb2HzxSYk6fJheb87P6ByzyEl3tZX17TA5PrDtE37Hubk0bZ7jYzoISc/kcmMOE42RwAU
xrXIFlXbxCM4QjBZANYWwYrCqelwsmsAUf7uvsgLoTSyAUnS3gKwjX2Hja0h+UA8TTBFukuubQg1
1rLxQOLnQxYZG9lMFUN0xlVwJmcohWKgh1QNm96TmzqPmv2BRI2Dqj3NlvB7imfd0wk95jUFl0VU
JznuTCX+xTN/pG+3hWI+lzchwLylBqMRGSbMIemYAnJf3xD0oeqYEfKyQ61s7/87KZwQZEx0Luup
0Qb0BMlqtQxcdE2RwBkebvM162dMqFAhndyTUZ7ySxFTt360gRPHU9mzSY3Jz7N+fJhlkVnRp6Tt
42VGriUBjiLlyRrro2OjxD/BwtEHShdtjv9AOL6xzpZ3QGaIx9NsluGLJ9ZJ70fZiHqaHY82b7ga
HXugfQ1YLqYtvtS8StysCp8QY8yuKpi5JP2HmL3NXOGXZ/P4mVV3ExKMm55pqWnG1yynYokPz8jy
I0DluefXsPcPJ3BCRfkuaG3W1adYxqll9ivW+XxcAH9FAM+DFp6wdG4LNZcYow2qsB8G2QAx+3g8
b07E7y0FnaGu8iIYd9XKq1uXQ5F+/i32WPVQ5RJg9EAxBVJ+sSTIDhMUTDx1xZN23nUxegH7vuBK
04ZeFNExqIOWqKWKkvMGxRKEpeaqx+Dr023ueELIKIkFmkfyoqGvWDmTRYrZE27JiXd+jKKQY7Ps
TCqE+SreXnzTuqB/+JM6dwn+cUR+PkfzJYysq96OF60yTVB72iKvjyMEhqz9AAAs/EXliSIsYK1A
SwSUpG8f5XyJdkKasciplC6SwYSgnAFTSoFKdeRJe8s8lHchGe5/9W63HtfyNkzhQnveberz0woT
6qw6SauiO9F+Vf/19FG7KiR0bzhPPNiM+UTGhA6jU5RxCKVixAHLJACk/e7UY/nO2jvEvGTsfIJm
QonRK7HUmH2iUNnc0vZAIMmneAtr1NU8Hu7LfMfWhBajVpSTfFKFCD7A2T62DspcMMwNwSoKjMmh
BMS5K86r+8N7L0IsgKWq30br41sIx231gEIIWgewcZ6rnzmWmvXkVU0NFs0Aaq21rUjoiEssuOG8
u3knfnKAjCLRwVBb0cx5u842WHvwKfvqiYRY2LfDDp1Prg/FY4rRKpc2EIRYB73r9HRmm6+L+9u3
xPMLWS9+TGXKFEi4dycHSa6O/EKLr0F2SPXuPfnxNjmOTLD+vGFouSEHlKFtZou7nGgP3AwKxyVk
h1LauB+khh4auuzIwwcdRXDQrezszxyjySPEKIlCM2tdL0Foiw22q5iDwcf7dUYxlIksyQZNWPsa
8Ezr1e2L4GnS6yaMieOcSWaZ1xJ+vrX6tX2hC89/jetqZfk8F50+ij9dCw2RlGLSBdeMzo5VdEhV
CWI446O1rcLGLgfexsXZDJ38RYK5iWChSYWRg4Qr+tJ9RiSueuExwdxGPWLe9xTAa0HL83bbvia2
DMCG54HkS2xiQzcU8kWcG5p3lL6YYrS1YaT9WR5AUnrNsEZ4c++8rC2OQZ2PPRQshQKcLYBz2TkT
cTQisStb6vedyGBt4Y+hX6YhmH/CHCDMEMd/mFUAE3qM+yD28qmho46P468MgzvyGnqTc248Eoy8
yecurjqzo1cFPAG0kd1hVmKFbCPybTCsKa8aMe+NYb+PbMomwJZZLDK1HpRipPCgrXUicU1Gj8KJ
UK/sNbKN2A9+rQ+Y0YjdfCsn/p7XwDYrmhPyjPAPWpB3bQTyd+EeLspnyDHk80mYCQFG9heRZnRi
QJFJSbTZRtadm9jtjxV5EN7RCXhZHjB8lf3gpWDms5gTsoz847D1cBi1y+PFHsnpR7xEn23dwKvl
8DcrLxM62vfILjcvC+FkYHfe05OOWzPs4a565sjkrCGf0GCCHtpi2OgVePHtAIhFaH9B2Vt9eeeQ
oTfxh6qdkKGiMlHq2M96jhS6d7B6iLGs5eHaw4iS1WHgMUQf0S1K9FAnlFCu6jP9BIaSDphkTW0R
N/0Il6G64oVW11LR30lJbG+WpBpRpY0QPx9NodpHKgHvWomX5xDZ8yIi2NxCUb4jV9i923s9wWy2
r3JEZN7x+32wEtu0lcdNXQ8iDta2s5IQNPjlJH84HLjrdjhSL7E9WyWwWFIzwLpBv+x8VM5O0B2e
vtpzJGXWu5gwxCiNPsn6RQpUsMckc8M8JHWXkQQwvt1KEYgormNb1vygOf5YjPeN7PbGivMBt0X1
T1wLuYnGPKG3uhWs8qWOdxnwRwYdOcLA0Ute3Dpf/ZwwzGiTEQXDs2jiXJV4ZQg5EVOrXUq/zk+t
bAkKiStyWa6l94s/Omp01Hhx3qyHMiHPKBmz1wOtVwCofPqMUxLfr0OeKZ+PJCckGB0TYiWwXieQ
UcwVA+Yp9WHKCZbY6OufsnOwuUNZPJYYZZOqeSjoGb1Bu/+JHcM0Pd7bF+dMPIuj2CQeLUbddCGW
5hgxaD3ZdM9D4WD3i13stq/taBkHUqw2m9JpXe1OPQO8ILV5iQcOfbYzKz5rANmuIT253bztHJih
28+BxyDbk9WeqrI3U2qEjsdgvYod6G9XWqFwR1McduH53lpzPcvmpjqo5N1Qr2xz1gVg13FBH4a9
Ld9XF/LYfoTELb1AsQCt7amPtzmdDzy+xJRtzTLSBB1Glyu9gvROhL0Y6UZzc6TJOJRuG3aJreGU
sYq9rVTHUb9ssLCCdlN6vzJCO253PwsswLY53u183mjCHKNlikIrSiXGMy+cJ+WzWZcZWXNnuW47
fNI1ezyxvZkZ160ywuHDBPzil2Jd1qcOe6Fvnx7HQFz16YTIpTPGMqGv2334vP3L8y0Ok0NiFEfZ
9llV0nUGZ7vV7SG20gddWZ4Dp6tI+WRu0RTVegUPB48reIwOMapFkXcNji2K4OSRJdQVer+Q2OMN
zXBeFFvPaeXz5ZLS+0l/Jofxp3f7+DiqiC3fyLkWy8KAi9kGS1d3TxxVyxEutrfK0NMqVugpoe8v
RWH/BaBstxngSBY7B6kOCzEsCzAQrDD9UXO2wHKiMQCgfvdMxa7tBr2nr+O47de0G7vZ5LFbZxYA
JdFquj9YlvOye1iWKk/hzEbsX4LNdlhhDZFkqg1VOOujsUekVPb2O28Wdj5kn1Ch4jd5mUrZYfzr
BAaBsiy6rxTgYAlQZZRPsO/G4nYQ0vO6YR+ulmtCDtAhcR+n9Dwz+9wQSyI4R2SLUZjkutm8A2Q0
g7gIMYe1gGZoz+R4LE6H0kuexuAQ8WI+nqJm26zShdacW6rezm69DZDsOC/5QBS3oz5s9/5+U5JY
BKFMt6UMWLT0XG2rjlh7PhnOk2WHHfNLLRmthFisX281y7hPrQ71O8xzDTZOzpfvuf2tvHiIxa4V
UlnITgpI6h4yxg7BNINnhe47r22LZyvYnilTFRKxpk+qV+0Ca3R3h3f1HQU1Wif8H2Mitm1K7WVh
rBpIX4qCVvzUYStfZ3dYJTYA4+1MjGbtCO5tXXj1QW68riuA6uR1pXFahEEGmnIL8JCHjPxqANUE
6CGO1eAoXbYYU7SypCwSLFUyGxIHpOYp9b/EV+giwaYWw1TYKZ8q7rpcMrE0BWghdu4uHtLti4W9
b+tD7Npc/MX5sgVAPf9LjtHyrV4YLTa800ICnSjcp/6jsVJ+xVhVaNreOiHewdtzTONfLuuLKOPd
taUgmie6lGS8892Vu7DGByyz/+RqeBp8/ykUX3QYDV8Pp07uFvQsfYBz3q0CGy3jFJHqjG1twNHj
EpzP5nwRpD7HRAobQFmWUQCCZ7RD0vk3DGhSAE3qKcOuwKxgnN7miP68I/NFlFH2AmaSWtmASD75
IOlu+x67Nu+Dg2QLgNO39pXP2xz6F63/RZJxASuhaqJewAUCYKYmxv2GQt0B5IvD2bzJ/E2GjRYj
IOqNZxp4PGWb7WCNLvJFxXaI6Zph7jgoR1iuPE/uzqwXsiolC7oczHVf80flZ5qSwP1ZtA6HL96j
Y0PFMBWaXKErqjA3FPqq62L03FuRNXoNDj927UqGZ8Br75l3pr/OkrI/YW9RioFiFJCSk24HWD8d
xRyueJqLDRP1AKun9Y6qEuxalchRWaKy+9QbS81FOt3mWBmebDA6pDDTsEfxDYrYx6hf/Hxb9K62
/obqYGPDLpDDPFWvKso+Smts0caS0TcKuXXBxElsNRgv35xW6O3JAL9lZ0vMfd7+BO55MsqkbJQy
Ti/gsNycdm+5DR1SbzbPG5gDj9dWOxvi67qBLZcGFp2yzn6FNatSWSboD62BX4ZNCi4gTZABvs3S
rIM1ocLcWXbplVMvASNz0ViZ6lSFo2IJWLJKSv/UcMRxtlFd1WSdbjvCljUWpR9IBFWkDXRa3oaO
6t4KC/Bl0P/m7kOz79GeHLqtH7ra7j0E4KnhcK5v7r1NyTO2J1crA3UukMcO1QKdWdHH7bOcrSZN
CTDiIQbxALBxVAD9rfvmfmirxqMNvSht5hDG96eFe5vgbEZ9SpCxM6J+yrX+hHogcIp8xSm9+N7z
n24TmZOQKQ3GsFwujWIKMWgcj659AT5VUnGi5tn0xYQEC6WfNuc+kenF+NvykDxXv9CfEdbWO3cp
8pxdnhKiQdpE43at2BkxhWvAmEKwDux7NAhlZEN9Uk9zOAdHxYnVV1Ni1DOZEDMu7UWOLyBWOxjX
dnjWYzZQ0WVVBfC/iPo2my0Rw1YE7LRA2xx0TGSLDTEAvHYGL/tFSTB6weFnThCm9Bh+Oglt3H0M
enJMkueMRPscuKi3hW32CU2JMDYxFM/9pZNA5OwefXhrrfOav8SO9FKbJF41KpL+PXj79ALBSpYV
FxjiakXYW5t+ADVyk1vrwybW1MUIJZEiv7J9q5YEYaC4JKPjeSKnRYl7h4z6rfuFisIG2AUxZ2sD
2117pMm7AVxytN+si68rEmrLoqbLksGE7LIkLsaqp/cHxo7iP0ow2ZHhmaczruH/H6c4ocU8tAED
BqegBq0nXyfua3mve8ndBbU4+wy4NvsQOGgCPFiaC5xAGDVuHnn+YCcfwAhrmmKCrhfxAfbxNQAO
IiIMD96wzvN55h759FAZedXCUyGfStDxgf1SPoeH2+9h9s1N2GCksUgXl+Byxs9niJOEVWs73pmL
8TyXy5nywAhhGxUFwDREnBW6vV5XJF52lmJvnnNM01otEVc9x1GcTX1MKdJTnTyyMSyKKihAkaYj
jq67cGqXHA7cGSgeZ4xBvsRKL2FDDIV4wry3CSrWWnm4fUWz1mvKDGOEFX24iBny1tSrwcgmFtIr
RHrmKMZZ13NKhTHDfSmOIRoIQKVEd/IIcThZub90fqy90OWpCvo6/ni+8NHQNGUYGBNiiGlFjjkr
VQaxhi7RcEQUPj0oRM7JUcG6QYZNIpqBmSiCqIAM7Wc6Xmx9pxB0l6M296+O74sjNpFYXzI1MEad
cuRucxu18LN1b5EILvX75f/Rlz+vbScEGQUURlIqqaFEx7swQnZ8k23FztB5+sljbbZtXZ9QYlTQ
KRMSM01xinhKyDZE9zVQDUa0kPj3AirX0K/xQfBB911zeA+ZIyhsXrEwytoIKg0Q+3ZwPy43h7X3
qa4Mi3d91F7ckhRGRQGB3kzHDnT8fm26GAl4HveitVfRsnhbJucdkMlpMqopjqW0rkyc5lOKPD0a
7NwL5hlNa7lc7vDWPveeYd0myRUVRkuVWlNcqhSiYp9t9drYd3FlW1rlT5K95p3krEqc8MdoKzmS
QiNq8BDsjuIYyLviuFCh5bkN3rzHzegQZdSqPDGg4wUkHbrVYpf59a/dZ4/cZcXdksO7NoVxbrqF
WCanC86wepWfMfelyKRxyA9nWcLBbwCF4RnKco9EO1RNxc0Qz5rpr0Nle7/LS6LE4hnUn2oHK8XD
nbttl/KJYOfUuH8RnvdPvM7jeaszIcnolwCQoLmA9cG0dQxK8+EFWvMTayCeuBfJeeMKo1+yE2ZF
q1rF0ToU3rVsyMJRnr33269gLjSbaDFF+e4SoCVyUQQ93l0lL+NmucA85Up4NpvtbTKz/hr6tbFw
DJscVYF53nCMDWOUDHQeL8edxx8NnT+sr99n3nLaCJLWafj9yrGBH02XZbTuYGMO9TYf8w7uhBHm
HccAoegCE4TQ5G7Z6UO4DrejYGktOW/3qPzv1McLp23/L4rqiznmSevdOUtEGTRVgG8TwcEiZxSh
fxlkHVXk/Z2LKjArE5oMMRZEnJvBHKaCRc5dQCXvDM/0Lb87/VAxV9EgFdv8KK0QMNb8kUvKwx+W
RjMNAx39yL1dAdImrqmEsYTGDLBfFGAKwP9eENWLREtaXc5YkDOQ1PX2mSUJ/8oGTMgyzzk6j50Z
S8kITxVvTEys5x+W1/qezFXMKn2vtzhk3rPcYBePlICUrb0WRHZzG8tH3AcMSTx/oMB67zy/DK5o
BeTHer1Gx+mRhjZwYVD9en8Hlpu1e0EstYei4djeefmaHAKjA0Ik/FOjwJdtZU+FRtthgSLgMsQV
5+3Q37l1Aow30QqAWRPoHYO1bbGVZBKurNL6lO8LX3M4xGbt4IQpRuP0SqdVUgam4HkesfUIyYSd
iAPMLF56ehYUESvbfssu816CMeoMbaCkgIJjLI8ydlKEqRNsPIrs43kWwG0bovUY9MeoP/ULsVgK
4x2tj3icm5+aVbWTr2E1lB6FaiZgae7Rfh19uXVN62r+ox9KSLgTS1dX89alMsqpWeiNKMkgR6u0
ox25q4dVdGfkFrJicWJ7UIqBZUheCVQKiPFhTTdO7Z94HvGsK/DFNZvLFHo5EtMYsoUr6J3XGhvC
go28xHQ96pt0j9f7vwujJiSp8zxRWWOdGEM2gPMgJW61FhKygA+ydGJs6/DUl5bbTcC5WZ1RVmEQ
YdxmAYK+soTzIZ5Qc1kLfowNVMCreOdlk+bTBRMGGY2lJNgUOnaUHtrkk8Nw53kA8+RoH47i1xnl
k5bxpVB1EEEB9QQIUZRpuflnjurVGcWDVL2UtE1I1xT7rumqguXAkAH3lYeJwVOlOqN12gVs56IG
N0/wR7FT5UJC4PDToXfOsV3TzDfeHbsb+9TrHbp7A9o50FvJRsdcErQOMrbiTgB0d7363KOUE1ia
w/VMOXpcZzSMGrS1sDjjOFMs67DjvfxA5y4xfmLlC/K/qXGdUS+JooV42JTWmfjHrZRbwnuJEjtW
mBLV/ncx4ZfIs8naMs8bPU+pkX6tl+mPcAsAxgPgm3qy2PCyPfNu1m+zYTD6I86jU9kXUFlb6Cz3
LUfEm/vAOI0Pnv8vPeQJZ4zywEzukC6ArkObGKO7ESE1TpA3OMaTf4NRGZeLKRlFSNWwne4vOuoi
aJC0kS/gbZ/gUmL0RttLhtSeIf8YsbqmGYF/tEGxwOfqeXoyN16awWgPPQ1TOVGiEQUl9M4AmoqC
cMNv4fXM8PStwSgPKS+zRSJD1v1jve1I7pUEeEQSd555tuti4rCwDn6gFHl+6nB2wzIqCJyx2Fk4
umkFm7wh5WCXZ6KRegNv6d2P4p3ZWbdf9bWZ79aRMhpkoZtFkAwQEyR7MCKqWbKPTcqZHTuAUVsF
lRUA7Njt0RgqxU5oGR4saghfgsY7fKQkriwxSqYVpVOqVXj1w9p1K8scsCoe2MqLFSok2Kp4m/n5
lPLXS2Q3GKejOBayAHlCgnKLhVErIDxvH54Ngt1l5uqdQ40KDXvUhoI1GJpsYA/3NaCdeClVK6nd
qGdwB2W72MoYFFx68V1uvSfbd4Q5HGpzb2VKjRHhEUm8ojNBDVM1JLdj63mAd8KNUOfyklMyjMc9
ZkWHrpTT1WlYkBR4kN7wxqsxzYrFlAojpXmUx3mvXv0fNPjHwHADOD2qWdwC+WwD9pQSI4BDlYhp
F4CfM8qDzYiVb5hrt2ijI+KHT8QsJtaN8u5qLkKaEL1+1EQyMjUPhkild3W0OwH8bSKKk4gA6Z0n
hDxSjKlTjTEHxApI0eTu0TaRvuhJfVROoPb0nh3/NylkJw50EdmLM724YBkd5JFoJ9R1abUh4eF3
zHZHTQ+RMXhnoKCHRg3OhmWFETLfxWSxgc0X6HUMiWraFbroLcGn5PWVjhbj4Jr05eLLzPqD0w9h
7GEaSV3U0Jdnb+2mIaCONeX484mcARKw708cB3S2CcZQDBPRnaqhm455HdFpocaLsoZTjQlqSOt/
kZY4d0m/+0/99UWGeRqh2bQLo8uhvzDbhYF7wOX9oOUcnjfGocO+BkUcxcagTxBxSLgPsa4oBtgh
wcHdZmjW+E7O7XqRk2enR2gICGUwBLvrUqSli3cBDjyyedTmIC3g83K8s3OcU5JUa09Ilir2WBkZ
SKKxGVA2r1vZPa3VbbsSUImLYVft2zzOdsVOCTKvQu66hdH3lMfsrgKMsrcflhwSvPui/z/hqR+U
MWvbEjwdx01aEXOfwFuifaP2O2+LkDhvRH8LITuGkylaKggdZP3pCJVla+gIALyRB+QFDldUmm9I
+3VyfcKVagihJsUVjR9twbqLrKIiZ0951NefB/2F7oX9f2yG5XHHWNOFKmnAcQLR8e4J+xxoijmx
Sz/dpI/AVeG1Ps5iRk2Fg1EcYVPEeSZSaTy63SEJbLh5WNmFmvDz++cnF7h/3iX5ujtGgQh1iAq0
AnIUj+Row9f0dKt/5CqQWZ/EkCUgopvwtwRGIIf6dNHOioFUMtDL+r3qqGsrkdxsyY2/ZzmaUGIC
klZKldAAUzhA9TnBABWGpxYr4BRwVNVcsUtFB6yoYNGLaGBV5fc3JkWnvAkaBc9YWT6Wb+ZD/3Ku
0Dbkh2+35X6ujviNEuMgXM7aYpEbKij5xzv37bF5fjCdj18EkT5A7DOrJyrXM555a5h5EwXRMDVa
XGEuLBCioipCc3zUkKt5WpDCqnrLAJiuU9k/DuW2XP4zy/nOU15z/h5qYAAHkHRZEdBI+P1g42E4
ialSCFDIbrB+pOutyctg735iCwgX2+860cQolW/UGPUflvk5Gy6tcE3RFlhJhhf+03Rr8haSxH0A
jk123Tn48vO8M1yM/JUW8Fc8H6HW7WueC300CYxLQKEQde0qBhP1Fndq2eZ9JKB65m8lp1JQCIdX
LYCi92mu6CImDkWqTBjev1FkLrkRhvhyweqOx+wehWFdB94q0sHoeRqe9/Crn/iJlhlf9xtF5nUO
3SIJxyARaClyK9vBI0U+Q7qFu9x4zpP4Ronq9clp5tlpBMhvCinqkJ+9G0dben/2rNYzH99hByUK
MGihW5RnpZQZg6FJomSiOgyIJ4jwd8LnQpIR5mUQKJVc3A5CPG4Ap+Ng1b1OYCETi1ZHkZXBpEC1
NF4MdAW8Zc/m0kouVu97WHYDSGwreiofrNPdwe54acO5lvdvX8hcQhed+jNWYuEL2zUKE1hVsYW8
jedl4wArEEdjEcvYnBSi0l2bxhsQGTte3/uc+vz2Ecz9VKmSniIBxwQ4a5VgeBc1CdcgCdfdouf9
h5BP7oMx4EkSmsXZzMEtou7uIL2cHp0fn9UbL7yfq3R944gx3f04wrWLwFG7tm3PbAA8jmptsN/6
KpFJhMHG0k23JqYK4NEuscJ5iz0lEIjFk556FrdqPBf0fPsexrZLKSyx1tFrtu035WV802zgsADt
siEdRh5pzsgPTE4CZy7mm1Jlm14WdSDVmUip+tthF++lCrCAkX2vrJbh5oI0ATZzRc5AsDgC7Xu1
/x7ag9++8VTbrKL5unW2+yXRw+hiGviMAUVEZEGWZy9wL9iyamL1GkeNUof9hoSxiHt9WGSmllUC
7DOee5DY3YOHxAR30G1ep02YYiIHqY2U86K9EnKRFs9kIoZIi1+sBcY5MNBhgbkw5+4aux7WLQYZ
lZYCjEkouhIMFmRw0nVhjV5I3u7cqCQqWm92WUYKG05quTysL0trB8wmq40Bh0U1LA3qUbI3rPT5
3xSvvkkbo8rKuhjNSMObgz49onqFGS/s1uPbLY4SuSr9iTXRkzQEygROPtgPYklOQUiM4PNkh4kb
FT/7gISjvUgI1mmY60F55QjYjE/7jUtGhRWlqXRCgPNHMkqwFrGrvCsxukTHwuW9G471UhglhoHD
LBd1etU2XRzqhJjW39Bw7v9Y+47lyJFk2y+CGbTYBlRKJlOQRXIDKxaL0Frj6+8B580UKojJsNv3
rXpR1vSMgMdxfbzdBC4LMuff/U2vJEnlDV0QFY1ufOJarq17DbeajI5Bkv5B9X7ye02z/8n9LeRQ
96cNgofbg5xnx/IigiwJj97hWS8ZglaRYCGIur1eGnojqKv59mYDH+9a5zWANbgvZq27Fu7hn3uj
kB0Zw0bxPIhpzcZyxgdp74Hc8UB+bWFZMrJpjl+Zi+TITJasauIfyfSobSTrfte1kDxgLdqP357j
f0RkGswEAMRcw7b66BbCqECgVcGFIRgz3Il2bYawWx5gBsuTrsxq/kp8urzRL29l8b6ToguwXgXn
kshxL6CRXbFfK5eVwGDdHoXfiuYpilxACneCd/WKaWj0u6D9wryvH2sprb9OQ+O1UYEBdtZ3VTMt
8bdngU9bLjCl3G45a/Mxt7qEp/OZIXXV5C4+F4XFupiVSR/Od9iZyUk/tI740jxYxdMnZ30ELnN9
9VoJ4q9jUi5kqqdCVWgQCFICwaqPbUuun+07sIq5dlxYxcXF4SgIqeuM11NlloWlVG8lcbY+ScD1
dmXmB9cIGP86FgUi/BRhCCGFqMJqnHnLaViaGCw2iGrGNndJw/1kVufP6WlzzdxPbW4dYliBWcId
XP7Sr8VrwJahwDBm/Znj0NxUfz2zOtDWgvzlIb/+fSFCBwtHWjYQ0ZpfG4ARbXMTRts/N+DPND9Y
VDfrrhPyTjoia14QdOpJpLHC1T1mVW7qripIf8x/x8f06Vew2TWxdW1PiHn3c0GTcZNrLbGquJBL
PYpBayOhaCA3OOxfqhsSUtIOiQzziiZCxgNcSdn8JYp6Drw/VGHNQVRMkpvwgHL/9YPxxFcReXEa
6hXEnl8Vug4RhXU8dT80G6Ny103isvKF6yHqQhD1BvSST5RWHuEZVBskJlMSf6IqhLm9uYdQtCud
CJfKbq34ZtsFZtAd7twjzCdPrJ7mtacgCSqP9WkoICE1g6ey0NNQC3hPUac5GVXEplQSi+UEreZ9
JFFENCbgPzJNpV/HsV/zjT6/NufidbaHpt7KNT/PPZpQMALM+IZrTtdSHHW1kpJH45hDXEyst7eJ
nFywTyfk4WnD7BhaDUGXsihHhRs5GPF6Phpi4OPL6eaA7tr1NjIYTpA8Z/pfq1/rz1XSwWeCxK+u
JP+6StUcUjhDiLRvvjvYoFj9OAesXMpXbEdD5eKEdJyZSN6E2EDD+w6J9B5PO06wQ+xq3+n7ne1i
vO83OXjkYUdmliFV3Z0tpPI+1Ato0X76YCexGF93DQSWv2d2QRb6KuoVVwrzjfOpXdV7170E4O/9
9WqOaIX8NBvR+UdDvOpSJuXWcKMUKUmNO9i/vARIEpMfDztx4z0w3CfW0SgI1yUurcoEYvD6WwGr
rcLh3Ig/fc7kK9fQDvdvkqW7NGO/Jqm+jw47vPybT+ZFaLYRmVvXJWgBR6iXmdFvYHjJ5OlZ8zQk
EQ0pgjAng1XqNjvUIrE3xEOwwoFZmbyAdA7TjvlAhtJEaYalMGs+6VIcdatpB+tU1xAHJ6o7DJEZ
bcyzhzG27f37XH+af45FGUJPy/OunhVTu1zRoIiJ0ft/f9XSLg9CmT/RS0IQbnE4iDWIZnAVXPVl
J79j7/3GPzGHu1Z97KU4yhT6jahG+gw1WIqbWFYhb0bHN+3ReS23u+ZtwxwfX2NaxDP7c4MUcKdR
r2NEAgdEoTqzsP4HO4hmykj3cd4dYM7V8Z7odktUm3W3a+HRUjSF46MY+6KeBMLteXRhjrG8Me6J
ylJ9horQbepVrtdSXuBKm2tvgZwCDQYMCFmNnBcH0eaDLuCxrPtinLDmBQ7MTFUJgnNzHqa86AeQ
R2A3388rVjV/ML/dWs1/+e3o7nSpC8ch131coNXaHL4csnYuy21fKx7/JYWCjmwSlarLoCHP1lsS
Eexp9h958sQT9E741rwdi+Xezn/xu/n7j07SZcJBHwqpMnCfbUUE4m2ndO7VQAUBNddPxsdbLRlI
2JuBuoqMzhqaqieaKrUclFS4taNp8U/CXK96yB9N3WHR9611m6pLURSYdE0jdqqRCLNJs3h/G2Jo
0m5Pu1Gwma1mqwi8OBaFJLqYNNifkUE3XqzYrjaSaYG3jBEcrHp9CyEUeKj90It1CyGWXhL+l7q5
pj8YADxbim+6sBBBgUQnF1MSV/g8PXRh49u3mpSmvtXeBHPXqEzql3Vt/yOPhouy4MWq1/GNUE+T
9sKmeCxSsygLmzOsIN0Pk931pHKM2AKxvlhgclOK7Lx9vH/sL/f8zrFpSMky7MyQkDS97Wsbo+5F
B1SZJ6Zbnzx7LmYcSPZ+uaCYbEWOAnop9Ra+YIZsu7PLrZqTdgsvn9mTswrYi7uh3EA1zYpWGSPh
Vugk7jfTZCLVNJJPNWWYddZL0SjMMUoFT4XDV8hEKzAwVroJzpvd064sCJN7b9age1dN+SpK0mpp
OOKq57zI8biNQHbWEfdweN3tmCyNaz18SwygB2NCbkqRyoW04xAS7LqMTPnF+8GikFvNTEiKJiE3
AW4LlV53rrZ+I7VRjmdj+g+SVbreVrpkm+Eiz0t3KwS1qJehfiJ9xER9uq+86/ZwIZx6s2HUqZ6c
lQK8GNAbH0+qeYK3e2mQ26rswZyr8xtLvvwjs/FHLE2yUSRC2WAblnBTik22eTAH35T3aKuYl4v8
owLw4oK/KpYLmz94QiN5Ai4YjSzHzskJ1m8ZnYX8/55JfraqoaqMJBP48dC0Q92nIoF8whur2W44
oq2aCHgvvwjWie2unyBKvf/11g3iH2n0NYaiV7TpWAtILs1FOX83vM8jqnFhoY+AIWvVgCxkUZ6T
kRrFpEg42fEY+Zba27KIJtrSeWrerjHWwrgsi7WeF1lIpDAsqrxMmSqcTiKdk4nmYQd6W3uwRQPF
G+tjut4/IePTSRSQRVXh5ZPUCzend7ON7Fx5xnZt5uei4CtM44lLekioOGt8bMAvG2ODznbPmhpc
x+TFzVGxVhZEstRmuDkLabrQRpEYY5DolmeTo6+67AtJlJ/U1OAuUOpBQDLpxZoj1ZtAbuVTbm71
g/vTNOPT5prYV3ifrD6bddxciKbdplbpY7FvcMj92/HNuY0lwSZFYiabgPBzr/55w4It1hugnKgp
TgtPbnBa3KsimHxJwqdsP0//X8eGXKNd+56/39fK1cIDWCH+jSj0dvlA0AKpMCCTdxGhoz2tt8Oj
UZmca9bFLjHZSbRVf/SPRDqJ1kp9pgUK1PQZ5D2BiX75yS239bvOCiu/ntQ3e76QRGFKVP37PpUc
rBSocDgzOj93r+hKOmaOcVEuvy83bJVsn4YNF6BBKN+qPapXrPh2VtN7P4SCGjFv5GoQZl0Cq0N1
SpwMlH4vXx91pjhFLwfjqzLeDc1fovlVlScRXmiDzn3nrdkapEbaft/D03B26juqdAyJq5Ha4q4p
8EmqNjSkoZ1fqnDCguvxqwVNvk0VM8qWWNdJ4Y9YBwavT5BV2pUzL4V4yQ6jqYObOScYohNckLi9
Drb9w5VBKYTZGizERenHsKw966JZykwBlCLKqhr4eD7ZYdax99pUTxUeLDNinM90T4UoOBLQAp96
Bs4MInvZBW0iWNeiHwVsZGab/1d9pYCo8QQhkzQIixLzuHfeS8UsCld/sNCVGpnhP2HYVhcgJFNu
TT5zN6o81HUP7xBxXUgMExZy4yHbdF9Pv9zdO/dIb8gs6lFW8nC2KM9WvgtOdYSpr+32lFmlySmk
cU04ifvEDI5g3EyOH8yu2K8NG/d+AYVKfupFqtqOMNPOcY+tL8dTbb6HJN5tZ1J4O9nsCiI6r09X
5tQZwwVRKBjy00HPOh8wdLTQj1v/YBmwNZqV5Xf8+veFK+x1Ala3Ch2+Y+cc0asmOYWTP/WGbdjo
nELUdu3fM9Ps3B1aQN1fnfl4eUzdFh2pTwE4fMDQ4U4uf3robGw8T8zN89C7AyOgXs2sYg2rOkdD
aOSnu4LCutG4cuRnpOI2GGBOtoNVx5YSOlxC+q3xvKuwbn1/ZuWXVmvSS8HUEx66wGgE/0swf1ZI
FhIMfLwc+RHkC7v2lS+PGK1npSRXvcKlVOotl35iCCXIhm7IDL6cjukl9k0hRTedzHhaq27hUhL1
itOwUcGUNEsy0Ocum1ljdrjLnWQLR+31/jte7QNdCKM7hcCr3cp5DGF7jCD5pRO/BSf1lgZWuzVz
DTantDdYCZZaD/aDZO4ye4OHrWqEZffmAi39mpe/g3rNfIDAO6/mQ1eBxV2SkZjFbmYxun/e1Uh6
KYd6u4KflUNqTDgvxshOp9K8YOuVq5k22cG2zfPZkckqHa/hxVImFbK0Td4F5YSzDa357kQoBqBh
e8fkSGep6FcjzgI2Sjn+fyq6b66S+wrKwbNusiz17IDc+1CU05BGk6/iY+ECjdPxGGMWGx27gTG3
tX6wa5bz57gnjfILoi4v1cCDNK8imK7f7Tr3Z7E7M7Rvzc1bfiAKUYywa7LGF4SbGG+5C+rRU2B6
HGvie21ASF2KoSBEaQ2xy/RZ957RmnRCa9L2Qh5/2KBWAqPQnk1IzfpWFJJMgxDVUTJ/q31jWQqI
H57QX30qnUBB/y0zq7Lmuy7ORzdhDH2SYAIc4sCiZDjZHiMS2DeD5oj7b3i1hKiqmHpSFVkUFNr3
ECYlECQwGN7yaaPNadzInN77wHraoYQfwfdgZnDWPOWlRAqdGiHnglyQ4DXuKzQRc2hYQDCJTNj5
zDEK2qu6uDgcDVBFMLVtPysJblHOTAWX+Hz/AlfxaCGCwqNK7ThsGxCFG9eS8qj8AONOa4ZYePuP
LNlC0KyfC0DKJj6Jwg5n6U0reczNqiLzHO2eycq25tUvvw8FSo0faJ0X4vvsO4/Ay949YLtzfDpf
Z/YgZiVoVc8Xx6JAiZO4Jho4GbZK+1W8ClgIkQpWzFtInjB5E1maR0FTEHSNrH2pw955O02khDqg
ggx6A2b0wDoWBU8lnxsgOMAlFhZYiiYrd7UnbgeYYBUI59fyDdQX90fBEg+C6FxvlDljeOxuwmUn
Wk+z5b2v5auZp4VSqFRPWF6ElR5mEIOEsuy+HN/eTluMYWDV6cFGRfLJ3AfufZEsZKIZILuYyzo+
hmaAAfJYIZQV7aByood9EREEQ//Hi1QprOj1qpUMHuKeXzgib9FdgI6N+0diwBHd5hJo5dAIEUQE
Eel/8+iaMDuRpRHrlhEVY22eqdYUg0Ikf8QimRiMv4ioPBe2cetsfz+GpgvDCPIlEwtJ2fmzVY9z
IZMCJ2xwlJvAV/GKMf711h3GBw4U/yzf78vp+q7sf45GQdPQDGJQ1rMYjG6C1m8ihYPl2shVeSar
uWYGg3uyKGBKq77TU0QPN5DxCxeP7JhB37o6/DkNBUehWClCUGoz9CE2eTmW9nEIQOorHeWX9FS4
nxu2F7MO7n9kUriEHUcV+OtxKqQbXyqRNAHR7OSnX5Ar8tUM27iOt3+EUdg0iY0aNAkOOAs7htv7
r2k1Taz+R+lUnsKkoe2jKJZwFs15Ryv15bLNNnM2HH1/Ofa7mQxxq+7zQhzltxS63HuTAnEcvImX
3i6uyb56BpeLxRC0BukaiqMzObKM5k1KL/g+yJIR3RgY47W818fUQmIfc4sMKWsWaimF0oQBUwRx
2kIKSgkGkvoysSUb+/AYp1ntKVzKoZQgSspeGkvI+dojA7KR2xb9sJj3/fkTi9RZzaCrzakLcbSh
isUJNPwpxIF7x3J8+BM356SRFj0sx/GMZgWNnOZRBnKpX8fHQiGP9niosDQVI8Gb7Hguf4Dv6P5V
ryZZlr+J0pwUK6HLoJ4/6GAdb5iwJ1gHi6YhIDLISD+MA+PdyWvYtRRI2TJl0GIJNXYR3ofoxiOR
3+AdpJ+oMPT28UTC4yU3E+e2vVxApz+Y0TNyfIoJhvbUQCOrLdh2Rh5M1M5YLH1riLD8YZRtKpSB
E6scP+y5QhuIweYbXMO3pQDKEI1Zm7dDMV+1c6zNhCeS+y9mQ+GVZY1W0x9LWZQ16owhq/n5naJp
FYODyIBk1vYGwlv+9Vf0QyX5tsC4/XPpsVrQWLc4//siFJCbflC6Wccl7Jw3HhL7vr6uZiOXB6MA
SEyToB6/vtL+5S3A8ueLZh+grRE2zTPTEmtWUNMMQzSwjQ7sAdQtao3AjwNcllvV7sDnJDrN/NH0
+KBrDCd21aNciqLurePbZswwEnPbg2Pw7S2zwGpjG25qYXKZAa+sU1FXCOrhYFAyiOLd5+O7fIsd
Bq6utuosD0Ph96Q0GDtPIKG4djYmC2ZCCYYerJuIP5+Ggm5jJujXfIiwZtzAwtYtGnTYPbCrwcXi
KHRX2zAVshQZ3azPjjMeb8HpN/k1dzhhZvVz3Gwil/V5/gsk/+dodAfbBA6ggZ9aWKWXowPORWCh
+wgXeR7cY2U8Vus7y/NRcOyJeqcOAs4HYoxbfvaJv0sCNNcT1AJdrFs0r0VJPkF8zj3O3cwfDF1c
zWUu5VOoO0/5RJMI+aOLjgWAIppVEQWwbO+sDrTHvBRDYa+mNJo3NVAXzL3UxD82c72EoZP/BXT/
fDgKLhIdbBNRibMgDYKt2SRuQSoZkdSxCrcxd58Yozt/htgOwHgLa97f8nAUdhTw1as2h1yoCzBe
f+02/Hv9zhLDukMKN8bh39C7t/Tzi0GO7c9mIzfoSovw1cA87M7dM4yzrUVvy7NRUJIKQ5CIIc6G
pQdHLPvLSfCTdTDW/VFYoqpeXBSzscxJ8iijAvI1uMbSjnXH5z/aQdM1K1UVt7oEFYSeK872Pd5h
amA6wN0zTDzv4PKwM9u9vBf3mJFg3CLjhDR9s5opHBAfkLJ3hL2/M8zSCZ09qBYZctat/58zUmiC
UrHYChNuco9K5tCQnpubKCzkskCh+Z42qIaz9zGuTmIsdIQmcp6MgeeNFqebWdPQe/RFVIjdZxjH
+PXoHl7twP4axqiZgQrjSdBjrHyhjChNz/c6TJazRWshWDeu3OPc3w/GamY1nvUdKYSJ+2nUcgn3
i9YM7I+VNtjDXpvo8n+ddzX4Djq7sIP6/kdl2SOa6jkRtQLZDRwSs8GggYStvf12QZlzsDGSz7rS
VWm6wOuKJAuIaFWZciCNKOW8eD7icXKQIkK3ASmtH4q7wwnRdksYp1u70qW8b1fa6HIyB0Bgwtsh
eViTG1rDrVEiivnAOzsTg4oGGmFYOZw1LwzTz5qoSLNzqQh/n1NMiqAbsdMZSuu0bxoa1AvWs1/T
zqUI6jUqURkKUi1AOy3r9N47VwY4rzpHSwG08Z4MX1QSCEDOaw4y0JaB+BnzTzZmTrDPiCFvDUGX
4ijV4PKubLgQV6ZXpPPRa/6bIWC1x3UpgVKGVgkGjH9AAqrGqNy9k3T2gEAieF/pmHIoiw06ss5r
O8hBZP8C5szAvLnaGa4P+AsYouafTHs+yyNRVjsIxwRprq8jWQDGxBFcsObhKbEyaquh2VISZarb
qgywV3aawQndgkINina5mZE/IDsw+1pstvs152ApkTLcutblFZIq+FwlkW9w6NgWjfFM6ZxN3hRB
rPQQ0c4NevAd4Y0jY/0DPRLnz+f734qh33RVIStKKdLCARc42kHo6AJ7IfQ62v0HdehKQs6ldZ56
+EZKY/PVcxy52kACzqxCsxTAJqkllmgVw+3+wRhARBcX8mo0sn6+RLB1RKCl2m1M1jaH1VzeQhdo
u5FkmEbGu5ozHi8vqimDphJQdLDD2wO2MjO1fbWUsZRHQYXcxrHezWBkvQgv/GdOqu0JnaqpK/fm
hPGizS4XyFMZkPP1g/nUWJ+Rwg+lnuSpH2fhVo/dTTNjIws31ly55flo3BjKMRF5aApGJ+pLbc5r
1dLHhw1WyaLLmaH5LEBUKezoRm8Uk2DWkJfjAGpG56ZbF5cM7tMHw51ZTU4sD0aBRl1k2For4ZWB
3V3a1L+U14/72r7qjy4k0DmDqcPKBOyWxmGOsLvSJiQYDr5e5skTtC2gc8+99li2umdVdhlQTycO
MmWYJiHCJYbumdkMyYJ3emZWkLq45Fv89WdL+bUPtshXoxrZ3WTFTBLQ3SHNw6yq/Rdv8D94RY+z
BYmnK5z/ZVOQF8NKExDBvvv2KzhbftpmvWVZZgYE0wO0EqjHBy2aPZrqMXy8svikWShFD7HFglYl
aNSZ9TyHfxHb6aYmRxL6RPKJ3IEvvo3hBLBeM/MeKcAo4niQQAkxqyS2XE+bwJoXd//EsuHNGZ07
/8fnTC984rshVacCLwD+zdERrFuJfcMKNoVvAVUfLKhi2Gh6x5On9EoZiV/vTXGOb8GHf44f41u+
BVb9f3gIFIAUquin5TCLs+AkvhyfeffFcCLB9HPiXVAQC7F18j6ksB4fnTzQKm8CRewXGiPz4pwu
rnxz7d3ua0CPyfTGMC90uqDUQ2nMNJywR1PNy/Hoocyc2xsjss+s/RcM10CnYpQybZpJlr6+nfeY
H5AeYNV1VivzCzim0wOdnqPlYA6DwBaPYBmM6q+obV1RLmDZltVs6lIUFaHEaVmMcoZnhp4uEJMh
Nkf61scS1Ef9QMjhFXtSsK0Hu3rmxUAsKiEWuNDLn9BNHPiigIOCEMJJrGrjuqaNDilEMHNnBSOI
+WJOvhNZ0HmBTok6JR4hrjWRqEZqHBuiB4IRy0eX/DhkP+F3Xccf1+RczMz8zImzVRKH5WVTHkqS
auqgaZAfkwwdOLLlheQTQQDjnCyHQad8E7DOhBwnzdiJ2npqB+i1Z6WnmTpKYcqochq2LM06ihBj
2kjuEzpHLKYRZ7km9D4nAanOUCghp3Je0DyCuPOWoBLtWZdtQ2SLoLhq2uYm5kxWMoKlLgaV8OjA
OTrFEkS/zH04zvsWS9BgFYbNvFnWHc6e46pkwM6Ug/mAwQdS77nDR9ITVsaHQhwohIgNU5qhKJIm
S/zXvq9lhTKoQQmaV80hSRyl3LyNMRiwasnsZTtkNWZQTvSXLAN7rHjJEHlNUaggQcmnZhi9pj3E
PDKhgmEamWGmjuyP5n0DMQPL4i3OgtBkovEG0maKoNDTst5Qg/9GENtD03bPvj6mjmFwEkOIsXJ1
Kq/PlPi4ORmUH3/nrFpxLHK/radDpeRcZ6rSmPhmknXye+IlRWMpEZdJDwN24CT7KIraiyEFuuHG
nZpox9zLZYXolaRPBIuVg9aq5UH9kJpCKWxP0cI3XYnQUYfGYmxIGYxmIgOGFh6kvkchpeSE8pJW
GbanNEVuPOdDIH3mY17+AuHBdEoiPb5lsVidk2bk7MT3UvADaBIKkOLQYaWflCe5VUxtf4nGNj31
6G9HNlozuNbupL78JWZ5/J6OXniLvCDJiJIV+dmLJzkxMWitHiUQ1oInu6sCySyrMHgJYpEvidf1
PFqTg350xKnuDBd9b4nipF0ehzesrsPKOikxxmMFpmjZCUKR2w3ICL6rIN1vSJA3En8UyjA5dyk3
ZQ9ZyAmpOfGj39hB6cloFUp77ubzYfwyIdvx1mu1tgWX6PgCQIoTwkdtlptSVuk/syhJSrtO806w
OC9PQjvp2vbql2LHO4MuRYKVKkIZYYI0y5EICpoa2+dbUX2qJ0wi2nUW5R4RBMP4GYS5Em/aYYyw
Z6+duHOHuhYylGHZ5JZRB0JjxyVoMcnUKf1rmPn5tG1xdypRul5qtuPgpwJD+ejGkVnFNQwhoRtc
1bHh46uSuHi32Hwd1CJ4Uw4qpu0GUxi7vCZyrvaBw09Gn4BKWOMvbZUjw5AmRnht8kYLcSFSJpOu
zfEphNLoalMahfSnVySDQbQ4Eg8iNpqlpiJkVYRbUWTVEgtV7+wESWrMcKhhqhEh1pqjHmt8SkLE
3Vh9LWldacq8yB91rKSxq2Iqf7XeVJWWgQrIb67ws9jKOh2uvd5rBoZ6YjHY94XhXbUwTbmN0CZp
62h1Vw1uY1TtaElJMmQEqyi0y1D3PG9xo+IndjdMY44FXbU/FaQtJQ2LpapKHxnz8CtYpemqqGBZ
ggAgoZM00dgVQaaO/aFXC7PpXVUKnK78zSUZKwKf08IUWCGxLYP309ABJDpluHU0z2LDhz8c9MgX
LhOnDsQwatUZo4K3M/hQJGyHJiJlpqMnigNStJ7GObmGmiqvGL7dy2XUkP81gs4cESCJ0BTsm1Qp
CzxIQ6w2cjoc0BE2mpLGgZ9JVT/vC6HCS+iwJGOUAcZH1GAVFApAh7at8zaUp4OqKY7e5WagNbu2
VpE+H38bXsB4M2viFJ7XYRxUQxNpaz9Naifnk88fclVXTq0nR45WQHnTauwe83TSTCkcePv+Gb/r
EUwQL4uKrsrg+aCNRKLXWl8P3HQIi8iwlbZFiFvl7U6p5dzKFUVgfDgq6/F1pwqPTyargobB/Fnb
FrjQ1djJzIsBfwiiUDN9Xy6ORsd1loLtJrv7R6MCzX+JEnSeB0TrsOiUe6/1kmRUYsQfeCwz3ipq
9lNsdIxchqAilL1peshUoTETgSud+4LpWcEvydi+i85LQ8GaiK/4fnFInstCH5tMpgNY702jFG1e
7zZ9a5xBVWOOcmSJw61rYnOStmFeDyQEDz8pvIgRan99vL+frqQIPBwZmVdlA6zDf1+2wUu1gSEq
4SArEm9im4UkEq1XOxINWWkHgqDZbVGpJqByMMcpLEwj6monDdsY/8vgk7TvfpehJput0GT7tOW5
I89P01PT172DJU6VBT7RZJtVg7HJyqC4ZmjQJGM2ek6WRuWD7ufN9f7lfvedcCYYF3w8ODUGnXvk
i1AsarHlD9IwPhRi+aMpJNaw54qSgrxIMXBtYDXWaRKHYgyrFh7NcJj8pjmK4uBZ0OfwXRNbFtnU
d1EyD1GygPopQr6vVMJCVVKQ2+XgqBAPeVzKxFCacVOnU2rKKOIy3sOaKBV6oBgYOIfFoCIjPlPz
aID3cDAUW+3N2nP7lPG6v7ucuDLYe2zvgVnFGp+/FU6TjQDXakiHig/LvdjUo813inrJUqnewyNQ
idqqjakMqm8a09gFDPl0gxJe3vwDFAXeOwYWdJUyVpWRVIrkSdJBGBwFG9OJZ0RWH79zsmwZo13r
hStPNSn43un83MzG7X3tXP8BhqLrkmzguBplM/RUl4xUnW9ATq128O24BcE/X+40eXoW+KdSKLeZ
Jh0iTj/xfU26sLbv/4SVzwzXS8b70GQNGzQp2CtbyB87AbCXp91TJcj5LtISXTYDzxMqxoWvfHAR
3oEAMXguoHn++4P3khY1kdzwh5SX0IgbaROWlHay7Ghx3T/3XOjZtdjFTqZFqSlNRs447HfzJYu6
hA53QxShdHTBTw8GzoM28YeuFoy9MoadDS2v4dOqyVuWcTkDfb7bFMhTNAH0sjIsNU+ZL0/g+Kk0
FP4QZpG60YQs26EBMHF0X+wek9hLHzivl096rpUMMKcTG7NqS/M9i7IhglOb9kZEJNd7tP/xh0TE
HGxunMdofM45cJy1PeYRjXOQB7c6UsxJLhlfeeXUEK3rCCdng0Zb0tCXg0HncOqSz2anwPS61zw6
YHclKbTCDGv3vgr/l7P+ETjr+AIVpdATRbmFQKPsCVe+xnrs1FJ60gtMVEX1LgzCXVaWGek1gSF7
5flImqDi+8IXQ0Ag/i16ihMpULlSPKhYkWCBu1Uw47QDMyfSZwxR302ZLGuyiiWBaCgRkHX4W9QY
hkErlZl4cDB+ZN6/QrqGMKvL8o/TNiwsWjAroih4GPIcQTjJhnanZ+px8pIPPqwf0MBscXG5Lcrw
0k+BLb73ffcjMmrb5znbi7HAlZ/IFH2K5Wj7vfp4//etPFwZrju8stnphAn8++z6qGpFNDTiQZEC
s1NzMyzfogwZbEyj3pc0Q/7fThAuYiGJ0qV2AidJ1kOSFtgFZ0Ua4R6DZP90XwrrPBTu83mo8qXS
i4c47iy+OzZq43jKtjA06x8IMgQFCC/AvaQdBrUojXrwKvGQ1cZDX71FTeHovUIUgZFJXTsRDCgm
uTUJXU80taISDYOgY/P7IYkSK1N/5oW6kaTe5mKNoatr7wChJWI5UJbwEp0OMzxN6xTZlw5K1GQb
X0uf4Ed0m/v3tmKZFRHrpBFy4Kmp4ld71AJThJhTBT+JhYNUe77Z622/xa41fyKVKrYkD5XJVtWh
3lS6VmzHom3tEW7osdeN5smQtY5xvd8PrcALA5JLig67SfuxTcDJXVDF/KGuxYlgA3DtimUXM7Tl
O5op8ANEGdEdL+oYyvv7mcWxBuuJD3lIu2g7qd6xadqtrzI8y+/2AQ4soFLCjlpkJeg5s2ZMuXhO
iB9isbabNHfKQkEWb9qP/PDTK8WzNDCg87tyKtgngXvjdQ2uNz3rkcpGb3SygMgGFLJnoag7K848
daer7XTgenX4X6sooii4boqONRM4JQXVHBI+ej5VcOsaMdsHuVofOjXIWVj1XSlUXpYRi8PBgBNN
B2xRpeVyyA/yIU9lxWrkuHb73P/fvzcNWS4dS8OgFAb04m+lSLgq7oIaUgI5Vax4QEYnb1OdcWXf
VQ9SsP0WGW4DmQWaj2nS0swbGkk+6INXHhA6Cu94+8a5rGvJvv+2v0M81BjSkOJTFTiB0t8HqlNh
CqMkUg5c0USuUqSwWHzGb9JElNwx6sbngGtZ1nvtfBKifNhZZNn1ryLRAk8GT/PSLG+UQ1jJXWoF
bRSNhEeGWSZynfsKw4x9Vw1NR9rEAOYDJBHc/H3GPBuxkrwvlcOUgkpB76bWaeuGxRaydiikNw2E
osgXSHSMaBRxN5Xogj1o4J3Ip5MR+xshEhmotPa9EL3rEgjXNayFoYpLqVw0itik6iHUw9rsOjnZ
qonUb3QvD7D7E8WAUu98hpKsHM3AvcF3R0VJEQ1K63NZHTqjlZVDrBadpQfBsEeEWJBRMBqGqBX/
VYMsA+utRYQnYF/5+2NJoxJXsmcoh1LXEjdPR26fZLG6UYWqPbRa5W+zJGj/h7Tr7JEbV7a/SIAS
KemrQkf1JLfH4YvgcZBE5Uzp17+j2Xt3u9l6LcxeG/YCa2BKJIvFCqdO7UaJao4+qOyY8VFZw58v
vHgG0l5AcepIZCrQ1OuviHkfArmaU9+Sc0QF/NDqoafn32jq01yxC6W1Q4rKha1ln4zVoGFpv/Ge
m3OaWkPeYf73i/tR1pYcBpNM/CgxYps1EXf1aIxs+N7lyn4vikKsjVohRm4jRrkWFXLJkLrOpL5J
I1M+Eq3hwxMb41S1Lann2goZzO1VNOGwyopuUZXqxnv672JlWZpGld5o1JeKIDjXqdH8Lnkgrzxx
t4uapcA7IKgVzrQ614tqJirBusrUV2uz/qH2lrZJNZS77DhpupULubgi+HmYo2TBhIrw9sKQSJpK
qeFbbTSADkZrhmIzFMD7rzwKi4KoQVHMVRBlieAfpTJJ3vQ4KTzW+WsaGNlOluTydP89ELEVCH7m
1w11ARNZCVxBwcA0DAWfgsaBTzC/+KtVohvZZI30WA91f+gGIh9DPimHnEujx8DPuEmYnG2bLOte
KiXd6wzUkHISpJ7BqmBrSr3+XW6T9gsrx/LRiAbq9nWb/DJQWlwx8wunrpm6buo4CllWrNl0XuiW
MdQI/eMm8I0sDJwiRDqVZuQTSceVI1+wUbic0C68XfDvicii2hkcFViiBn6L50uxFTmKvlK81amH
vEn8sypoddajrupdjfZRvjHBD/PaJ2CaWFmy2E07nxYcVLjD0AiUxMViTpGi4UJmkekHJkMjLZM5
SJ5BJ+iaYbKpmBHsQL0YuEkGt64epNprx+Ahzqz6cYiG5JQm5qteM+2YwvCvhKkLxwH3Bf7YTFkD
91nwLGSl6622C03f7Oh4piHKkkUWls8Tki0rV+P2UUQ0Z+KFh+YiHS8iNttuznLlZXIarMyh2U+t
De26S2wMsLWD8sPGxUKvpoIbiBBcxd/XajZqYdORwshOhflALYycmGxqrEzevd27ueSA7CCy6LBT
YjIYS0F1LVGT05SjMptx5Zeu9JNDQ+Ss7t/3m2hAQ6oGGRQLi0JEJRaxtMTKAaYq0lOAx/QxTeI5
9RoZThoQdsDV6Tf35c3P91VKYQaiEHMOv1EdhC273r1INrKiQ3X9lGey/mlEmsXt9c4AQd3wewpa
AnRKO7lKpFkvqszzFek30Rakw3FHohv2AdUJ4WHoqqDV6rYvTn0S6ieWT5NXqpxvm6j9nUhR/FhE
cu1EVqJ8ur/sGw2dBcPR1eBN4K0Qa3dal2nhlFnFiVe9NdmaFpY6wAtBqNijinrRJpva+jcr+fjR
WwjBMFDINCPWQ91HuIWxxBqMeInKUzflwJnAo/SgTrFtpkO7cjFuzeIsi8gKUU1YYMCOrs+WkZyp
qZaVJ1INgZvXpeW3HG4aZiAoT1MkR3/MnumHoOUMI0zDWH1SQN+wu7/T4ngW+BT4CgN1UhQRYXbe
aXYvnoHBDCNAGcryNCk1/aRLgK3IhM/oBUPDBnTTiQ1jvpHlovuUEbC523GajM/gWkjtyUrooZWI
sWkD600Np3wzWeOG01py0KtX/rj/rTfX/P1TUXFA4QWJNtF6l3FPLJB6lackYLqXquZDDi97W+am
9nZf0o3zAEmww6hmypqMmrtQzkTZJ1GoRIrTZCmxW9E+tZFgyFbs8K0xmW8XqFx1E51+qM1dK0Bs
NkEV00pDBTTAeNOqz1Vkf2uaPbeNzAaH5i3h+/sru91DEERrKlyVubYJWN21TMTiY4pbTf1Kn8Lp
U14l4G/KgS+qHkuOkZPeR8XpKAvL0CzcZ9OShSUSsNRPbZeafjJ0AFoZqNqaJ8wZl4kdy1HYfBit
McPPcKPwEyy8YmKuq9TrppJG0/BDNdFiO5BNhqEU1IrCFc/8dh91LAkyFLyfcP+EywuVmeokj02f
A+LnENPAYElAxZJPQxCReEVRbtXxWpjwCiCDFxEwTmNWM/A9NiIqDETjzPywtUfoNo8yxFOD8aai
a242RTRlvWT4MbgKttpU9zC2ROntWJ/J3wYDzgJpdXQ0aTRZARndGny4och4oRADZwEutaCWARvr
gUSWP5ncLfvgGPMY6IDmPPXKtpLO97VyYT9BJ0ypoSq6Kd/kKsN2LAYGD9HvqnQ07JHIqeS0Jk2s
FXfhRkt0fY5xLEiRjTlldL0s3cSQz94sC1+myS428F6jD17yLHWtbrYmSHipaWVqGMNSFH5Ke1fN
/xTDs1HGK2/FzbZhNYgQZaJgQAFYw4RYJwjGJooDXgA21LINK4pzLnfZSoZ3Ucg73AqJcwsRyvWW
1ZGUSoFpFH7XxwAykrCLH+Qwz/OP3ql5Me8z6pCuQEJPOBpipUgZWWbh8zAO9kNmxQ7qys2KFFGv
8apDp+HGANQlo5ArmNuozcDRiNDoSEenVBKnA0l7wLzaGLc8/KBphyzA9DA3W0UiBhdT2LmBjgYp
SUCOqfxkttypXKNt3fs358ZdeBdC54KfhQQIYCTXxzOm45ypsOhRZlQChjVir5Nu5K89QqJDNVrh
1xax6mECRm8balPsmFqjf5E7Gj5TXqfbTjJzu9bD5pCXaY3Zv/rPorC0xqZMD+mKwyD6r/PHEqBA
qAlsKJ6f+XQufBvEdwEzp5wew1ej9DZkq3j9qf92f0tE7DwAIKhNIdOgG6gOzBOlBCnaNNZmlppH
OLKZ02cWOiGrStkAkg1m2CDnbj7WldfyynSZGScPtGn4VmppHiIl2AWHQjUrD5NXowcDI15PhhQX
51Yu2her5/0OkuX9NEUBc+smlN22VSwMDx070ni6AXy3HSlA9K5YLtE3waKsOdNtGsB8Im8qGBSA
q7OJT9Q86qBiL8qtojZ7qfueIL9xf/vWBIlnJI/AdTSGeeynI6ANjjZodhY/Jv3rv5CDZxQZQmS1
UdS8PqVJzds21iHHICNm2FPPyuPvpV55fDI290UtXHqEh/+IEkwLqD8KOYtM89ha3VOQ0Vej2rTj
qSVgMVKHFXu5Jkw4KMlIwHBSYF3gzJNC9yTVL7t2rTdi6ZAsPIgKQH7QcjEeU9Mu1nqgvo9pP2Gu
h5bl+6aozZ05dg+6MSorZzWfxWXUOysf4B+gH8BRwbsSnCu51yJMgoO4oba4ndC8c2s1XqOnFnmZ
EEEo2gwcVwx1VnQRv5Qg58Us0Bz6gxqXlROTMCi9Pmr7L03YG5gcbQzqj2ZoZls6phF3eDN2nSNz
tR2dpLC6c2fKeeTW4RCGNvLqWgh2uyLRNXRtjtNbT7P0mYKoXPPyRFcDuE+hpvyUy1oDQn/s6sF0
UfRBOBurYbVWFbsxflRBSWzm4kRuEuhC4WJlms4nwoh0BIS/+twbNt3JiiOxbdCsXOGbSBYbCQ9X
RaH03XEUuxDLhrLcNLvQBwFHu6keKjt/G2v3AEbYtffnRjUA5kXhUkWqDMH3DRxbGbs4MBQe+hYD
Jqc3n4Ho3+k1wTCxXLJb5XtfhW6hMVTGsi8T/hfDdde73hulNezmzc27/hRDCBIzpGuUIh5Cv5UO
mczg2lXbVN0ag2kbUr79oE15F2bgOQNIHMSDgrChLUYStWPox+mXWJO8fvzTR+e0SI89/3pflOhL
4jQx0wWFKwOnOTf1XFtKqQURZwN4uK+wylWDA0efwxg93hdyY1Eo3AeUM8HZCN8YLuW1EIuAl0wu
jNivM/PUBa+BkmyHKMNRrUQWN/AkLAeSsBYL7y/8AMFA9pYVBFHGASJTpCMxMJhNQ5zRVlrxaai0
cZvwgnupQsINDZXkiUdmsxkjM7GHyOy36MdRn+UBsPVCgWtdwXN5CuDWP3a59lL0lvECgDJmnd3f
HZEneDZNFqr/KGfPjjYc4evt0QP0jsRDzPwIrTf6Xgl9Tvao92ZP1kHBkJ0fza8gcDfBc/4b33xf
+Pyzr6zvu2xE0LC/OBwxm0rzIGoUFCb8LkPOzWkKf3oGZ4XFtnywqxVwyk3p8K+V/lca5m9dr3SM
AWEHvwnzK/YrCqt9XI6uOulbg5gbw0In0njsE9PNv8CWpsa0stZF8SgOoxMA1UBUigXxFdp/6lEm
zFey3tarAqC0AOVL0ttoVbIrmeNZIE+EfAvrL12juxEDQu/+fi/YEevyE4SrUChJQhJCsd/jj5C9
GphRGEhu38qOtoa0WngTEFLNwGnU+eYw/3qzI27oJeJs5gfjbqj+8GCyw/57hi5HNfxMkrUW69tL
riJfPttqHVGw/N66deF/D7nWprXaRb4S+71JHfDxuzkw4SR7u7+FCy8QJKkIfwDtAlRfDEvMIA5V
Bg/a7zfEVp3qlGKodUTt0m1WFPbWOiJrBtgCcvEAgaB+cr2Fg1TKZqFrGOU6qHPHhZ1Jn7M1IWIP
M+4/pMyTtXBISNKJJVmmNBMqiGHsDx73gwN1Xqjuha6EwYds5WVZOqRLUbN6XhwSS/O261OIqorf
kuSEz7l1bOuVSOymUWVeEADFJowafC5NrDlRNjZxkTexr26rF+2r7KEbz66NzXP1lnLgJPPP9zVi
6Zgu5QnHlFQjUVkHeQUIp9LSTSOUnsa19OatqbxelXCfEjI2TGogJZ682NsA46R49bP1W1/JNop9
4O/6MIeZsMgGEriiAy4ZoWYElMToRfliaNmTHBbbwohezDrZlJPlxHnj1PpXKyy5bbb14zRKfyr0
oUrd7v6+LhhMRFAIDBFaA5aA5V+rSwU3ujSyjPnGo/JIX81f1P1ZuPKudkL8vi9sSTUvZc2HfKGa
Ex9La4Zb+U1+KFU0NBlvddXZA18b6bKkLbjP8BAQcCDYne3mhaA0rqIqNQfmUwyZyofY7ggmwrMV
n+em/DxfArRKIOFv4Bcij2sxMxwgzJuJ+Sg4P7MnegAmNHvJXvqz4ldO4BZJbo8YevbxXQRY0kA7
AdL+SHleS410DC+adJ35odzZEnwVtDvbyNH0+oqrtWi1ZryfhlZGDPEQnVQDcbwCNY39r2RDR3s6
Dk/olsRYbQRAK1ZrUQ8vZQmvZjkxrqQSZA3OPCbve2N/gZdgz0NDh5UHet6ga4cIRZqLZanXG9jU
stoiOxz7jUe8f/XDAZxCRRkIHLxe1z9cVno1CgP0ODSsfSqUDGzKcMzcj6sAMLl/CxFWgOhQoROv
4U6S0KZl+1hqhZ1Yz2FtrujA4l4hi29YCNNuaTpVveKWlXTMZ0bG7Fpij7I0rFV5Fp97gK/gVMwc
mUAdX28ar4qyrlPc11Ht+baOFDyT1kTcGgBhlCfMnyOIOVAzJanX5tzygsFiK0px67WhDQgQP1BF
4Cojhrn+BITzHOPJZNjBmGBioWUea7She5Gs/Rmbkrgc7DUrOr9kpTAiBxVj1OTheQjmMJgw/ThI
5ovMrC2SNdMOwW/iMMzYWlncguGFdwOYA/B86MUWy+C0lLtqyMPEV8ifAvsHl0BLamdupL2vmAtL
uhIkHGQYdV2pM4n5RE09YNQPwUB8EGJ498UsvNNzrIn2F2XO84gmMESXfp/FSeLHg1V5ZZCHgz1O
1htlWeOgGBnZzAwUu83NIUSX/7AKgVpe5z8fIBzdJMU1gpsi8RtF/qpK8raTyWM6SrtApoPNTf2B
Ue1LFVa7sWtCGyVO4CdZlToZ6yKXp5lsx0Amr5iFpa+aKXXncAAABLEAnRfA4oHdIfGjmtgGZ146
vRglWclQLikTym2oOiOthySREMtWTIs6YNjmtTenqvoRaY+KGu8sJGrun/LScjSkSHDQwGai1+f6
SsbIQ8WylWI5Wu0p4BiFv9BUHy7pULTHXUgRDXanGUPQZInfeRQYiCj/rDS/C/RYf76/mln1hVcH
FSoyw2rRvIE+vOvVDFpvsaGeUl9Srdyp+7JASDp494UsbdmlEGExI2lLPSzk1I9SR/NUsPx8/Ocb
SNchFYYecLg/14vIwlprGlLiOWi+qukrU3c1+3NfxJJ6oRKFGBPzIEGjIMQvSpVhzLZVQUT4kAUv
PNl3gUuz/X0pS6cBECweG4AKVCKyFFVdQGpOYBG1Yip/o3kNzJcEfc4rhncpTgIw9h85wktdN2Uh
DUqU+OXXFN6gFNmBkoNOJrDlsHXqSt4GWXpIy8qeRj81oodc0Vfu69LrevUNwqEVTdqVoJ3COBMw
aP1C1Yr+Nr+Vx9p0o8KLnu9v7MI7iuZl5N+B3AD2QHS9ERXGDRlY4heSP8bZI09bhza7IYm8qFxr
zVpQdyRQkSpAORCPqIjM7+pYD0HjmPgZn+yW/gmb3E4NsnKpFjQSLTxAz6LmjwzaO6npRTTRS1U0
BPWIMzTf5LRFWWYDHhoc4hqedXE5SAajOwyINSoLlpWFZlc1XMUz3dW2WoTONB3GfA3zuKD6cxF1
7n6auxs14YINVR43zDBgVk0KbQwduan/xY7h6FGzBnZHB7r+2kykQ8PCtqGJX9U/4+m572M8zxiU
UX+6r2xLJ4PGPLRNQ9XguAkbRlmgAxdsYSnwg7UhAk9Q6GjpFlRdKxd56WhgKGbsJgI+8LtcrwiF
npoDzpv6JMPUKP2LBaYeg308sptNxYzjnYlORIx70ld9kPUNhFBwyZqeFT4q0alK19Al87YITxFK
STOSay4mAWErLAZdJbzJIKdJAjuOE6+u431CK7dFc1oRHqLOPKARYsXdXQrxIA+dLVALvOg33WNZ
V4/ToOBx8tVndAx0trzNH02wq7jdrz4BJG/l0G7TozN+4h+BgnqUMkODVTILPKte6kqfJy/3tP19
HVwSMqPTgIZDkIS2wuvNTMgkZ1k/pv6kPCXcNhy1BN5v80svv9wXtGTHCV5F5A+B80e+V7hVjJmY
nt1rKZpV7Mwz85dkkya28Tr9DhNnXKtZLN2tS2mCxudyWUnIm0IZ+xCo8jc97Oxebpz15Oj8k0R1
vJQ0G6wL+zoVoRIRSccOdsfJSHf8O57GfPBa6hSJ0yfHmG2a0u2qQ7K5v6ULj9XVjs63/kJySTUt
45aKrqZTGfnca341nW2+/W9ChNvWh9MUhwaOjTfb7+xH8m0qnODlvowl84RGaITOcP4BWRFlyHXU
WWOa+U3LfhVovmkmdDPRxv3fxAhPh9TIPBqlLPPLhuzyPNpP6fjd0Nma27S0HLiA72B1RBmiIQTU
LdDyKcn8AV3Qdof2mk0yhHOhgaxl05ZeQ7wfADnNvIpwza9VAKgRAKCUPPMtjVFHCdCoSzGl4/6+
LdwlQO4RkQFHisSQ6EHwsLYszHSBwW1iJyIgEmhUB6VRYOJWJC1lltEJDKOnoHiPIo1wbQ2zMtPO
5KnPukPXRDZpH9T0S1VsuxLIi59yfxjjtyz8gdJzpRBnbNfci8W1ziQ+SObMPDpCCMKCutD4AHUv
5J2BoK2MN0MQzwNr7u/pQk0VISFqKnD/AFxDz+T1yUUNuB3xJ8NYZm2jO5P7lh24/dvWkLfOMUsy
QXllReSCslyJFJRlSsIx0Yc4Q9Wj38iHwZO92I5a+0k5VHu+xXT3FYkLFwEC0T1uIRgC5mP+oAsD
pSgFsXoZpjFIs20BPjBUp6To6f6yFqwg+Fn0mTxuPi+ReaijJfo+2iD1E01H6+52SjEiQntug1ep
WUmZLzyWcGvB3KGj/wQ8T4LBbSvgc0iC25aD/Mbus5CBEpBl22zU+b7sEE9m6ME8xejA/Bc7iV4s
MKshLYuEgvBMI1mjqhl++Ybu9/3vzmf9xwEkaDcDXh01fugliNOuD0vrg6KMwijyu/atBAxfJmiF
7A4ZWlctFKLvH9qCZiAjC+AI8G9ze5lwz8Fh1lBpGmN/ikonrw5NqNv1uBLMLdxleIdwoQHgRTgu
5mVB8pmpCdFRD9Ofs6lzZfKHWqhpfBw9Mvd5/SNHUIvYiOAY6iiHGeSFBobbST9Y8QJQ94rNWNB0
2Hgk/2fTCB0UHEJTIbwGbW3sg/LUMxEwuDFRUJpX4HxmyfepL5WVY1rcwb8lAjN8rRN6o2gl+g5i
vzRSR0f4r7KXHByrVE5X1raoEBeSRHOYlixX8gAlxSYAlGqQsUD6g3fGSpCyJkewgVZX8ZkyMPaz
ChU8jbkkQxi5Rgwy3xXBJ4Qjg/SMDuggEnTCXUL/WpAQMweIoiZ8aynJrteGtTB1WQiQiWjWASpR
PJxkaIg8MGSzUIWdaPjHSMZf92/pgr3DMv6RIBxKH4ZJlyqQkMiNl+o/wODr1LKxk5QTeAtchHbO
fYFLS0IkjKr8e4gvEiR0FkMLMIVAlHofczAjyGP9el/ErQJo82sLINMM0cDmXas0OH8CrmSw4VJp
OkWU2G37xtdqI7cbNwsBNdzMBgxsuiCkb4xk6pAn94sy2KQWeWDa55jqx4jzxyhrQddi7O4v6/am
AtqPBwK1XBgj2NTrZdWBpFvAcGc+mrTtHg8RfwrNc88+bBCuxQjXR++stJW6IvPRQQB+ZaN7mMoH
uoaSW1uM8DrEZdBGdV7inaVempLYjhtkGLMqtWvr9/19u7WpWNBcWEL1zkCZWFiQakmpyeQhAyLo
MYjL1xbcNiVvsCxgaCPq3pe2pBegGkACHY40CqCCXgRyJ8ErhCcdMVT2YyTHJP5aYTppVbd/0O+0
npS5Uff59qJkBm92blIU2fOk0GgxprfsfD1ltdsAoumCqavYaR1f4wpaEAXfAcwNwC3AgRfDBAPY
qmKMlN5P4kA/ZTz9ylmobiaDdNv723hjJvCkAxYxU3zMrUxiprEOqCpVVd/7KKm6klG6UbqSFpmf
0isDfi1BxEZkQUqbusRacFslu+vkzoPEejPlSbsDeI85klyrG500lssTrny+v8DbZNMsH0886qYA
vhKR2SMyCyWHE9r7/U9dfdadvWLYIE8BxhPMmU6NmUL3Bd4o5rs8pDEQc6G4I/Y5mVlBk8rEennj
FL8joKHAQ9+5k7TyzN9cN0HOrEMXEUFfBRFaPlXI4ZuQVLahnkO31h7U1aL8ojYa/6xIuGpapzM1
sLAiaHz1CmLZffzb8lq79mLMqJbdZLNyZmtLm//9YmlhGEdVDwCFf5p+PkWucvgw/mjeO7B/I/OJ
qjGesGsB8NjDZqiwd9PPInYmp1Bd774W3NhdQYJgDIsSGcds1oKGHlPQmgYNAbUpGJJ/3pdzG+YL
ggQDj+7tTq2IhusVv7DGjesnXbfbnR/0dpnamA3xhWvbhPxao3laFTxblotDKkkVTmkIweRRtUpb
doZNVDlfho0m78jhW/2jtFf2dFEPL05t/vcLiVNbJUqk4NRa+TXRTnr4mmortC9rIgRVL4JYHmOm
Yze1p56/Deap0L6vnNjs6d8YxItlCNoN3OKUZbPyJVHmgvbLihz9a9nYiYvGsHwbqCuGYsnEgxER
DenwnxGTCmsCSzrTwL3a+3LMbTnAY6yVKyKWtu1ShLCkJkI7NQvjwVe5PezpMV557NeWMNvci5PH
MIYcMrCEln1X20fWv6ycyZoAIR6MNEVqKj0a/ADZh3KPxoEqetB+DOf+ZD7Ix8/xI3PS5/tCVzZN
pHhP2xDQWSMc/DSv3EKpnAL4xJyu4LYWpYBvA0SHc7bFnP/9YuvKGNwDaY6jCbij2gAC1CuBxtJ7
B5KpvwUI6gUSnSFt2mTw81/AbjiMnJts2/deHW/1tVLEotFBiIa5ICaKfSCHuV5NlKeBCiahwR+V
7/JMQ75BhgoTFjEGynT07zikldUteS9/C5x7pAWBfcLb2pgFOqXmyLFjvLVgaRkwWgYZshU1X97K
/6wOwm6epS4ZTFYMSGSOfyzb5n9+fFwbQISEGBf9GHCPRR/d7IwBzWzQubJ+ztk5jU4jO99X64VF
XIkQHqSiKEsjAdmpryrfivQXrmtVPDbo/39SipVru/DIXomab/WFbqtdia5jjHjxs7RBouOHZn7j
mCCirMWgy3JQ7EUp9n3GxbWc2bgNvYY7BBWwBtPJTSTyMBlGt9Y0YMHzwYr+kSQYupkBQxkNXKa2
YE6CeT16LnmJ5kgBt+nK7i3YPJBGm0ipoIHaApbnelWhPKqjWaYDMO6dneuTPSD7dV8XFjcOs3ve
w2jwGQrGhyja1CYlFHqQD1kVbkCZaOt0p/Nsd1/Q0r4hYY2KMrpgUJcXNMGsOBn0tONo+u/smO/T
8ouZf5vza0r3cf8e6XGU5+f5ETMO5Hrb0oINcawVHDj5/txIdq54ZeUAb5J8GJoEIr1LScKiVFaE
g6w33MfEAzBRaSxyujpfC6Rvq8mzGEAN8AeVQzjG1wsC3VNokLjnfqs5pS97QbGVpR2n9pRuq32x
1p27ZB8uxQlqN5iZUUgcRxVpyZH+ktTQjccvaugpyhYo45UGi4Xn72pxwmmNyEtaPMHiSM/crJDt
LHjuP8h9CJAaCnp4lYAXBpAG7RzXO8gsieesmfgZyK7orJFc35shXStcCBt3I0V4+/IkSmMtVfiZ
fGXDFlQqgwKaxZdE/yENX+9fJ7GhQZQlds9RVmuZ1EBWIvlS9s3MQEr2nX5Xcz9GVa3t7SjZsYeC
f1LHB0S2a9UuES33l3wUY0Fihcj9pngZxWalgfONYyyvCmY5N+s9GxxzZM9O6Po1N6/31/uOQ7rw
yW/kCVctp7kR45D5Wd+m7Scyuf1uHDfl9k+OWl6+HXbjG/7s4s2Iv6V9unXXhnm+jyG89wmCrezn
nFNDMNbHlL+l5mOLJp8i772C7Rq0rLKjgcaLQYkfu6R16+IbbX+MAO1N+R4FQ8csjkn0u6g8imGD
/NiWLbyTlynfJg15MCXMOzQHp5Semrbat1Q5DBhaPq7UA5aVBoglE1l/4A9Eax+0lHZdZPAzpkvI
TrCdf9d7bTP/N3J4veHqNjq4949OsPx/nRwgee8stSjpCNarHC30WKoSP3PA3HS3LCoUdMJRj+0B
TM5uYIwTON/QtH5f7LLGXMgVzBivwpbqCeXnRkV037txPmwI/AM9eEKBJ9GTzSB9Ucpt2J86az+E
IACz7Fi16UDciH7NEqB+yeDEwUnKj8XK14kNO3/tioFKLlgxKYI+wW1NTQzfmnocRa0zm8a/0vIB
+b3URNVpD44iY5Ds+hCsFh1E1tS/5IIVCa0sqO4ig35tCVNJRxNqiNMgUb9hFOwvYBqhwWiXZu4G
1miHYYqxd54UHGvkDJRTWZ6RtVDAATF1sZ1N2tEIwev1NBaHEszK9w9taVsQBQF0hrQqmEJEl6en
Q06D0uzONX/IMLqojF+gq1yPnaTPMSfwHJb2MPpkxWVY0FG0aGngA0RbC2iDxF0xqhxT0qT+PMmv
jVJsJ7ptimrD88zTho8FLPMJQBaIy8BTgtKOCBSwrAytDrqJMe38sdQjux9eE2lDVWTlj+iV0V9W
tlTIZvwlb8aPAs4C3jmR3rTXpZxMmBV/HpOu+MR5qHol5KLFW3dktAl5WopBNjEO85MaDsYhzTG/
8v43LDyMIOkFAAhMmghsdMF4l3qaqnVs9ecXM1KRYdZtGU2U0q90qp10rav2veAo2GlAgIFJgo2T
QSUpSEsnq5PyjA7nhI75w6QT6SU1WgnTC5OQgkKlLQ68g8ZrZT26YQu25Rx1/3y0Oi8eJ9WXJhND
Fqk2OmMAki24x+WmM5jpdG3VHbvY/Iy5kZprqCN1JgOM331Q5k5lwZhhyG3raRj9WStNuZW6SNlI
A+Z+6mOr2x3osDa6PCIV3HQa7A3RqmnFxC8pMmweOORQAwGgV1BkHslVGGcJ0iJp/gX868+69GYM
z3310Gif7x+qmLd/VywAhoE4QH0Ro8YEzy012wHcLMVw1gPP0veYVbq3FMzbikq7HP70IB0EGuzL
2AxOZkhAFa+V0UVY0X8+AG4xxuuiGCiiLMu+CydDqoZzpW8Cbm67KtrMI2DLwgX54bGe9nl8yFDJ
p/pPuftUdCA4rjDRePyas/Dp/m4sqTgFnzNmVWKqA8LAa7tK8on0OimHsxR8r7qfo/WYlHZNbaN4
WHXQhZTHX+tG4Qm1cAC3gai+lgWysWyI8m44qy17AwzTTgwKHyx+pD97qXQwAbhTV9BAy4d9IVN4
TcOaq2Wh9sNZC6SfmrllwbYo8YSGhyJttoC3uGMHNh2F20E+uWq7ipYT4oT/LBpbPJeaZbBIXy96
KluwWSrtcM70o872VeeT9JR0j5jW23oxdwp06dTlUWEwoZObn6Y1JqbFE0YjzX8/QLhadZdV+jhr
mxZJHkkzm5N8EzzpIA/vQC1m5PqKj7+24vmDLpIneMIpYxTHzEblgSvNvsosn3Rr+cfFNxcX+O+F
CWGLNGCEmsWws6PU7JSkcmVE5SXdxxK3McYO2Zp53lu0YcTOyPb+tfl/9Opv4WKONeCqMYw6Ftmm
mxOlTukh225+9abPn5rditO1fIKYjIinfh7ZIOiwFNRIsjeQZWTfKnnXJp9y4DvHFy14tVZELW/q
TDyozdIQd14fXhyFXI3lejgP+e8hPlEwVQeI3nMX7WvIhRXB5k/R/vk3m4lOLPBVz+T4N95T0eZy
2+OSdni7TNDtbAjCpRKzlh3JsnuyM7t237W76Pd9we9UxTdP7oVg4SnAvCozLciAyzntlegFVJWf
JxlwkxI2EHYwmucXF8yWYwyzCzEmYz8Mp7I1dxacu6FlDsaS7pl+jqqnSv6kBh3oj7fIdXEk1Tq1
txN9Z/YrEeVsL+59suAlNNXQ8q7AXoFbKN2byLCFw66V1noWl7YGaTWwXM6cmnD3BLsV8aHoJgyr
ODPrRDaRl3eO1pR29hqQLQ0x3tpNwQsA5uH0rfls1WcpR+PDFNiFFTyp0gkRPC1OIDI71MCePPFp
O2g7jvj+/gkuXA3gd2Q0AYFjHdGI8JXoRI6UUpp3Y5tNBx48E22PIejuqD9WZI3hcFkYBhOAbhiv
pdiHEcQTT6SM4B7mIEDehdqAyQQ2TX7K6MHPe7bifS6cNNb2jzjBvgEyroDKXR/Oll37wXZjjP9q
8/4WIAIoGCcEs8bl4VymjVPJ1BvzH+Eh3JIJPW7DGjH9rJiC4l4u593yXDwLlVT+H2fXtds4tmy/
iABzeN2MSpZsiw79QthtN8NmzuTX30Wfc2ckildEXwzQ00ADKu5YtatWrdWJ1YDh7CTSrkzVD27l
3o/PrkgxF2qatvhxPnr2AITjlQr5FnGT+oVRirVR1UemJkq9UXFSvJ4FUZMIJE95LL1yy4f1gQ5r
Kep5+nPy/Bgw+uyAzkMv0rwdF/zLvI/+NexNNjtpipc/BEM8KcjXvKKr3UDfW076RnCvbKWoKlMi
NelfAq//8w3ok8QHAP0KLajr67wV80YLBGzZvHgM+CfU0iENLvu+LvIrT9EljziRu/xjahZnREWf
aaUg43QUyrFInfqtQD50CKs9y2zD36VkRAcPPCzemgr84sbCy+EnO4Di1uxGFKjnlSXHwHCTqYTR
OmgV91G9tsUWwprp2fuPmenfL/Zv1ad5NKhed2YHRw0Hq612md7nJWne/cYum2OzU0cCaqJ4APlk
+sGtTPBP89rNHr/4gNla1jkXlbEUIBm86a32DPmNkFCzsSu9Ph0lS7B+MWQ0DhFLBuOhjZ1a7+1a
xysicx7v37rLx00U0W0OJmTA1mZRgu8NSYNqEhJy8UMPnXJgUFiQiZZGXL5FkY34j1TiU/FWVzUR
Rt0bH7TmqdYb7/3+h8wJOf+zvy8+ZPakKGiWjUmYIS10bDPyhvnnnqrEqRWIE9gJlEVjrMiTEukt
3q18tx/pE1da9ahXtDHqwgIDCD0G6FBN/5JO6j9fhuw9HnhTonlO5F0hBNbUMOzPQpu9hVrxNdS7
IPm4P/7pTN1sCfRjTZTyYIyePy5UoR4kLsI6pD3HIKsL8mSPDQ25TM3Mq8F4uYYfXDxrUyERuGk4
3PlZS1Hx6JIm6s8g+4i2QjXSjyGI0pV+8sWjdmFldtR6TfBihSswd7QR9xAt9ne5EARWJtXa8/0Z
/JESuplClFYQ7GiQOJ9TpKgNm5ZhjSlEPNVatTVseZu30TTvMlZg52/YLVb/24g27LYyh+GY2f7+
lW4GS/vVWP4mNxuLszsr/RN8SIpeNRv82ZrPoRXrawHBUnCu4aH+z7fObgDwswJRkOMGiPiAZAPp
OWQFvAM0fyjPE7VwPP+pPvx/MnFXZmc3uwc+jlCusZWZ/BCyvzLvuRU2anqUAANLTjmHW+b+oiyu
/8U4Zy/IjKocDdS4PyttOGyzvi/NrGnLjayGa13XS8kYDA4prEmdEed0NrgSLM+JH5b9OTO7bW3x
dnriDOa3/DytLmjx97KV2pVzf4CL5/bC6GyALdNPbQkp7k+m83ZQBAv1vMzEfVkFEgkywScAACsr
4d6yh76wOgsoE7DpqWmAofJdZvaOVI+ANh9LB3pqZXoA8xHvIatrMsnarbG8nv/M8fxRyTWIND1U
ts+sVB95vBtQYFKZbuUy/D+Ox79m5s4ghlJcU+codGlI85+opuotuw09witf/nubBkThnpm12HOp
NIG0Pz9xSaJ1WpoDxhOPp1wDGr1zyDp+oukKcqZ1CMXc0MBlvJH6Ua89C/Bku0x9AwgkQ+ROVfqu
VR+FsmE+fOYP3+/AuabL4tqTZal0dvVxs+3NlUybUgFHKfFMP7Kr5rGOzqpoDN0mQWuADvHyzJDo
LmpUUoPiSPv7xO6V/dlOZ0IN+tYMlj5PfT00k2xPFbPOS13J1+r/i+8l+F0BEnVgYJqLxjFC2rZi
Ca/hiW/84MjNu8yAbce+f3T/j+X+18ws3PRkPx0n8MQ5YiwRNA0ohYjqc50c0epjFmhWQsjDAyqi
GjH2moQNoQKuliH+SBSHzY49k5M43HG01fmQWznja3Mw85whIxYq39b9GRxxukgDPfUsickem1UC
xOWL82K6Z86o9zKl5dgGXoFmVhTuqfZQFNF7rp20yEn9fDey78L4lLDbqHa8pjHAe7ll1H2hrQHW
lwYNugI4jEmK8kbNN1SDupeyAdeLUvQfYthOdsTe6HOZ27dJIq3N8rRp5zHDpUFh9hSoNTEKCoAI
/IdKPglsTUCE24RWmG0Tfq1csOQrUFpkQeo8sSTOGUjUoRb4PvNwgj/87LMKNizowptCsbvP+zt7
yRBq7Ej28BpaguddVx4jderEZHbui8IYc1xiTOPmZeeMWXhUxbXbeqG+B5QTkpqQ35v0pWY3w0Dx
PvdalEbHTLFp43Z9ApG2VlebraDttJzbCuEfLf3LrtafuPzS7MwJ+lwtUClQhnMIhpBqGxZvdI3z
YWl7XJiY18hHqR+ylIEmY1u9de2xLHvo7VlhLBKVnku65l2X1g1ZUw4oBCAywAFwvRuZ0CsEJmOG
cx0gjUPx7FMe+cZRu8YJUCn8202CxntQv+H+Q7EbSnvXxny17KMggAqmCMBKabX8h/Ar44lCV/zG
7Zm+tjM/YiqN4tCHHUbb1sqvUXnL0Qv6dH8wt6+ZayOzq7xuYwgwRkDGAOlQ6LzosVsmG1jrvpWF
hzvMQDxtqv4gmzpPb0PscGBbQOXPUs/pvfqJ6KfnwUlrjozhV5AWaTfZGx9+McNLIu2U4WtABiEP
GEMCaqAQIyeofwfhtwhow7BN1dzhxQ2fGT48Tdd0UJpYmZbb/Xv9vbO5B1o8lJQOqLMkOw3jY+1U
RisTtLLI/gpqeM3SbAESAFXQLgNLpbIJ1A2VCpP6r+jL09mIBVpjBbO3gK3ByOAgkA5Dfym6tK93
LwbFBLTXMDIaH4Q2cKrcLNvnXuhJ0TXPKdiCVKurWNLRkQBUEomsjgZbEnp2zW6aVufSjygFH2GH
ktKGX2tSv42TZVzzqH+AA0xFeXj2eV0LmtS+4gfUQTjPVMtiIDQHv3BLo++VPblwviaXogAJB27o
G14rIePUCjAf/iyWcNG9zqHXKzOV4VmTniB1kxfHVg4IZZ5LX0IXJJGyx5x5rAEzCv9E0i4Kot+J
+qWg7w2a3c0bRCiZxreyemWDrHzmXCfE53JcYZ7In1uR8hYoac1aKcItEq70FAz1WjvID6fBtWeH
/wPAZaIynYptsycEKNjihALLet5lBOm0ghxl/fPzU9Q/T/vX19f39/eHh4+tixQb+dORWP/662WB
feRx0N838ezMW0HzQJY70LRK52APnAWR7d6SLDAiHXw7tOudYHuW8JTYoyNvODM7yiZrKxGJt5G7
Stt9658nFTJl4l+H7MZN63qo+aocQ/PsLAGYQKwaglM+yK2Y98pZgygupMpR1oQ/AQPJBBWeK89w
QaSEZaPIZ3YbvGvW6IDU5SE1ZXCE359gbnLv8wWe6HZAL4melZu03MAKkTA0mnzOyHHQwQyuvx19
8i2Swjjt37cB6cjLfZM/2JUbk2iTAofMFL/NSckUtEbk4CKXz8buUJ7OR+uXdTBifdC1kHxamyNa
p8nZIrhWnqqT4zi6szVNm0QYvPG4W/GrCw9CTPXF18zin2BE2ZzNcvmskNDMWqNyAeQLz5Gj68W+
38bIJm3XoE1rRoVZvhg7GkK0PaYAD84X/dfwWcSm8CrsxwcomrUvNZSkn/3nlXmf3NSdeZ8DONkw
whM8KDDvxsH4dThax2NqWMdAZ8ivgnxOk24lUJsj2aZ8MDDvzxHRP3iSHZ1H6dQQZ2UjzHVlEHpO
Uw9iGLxStIkb79r7lGks+0NfyWfv0DwdrHIfh9b+lbc000bfj859PwLf+WfYKmvwxMVNf2F4umUv
ShdQAUJ6mIfhkTN4PTtoz2VrFxTvf6sW3u5P+0KWCaMEQdRPX7SIlqBrYz3oO7KQrXHCEjLuW83t
RpB3nHr/4L0qoR49BRAeW5na2xAY0GBIPIERCm0G0CG6tgkiYqYLe18951hRyXRzO3NWhnXrm69N
TKHMxRymIZSUO89TzqwtbgG4NSMrNBm9Ja+vqKY5orMKxVizODupACI0Quwzyrk3WqPTfYd5KHfU
5Z54I7OwQZ304K1cjz9VidmZAZErgJ4aJIbBuTDbojJXDLwfVxglOPLbXaBrZqF/Bgb4yvWYoPxv
ZVZKngq72BZ2dQAawprmILF9wlpPsRE6kdGTk2SXJDKjR7BkE0qmr2/wt9wOjZgw+ivgi3q3kzbx
gdnUum95erApwJP/zFjqyogWd8bFgGa7UU7KJGSUUjkbueU/utlxrY/vp0AwmzIg0lXQM4IgdFKk
vd4YCsr0ddIqyrk2RF3YeSfmKbciCzNmjg79FRij428rm3utrJKou8wKdgGp7dqmWETvicc8gNzb
8R66db+6cAWiVoPXC7CVC3QPkdqGqRqH6hkqc2Zj/io3ijXueZP45zjUvdf7Z2QhNQZsxIW52RmB
uSQe00g9Nyb60wHNtxQTeSCimR+ZEVqRHZiIqYli3Lc7b96cLtYru7OT4ntVIJYChinb6rbeZA8h
6UkLGoHXYtPa7YNn3je4cJ/+oK01iFaAlWTeuzmWEOKO4l49e3ZkCE69w8JarFOs3DlrZmbBqADR
MGRNYQZhoNNv/EfNjpxcV97vj2ahmgttFoDH/3c4s2dHDIlnpeg69fyWbtCAY9FHIGKf/IO8H+0G
ChkKXCSSmu/cmuHph+dHB8xz0E1HKxX4WmcDlBHKZ7E0qOd6X2zlD3kbG6UpGoo9PNPf0un+MKfN
NzcG6QVkL0RgfpU5+w4beQXXtYF2FgozFAluKBTRfLQHrOlzLEWzyD7/a2k2n34tBBDDi7SzFpid
LgXAte4rwaDNs2x2nM6vhHTTFXY7MBnqFmAXwrU9baMLz1ShdaUek1Q7p/voWX7mjTXJs+WZ+8fA
vNoPIUFu8CYD8oFxgAx/8vesJa5s9uVZw0MDWlkSWALn6XuAUjSllQvtLB7Yj2LLf5V/QGRm8k/8
ypty0RKihAmcgyZVJLGuJ6xJPLFR6k47gz6jeIp+K5BPs1DMBLvz+KGsbLvFy+nS2izHUVO5DSWv
0ZCem+BiaJLJHv1H7lDulAeW6uUvSE/yCVl74S84vikU+meQM08eoYHZ4zmY1Y7gNXgWv7jvZo39
eOmCurQxc65alitcSFsNAW3Qku4DHWHH8k9m1SvkGQu1BhU+HL0/eI2i8WgOO+BCDypMSeqdDVqR
+NS5G/40GLqkV3vO3IbH2L1/VywkimAQAC4OuRg0Gc9ZJGO2TRm1hkF2q5DCDvAklXYN/GeAqjB4
5glvJcAACDoES/Vm132usqAszu3FF8zmFtrDPsSs8AWlgYauR6KYgSV8Vra8eX3gDZB7vMduZK+J
K97eJcBBTMUzYErA3CTOHmqDWiYcyKC8s8KOlsdvipLbjn+YurPuT/CSHailY27BlDhJJFwfwVIu
qqrJK+bMavkWcejvYvQVB5RvrZnzPbsSIEy/dnVDikgucMhi4IUANqp589ggUMh85JQ/xwwuYdqV
qZFBncHkhUZYiTfFm3VDGh6UdShHQT1rQtBej4wPAI8ZRkE6M+MDV2zZfKdGm1wjCjrRPObV875C
KJlEBxYwE/957E9SRiTeRZSmK4Ldf7H+R+Mo3nMe66PLoYKN/3+XH1nmaOpzV+osep783dBDccyz
PN9oKqNG84IM6STw/yWkeaUxqVtTLhCYJ6iBuT3dCf4KQufGJWCUcKGIKydhwxufI0KeJUmnF2Ua
qJ5ZVAOEThWkESMQJ5hxGBVOwOe+WTSDt7Jzliyr4sT8Dw0akB1PO+vC24lSD3ZAppTPcs+gr7sH
v7wv8Pmm6jHJoaQltlLR9FHShrVC/9LSTh1KSMwiVEKxZeY3OqYsfCgoyIDfACfBEcaDxgbdSqkr
cCQ/JIHVZFsQpcvRYfS3kXpMNaoX3IHtdJZzAkYfQZb8qQ27cbSqkvjyiWuAxsx/8b5DVVMAVXNl
MdlL/CcsDkntoYfTbuJ3HxLxEmmoru74t3QriY+sOlphRLzOKtW9gL/dP5y3cfzPDgarmYTUH5oL
ZwOVRXCW1iPScZCyPeH9VAJ7DC7Jpsh9J6/qwSjbmDdoKbSbQqoe61gGV9dQPPty0hg856m6pHlG
l6R/kmmE0IvJ9FpIlJDwQiKQAnx4pE2VfnP/u28BIBPWTgMyDfEshjCPJ4WA7+TRV2NXqNR4A4q/
5IFn5E0QQ98gBIC97aGYJ3i9peU4awiJc0tKor8Vt8Z1pUgSZIrxGJwyyfPLrc0AlI/K0TvnEaQc
ai57jHBkxbIjoDAhBVaSyvUpUF5CbuX2uU2+wLSKlzuoxiGKwc5jQdGThYItWd9NMtvrdMHpOKtl
7a42Qrert4BjSt63uNplNW2I6wsWZjFmyObgHSzNJVlkmgksrVLfjRpNNVkG5aLOYz1zyNrArkIO
orxtVTlj4IlbPmBaC30lpInG3FAh3G5qXVGvhZM3bwsRjCq8JkHbFfogiPpn90Rbg3c9qny3pCIy
bVGlyyyV9Eks2yqFbLAaQAoNWheqrfnsCE20KrXqMIo26sCvIRRukwT4GpDNo6wO4RpcHTN/50ds
mINiw3e5ZzXQE3oY/rAg5hp1NJRGeGeJRteZaWgK3pETzcq3AM3JxIKwyTHOfvN7Hv3fuZNAbysm
EapjX0NrS9E2k0yF20mCoWkviuuLusKszeMUns6WdkpWojcHfhrE1pO/u7hvEwniDFnSYUe9eDIJ
fLx3hX3y2CgPhaiRqn7Luu9hF412Io8r99BPhvbGNl6fqFDhTzCJXNsehI6HtkHuu7z6gMvDM/yn
gQE0jgT5tlF1vnWoeKoli/UM3ig/4kf2qXsRzaE3pGjH6Yop8kQ4SedENTrPaBlTA//+2qVz6/Cx
tBcfOXdITSEpQZH5LugStSNT2b1gCsrWP0ioG9ZHzhR30JV/E3xHeWRw65cGp7PSyjL9FIZmUwVm
BJzCCcQ64Teup0pAZ2jXSKrvVh01s8eheEkLs/dtL9Nl77tm9m1uF817OkZEEPfB8LtkDZmzFeCC
eolwqY0cQ2tCHxHK2oTNzbg1RMYeB7QmPMSxGXknCGWIpclQp9EIF5vSo/CFCqn3rD3V0aYElUSN
5C7zLcqPASgIGu7QbMf6XdFID5nXcBM+0wFyLOm2ltYwnD+05/cGP8sjiEzSigmEmlz5UMkWmh1J
1T+F/kFrdboNo9eiIKmT0Fe0NMFpozn/PT1FmUMlYwz2fm3J0ivfG8OX7G985kkEMjzbKoPR4MbW
qqPsxUQon3DbkLR30YY+TN0jetidFNkCn73yyxM3SuvGdFOkR6AMg0mDfC8rljge0nwXA1cakpbZ
+Kqeo3CcvaSlkStm0e9KO1Qe8zc0qdz3hAseHIUmGQB9hGjIrUizhPigVLXPMrLv1tSSCx3Y+MLf
gAm/NQDWigkf2mqtD4esRruaifa3Sk/Rz7WVVV0eDuKaqMeSW7r6nCmou7hE4hRiRl3l+e5wSES0
/VoVNToU0QOWZMFLPeiiaIosNVR+jU5j4XReWZ5dX03M92MiMr7LpCRJYvAc5bpWKUSSLTArlWlC
0HG+Mvu3T37Exoj+cdlPHMKgp7oeLtq7BbEs/cCt2QcGnica+0Pgq6TKgadIJ5pEk1YDAXPSlkPQ
3Ko4jsGw0dRVWrubdxa+RPhPI9KUX5u3XCdRzhdiIwRupkodSPpC7UFq+N4uWoXTu6FK95USq+eM
605+zda7VPN7I0sGkIIFHP+WyY2mD2xMDb7gsq+c8dag3rdPe3whhEmhMsCDBA/0e9dzhX4kJUyq
IHQbT3DKMDI0pdQBZa8UO6+soGnNitmkUQsluaeIeYnLvVZaVAFc+fP+mbktUqLYDeYthIVYOFWR
Zxe5nIvCICcZdWWbAtLEvSrWcMBlRUWd9za85JSEf6dHUAW59y3fAoQmy1DzFeBhAWGUZrFKCywG
X2lB7MrFQ6pZpQ9OHiejJ8VzBfl3pBySinhot2Afatms1MpIPfYt5889GAOCdJLSyAA0fetYIKtj
T1fzcAtT0AKsdUH6ClRwxQQrD8Cb9NLsk6ew4eJEc2IsMoi7qMvLieD2uIasqKsqoHhiSIiUUaqL
fRas+NqF3YwiHCIR6GsgiTvPTjApML4hW8ZuCUjEvlojt5m22syNXP38zI2EfFcCp46f54YHZXjp
vhRhmz+0qr6W2P+pCV1bQhYC/ToAIyH3jRzT9ewpZeJlQkBjd4jHrR8dxGHLlcrBa/aFW4yi2WXv
+eC0OmILgxG98/39dpsARXoHCBdwuUB0kIMy+7X5hGfExgu8wC25iQYr6ggd0PFptfEhLSOSlDa7
1rtyu1+uTc4OVzyAK4prtcCdxEQo35BY4NCA9T6O0jeDJNP9EU4DmM0vkrsKal4gCwKl3uxA9UnW
g6lSCV0h6GIjaMaKsBmrM51C9fuWbov6mEvIQgLZpwm4NeaRfVZUfs8pUeRm6W6QH/12BO0Pes34
b2R0pA/wlcapWVhcRLq9rB612hoP4OchTUVSfkfXKri3ABd8D3gjkUIH+/QkXHi9tkqdRxHPxJFb
M4duopfg9YR5kh49ixlJnm6So4qS5ECqk+Bq8qnsHT9Hmg+ycunK1NzWlaZPEZE+AFx0Ikifnaec
7ZMyA1eWW4pfeX5uy8eKOQkJJKEC0w+J7KGpP3Kl3hBQKxa3HuT6EF7yDQ9lSvP+Mi1tv+nCAP4S
tR84m+tZoVnRdxyUONxGEBAOaU1ql0JUA5ebjU6kFLGBIGHt/bJkFORM4PTBWsCzzIxKtAq4JAip
Gweq6ohtxW665p2r2x1QSCOeeJG28mJayID88Cdg5SEwPnFFXI9zKDyIcwyY1VH8LQ6bQeGgyYD3
hliR5LlHMF6FJteY6hoseOnASeDtQQs+O2XHZmEW3zV5hEd45CpyOx44MJzQBL0udTmu3F2TX5mf
bAUEVBwSLCDxmzfbCE3HDooaUCQ4IH8khLi8VpzM0uXMX5qYlvXCtXm4m9HlH1E3qDjCqZQ0I+L2
LwHQhRc2fR8EAk2piu6jnvQrpamlHXNpehYMyb6gIRwqqKvmkgJqlp7Ro5gDJClX8NxVMhW0U0li
//3ZUPDCR++SDMTjPAIbg4AbWa2ibj1EaJg9e0JhBIKvR32O85isbdFbLzuJI4kIeCTghODJZ9Ob
tTQYM4wR7aqclXUqDxX1vtiO3PgE0fNJyUGhho9Y1eGaHMiwCK26YtCERs2UoEJQx9SkwNhbTSV/
KdEggNqKCXfJyK+2tE8X1M1mQ7kJiW60d4FA5/pTaxBj5MnIYTmSXSMh7YpWPaIKDxX04MYtWlPZ
yqZrfD2L+w9TBF51KJgh8zG7wdlMGgRxkKirJZUBKm/onj8zo56kZ+S6hdJq8ELv1V3FGuj5Zf21
KGg6qvNBo4duqo1qINWYs83UrMfnI5/HLpu14YHJVLRQq3F8isTApaCxP6YjFNwk1Uv0Ie/e/3ov
In+BuhsQmlCX/4nRL86eJPg07/M6dkFNhG7bnSAZXWGKKShZft23dNs6ji14aWp2VYJZFQJQQhW7
/AE9l5s3JbZqz3xt3kIdBAJmbKEJc5tTXYHUX3KMoN/l+Ed5tRp9G9MC8aviMoMU5SRoPTvykOMV
RhrGiYv0dGVkPAfGMQqJ6b93gFdmZhd0oWZxEnU0cZMxQpfyFlxTAb8De0y/lutceEddjWge3PKF
H7CNClPCM2+PGVFe1XeIJ6tQgdFrEymw0Oo7gtrX88qK8rc7F1hlgAARiU1KyrN4Azz+UVuGeeIC
bmYi4f4xuNUhsr6jY0WsyFABLumM6iTvIP467OA/1oKvBed09QHTB17u3kEOAVNME7dkU40Mshab
Ph1S6/44F7IpmOCLcc7iCl/MgNzPs8TNDdk7NZ0B6jgear3gwrQY3qnOfLmVU2fF6oJvurI6uwxl
tSqheILBKcev8ndCUJuihvjW68gEb0pd2Orm8Pl43+iCr4BNUGGDmg4Pvp9Ey8WEsj7vg8OgTlyG
4kUJatRPOA0oWTQt1cM2ZOym43tdTLM1QOltIwBuBxwYYCFZ4CDxOL9eSlRwfBSKmtiNwc53jOo+
5+CKfbHR/ZzhAMaSilF9nnJvLz5Lh5r0cVZK+zzL6kwPB5q8BH7UflFGq9qvHrugOYZhznziCEq+
I7QNA3IOTS0DNJIU4JQtOTEvDTaSlfHgSyMYRcKyymWUJTrtNwMRYcnqaSZmSC5qksnFffAp9KEf
Gk0flfQASe8+1bNUhm8QpTrtjPsLsXioJzow+Gu4QpSXrueDz1pJKvIidpFTqJnWUCvC+SBK8B4V
Te/2EkrXqk5D8EJ1Ojp90eN6/wP4BbcEvbZ/P2B2uEWRTSPIY+HJHDmNxAJM2oQQqabbCrrsgk7B
PfsbPJW9pQJoiiKJFVRE2jENuJbrPyXzFrxgluP6qfYx4yHRkudCPqDu8v/4TICeQZQKDnrkcmb7
pkML7JBHYwwese/wg3WiPROIoOctrbAx2s6SS9KqBM8lvfAbvZTeGO8hASa71bUy1nuE6XTjeSYK
lpTXS7pp+00ZwveTQiHsmqLCLckXdrmIQjrQvsBt4o12vaoNUuXM2HOxmw1OIe+aghIaWMgUCuhq
joTvpgvNGln+NuJIS98GcNF72xBaLBSNQChlFhtVeNEGXe7Q1/Y6RE8DgA6JURYM6dbK70t3AV5T
eNLjZT894q6/lQnKsBsiLXZR328Nv5Fzo0gGj2iYchOFVZnEcZI5Zcms8WQtPG4mzCAYlKbWHGjd
XFuGypJXUFnELMms71S9UAFyMIwPUlLkK256KRpACRIiJIjDwV42C45zpfClcgxxtQucCGbrZjAj
LXtBwWfL0mKtcLLoSRDeQs8baH38NztUDCLNsAGji8smaHjiNCtqSA2CrPosDxYqA+ErHY0hWHNg
02UxCzGFS7MzP+mpQehFRZO4hUzk4qRIh4bdqRYOKEN3eW8P5coT5xbPhY0OGl/kmFF+BZRstoS9
VFRcAPE+d2iRjQDGCLpZnzxg6xVp+FeURdRTgLgoMpnBaCtdsVj4VMD7NbBaj3+4YeuJK5+0dJ8B
OQPCWwUgGtSqrzcVW3BM2DAMoqRAa7dgpAWIpJaeeaaSDpCjDnZcVvg6yySh3gC7u/LQXEoUCLii
NDzBUCQHa9a1eap4AdjNaepCnojI0ZsyoM4nOoyyFQQ77Ws79h9LtTLDNdG3xbgbRnlxUoRAFnJ2
Q4pcAjxRC8udRPrisWJTQ4NEiBeZtE30ks30Sn5t6z26+omfWJJc4WrEqzA30XA/cijpBZDrBMPY
Qx++qLHBejr4+O5f4wvHEIqtCMaRJET2an4MmaGWIi7hUhea1TojbPyqBTvGQVtD2ixUioBlwttb
mxKVMuAi18tQFI2s5lRI3XhfPjObhFQ6ZLTI0xP39Lsk/Bqr41J28MrebNd1Y9rWZQB7GTkElvhn
at94+h4fTnQvk9ccyuZuBd3EVe+9cOKv7M4cTZpylTpGfOq2v/EioOIuDT5SxZayHOQZ0HMqVeJJ
B7B1sf1zxew8fE5uxNTs0UTU7LLczOIVTOnC+bv6omkLXISWzCjKHh6gqYty+dQvkBstm2DX94QL
vqt+lTZk0R5AayyYKtHeOecZGoY4VKoc9oYejZQO0q5kk9nBc481B8ZeZ4meH6Z+GbMtdN3piPGV
7LyKvNzf2T+YidndO8Um/3zH7PglLZqPAw07YAdCEqIRAaVhAmJX7Lvv5t2ujH0KcGtOtu5z9/n4
uJaIXUoKX9mfufEqbYWCK6Z5JwC2go2w3OP9kkV2v808DD/A8zA0Hv3P++Neqnlc2p1zEIVDA76J
EONu9EEiaLfHc1uPPQhd2IawuW9s4al0ZWvuVsUujNUAY1SVXQs+2Kg+ecNL73+vQmSWkkVXpmau
NFGpmA0ChiUcEzTaICeDHuF2V3V45JJSfIh+dQArHry13PbyzfXvPpqXWCTfR1AR4EQPnJMVpMl0
9sC+sOOWfgOjM1KDAQFLZhbPvLySuVm8nC8sz+4wbJ+ui0fMLis8yhxAdZHVQ4JuNThevLOmpDbo
XgGhmPNqlJ3MiLIPdKfE7Cb0o2QlHNoewIW/YaBArExVHmqVH/wrKzU6q1pa9IBMZYJyoVau8ZhP
W+b22P77MbPrKm24OOg5rHOUH9rA7PGuYXToL6AhPgaCZ5cYzFqGbHkX/2ty+veLG3J6/oJmBvMs
SHsusmowpIpvQBhzq6Qi88OJ2hB4/y+UomZLWvZ9pw1C3e/58gHgGlnHo7J9YJMDHnFMazIrHTPz
S+jG3swddR4nd50EqajMbNFeHx0zF1kMwyM14dCHGJCvxAgOmnP/Wpi5gP9aBToUTD5IK8yPTMkB
SlfVZb8fil3olaAMRlaseC8LInhfamyJTbASx8yWcLKooA8JvPMTFhQh9/USjkVJ4ybtoMBlFIec
fGzXuh+nhbnYljcGZt6kEuSWYcK+33fCIZMCUnp/P2dXI5i5CwHpZ1ZsMAKZ9mZHI73JCXgIqCSQ
mFfgL3I/N+4v0+y5Nx/Tz2a92Pc9CElow8AkV0CVTzrgYQBZjpWVmV/cN1ZmPmLwY0/LReiHAQ9o
CW+CVX/upe3wVpse8pLZ6/0xzd3+f83hwQG5TqT25/qWNUiQE7HDju/04ASRrw0ELolIJLuyJFs0
QuRLKxs0i/uHsYdYG4Ou1ARtxl/3P2PpoGM5//cztPmzI0L7l5pD1nxPo007/A9p37Ucua4s+0WM
oDevoOtWd6vlpdELQzMagQYkaECHr7/J2RF3S1RfMc49sfyaGBXhCoWqykxKpGH7DYALQ2+TIg9U
2hNH+oZqb4Q9yz78vk//a3c920xtCzpg+GxfP4xh8qs/1nfqxl5d34mrSfbU1WUMqpVclh509dwO
ZPmB1hN9zBYt99emfzEyHqroteTeb7OwyIw0EEpfY7GVQri8ff871NWTIgFnL6jPMdSHG3+LTnBj
GyFt9NWhJLxqwXeNH051kyhQMQYtS2CnJ4Gh5orfIY6XTpCUd00agvBIVlEHVZWGMPQsQ+O7j4cm
4kOyN4valzIGjkF41x3UN37eZ5f9HrJoKCUtMlWr2xKd6sMsPBzhXo07NLQBgO2hyhgmWvi/M7Ry
sK2duy0o03CKIyhf7a/63ZbE0/9jU/13LCsXq0xQLylSHBkB7oYcp1aLHKIF6dsAcsPbAOrf/s9j
unxIkStBGQ4qeegk+brIrkZ7M8nV6ZhpaFaEDkMrWsKGvz1aNxwAq5PrXER9ttW8sIrr/nN6Ppld
uXoJcgyrTDGXk3rvUU7YMzUTotCtU3rxgPxfO99SH6lnu2prwo7hvbksZjfKEM+PABYuOzj9NdDX
LqgHg0ih45+Zv4UPvhAGIIepIgBAMgotYKvUi15bNAdiBl4iU4HeUcKx/oAaRyRBTa9nQ6RMj0qy
31jT5dR/c4CfjK4cIOtHgVYoGIVq862roF8wBVqLX6GrwbIOFLR7+pPpsL2K85pWeBXxjZhr3Sj1
n+WFe0fyygESYl1M16BONepSg+u3yio2xENvFKFIuletiUx1CHtn3jdjg9RqkILEroIoTqHdD4BN
6SnfFxS6SK+Od+pZclXSjethnQ779nHLnvl0548ttOXAeAe/ZluRlZSB8G6SPjamIGlPI6bkTpv3
dfI/lK/4j9mFFQ5OGZHa+lFalbxM5LiYTagvaSwMn5X01Crem5ys0HWV/2He75vF1T4w5lRvZQ+L
1r2ye0hutKvpSr9pAm+fbYQclx3Xp8Gtb8MyY2kzwVRXhlr0kAR2YMXXIeRfY3Z93OJkuOy1Pplb
3XtVk1U5GqCno6IFs/Sh7WkflQ+lDOrbyt9K56zblr/N4+oiTF2vyAC8n451Ze2l7He0Qa+tTqyj
DZqL9NSZGn7pyUA6s0IGgEIWEcUcieuoNf5/4tUFCQn6LA8a3KsltaElxmuq41P6WB9Olv5QGxvb
ZvH4X72HDUwd5HlcvIYBaVu5Zt7Vk0G5Nh9f0CQRwiNuBRbffSIMoGaPHCj+BZXXr+dPzp2RzTUM
OLR6UFq/Ax0d8hmZGTYNh4b0L70eNmLRi2NaVM/ggwETWyNmEnAyCok6ztF4GdHJlfsQMLjpl0aP
n13vP6TZt8n7ZGi1ProqIJ43wxBOt+6L30gxGrv5yQg0kl054RRm+y7624YQQ2sASQi8m/H3/ZZa
1uXRAqOHQh8uk3+VoE8ODtAAe7JaTLBu+9RvffOgBFvtD98vcKwdNCIXVDB+3prBwUuarrKZPR9L
10+g/eE2oZYH3Sb18MWxfLKzOnsFRPJka1rzMX9QbVK1sVKS9rlVb3udb8RCawgazvnXMa0uBkVj
WS1UZz5OUUHcUERg+Ykhm3vl+vM1kSCb8pY//DYET4pfxDX821VFrlp/4blJNiPw78HL1+9ZRbZN
4fFCK118D55KLI8Su4NW38aoLxsB2SQCBtAtrLtIm2lgBh1hxDYjgTLvLLGKYsNtXXDYy1D+a2UV
O3toAqxtBVbM/Lly7sa4gsQwYiBmvI409JzSNyZrY2TfHwbAEUL2GeR/OAo4B1/9jJm6M1R5YNMp
otz7M+axI65rz/cAS/752F/YpCivLXTKyzSiwvPV0qyVplF3zXRMCtI+JCBpPCTn9sq7+dnMhaUC
2Zq9EETjXQ/V+K9mhObOXtEV8ljnKuasP9feUWZN+LOVC/ERklbo/VjuGBhZXwB9LcQ0ylweHX7m
d+2xxqjKemf0BA2BE6jjQXXO8F8bZr8v18IxACoKbELN/lYOdxAwOkWF0bknhZyrvYjUkIcSjyAl
/NtHRurPIADZSmp9X7qvVpdf/+QrgQGSY23Bamdavs4PFXpqJt8yHmie+yLbbQxyCUy+3g9fza12
irkARCwBc7KIkvRktmCiaR+G8Sq5K1jcO0poGqGy8C2nEDYcfv/vzK93EC1sKCmKUh7FH/dxRMcR
RxU4gnpQG9MI1BIZAvCt6sHGuq5pVkUDFAivKnmssto31ZfGfp5fVOSCxvHj5+FdtgShV2Cv0Tvi
rvyl2fUMt4WCbdLf58qjmrym7YeR/OVbXDgXEnpYxkWdHP0F2Kz/5H0/7RrXG/qsnlN5zHsnaPIs
LJqM4MJVkEjshqjhfp0wgJCPs6bc1q+D6DbYjbXv9+/yBRCo0q2lW3ndGy8Z2nZnweQx3fNQpAFP
d+haa8PkPr3zrhL/HgzHt+nf4vnnKf4euy1mF/QLmv/BvLCaYr1UhepR7N8Z3Rw2+iliTUIZgQjB
/Ma50u9+Nnfh3vhqb1nyTxOtl70oWxe+aFZPirzv3riP/CngzJlLarlHvmTj0rg8sZhQ8NSjD+gb
gyvIIkru1BxslhGoC8JTe0b74fLH3iQJec9RvKUbt+NFH/TJ5MopuL0xdXSs5VH1tQMo0a6svUO2
MhHrthjsFUzlf62seVlbhxZDKmGlD6uz7j9Ikvpyd777PZBfFDh1vNN9FoO7LzD8jfD74mb9ZHp1
EztAlYpChQsQsvEzEzVo2YIe5Awc7MZ++X5Ffh2kvtovni00i8OSCepOnQZ2KQNLRoX6wNkLCJbq
1AIJeKyr1K9rbY+Xgj93e9FvONolKv3m5j8NeLkGPm3btqvcbvKwibzkV+b9LqaNc3HR0336+Yv9
Tz/flcAzpWmzrGVZ37nJEzPOehMU5tbb90ImBxgVNKvjL/AZ49351VLVWknHWuyaKQK5y5PcTaTe
iR0LnOhcEeNK8+EIIjDVACbzvGn90nX52fpqHkfad4OSw7p9ZUWoHvilD3GFU7tzwsyffHyAn/ht
YJ5ysIuaB6TYyUYqa91F8+/YoJVsiSPxaLW9lQcCEZnGaYepFlEXKmf0nIY0soIurPf6jNws2iGF
Q5By1lkEZVDubyY7LrkHMNcBYAe5G5SmV5OA8tfcDekgj/xJ9H5x1z5UN/qbMwTV9fisH4D7hQgZ
VEoP43kLsW1fXIBPtlcbzbGYW5lqL49N2JAZPcDtvr2Z9skHOD9vkXYxA/QRxdR/+1X7TxZeQb3/
DtrP8DG+fnx0SeZ7/h0jb9T/FT90ZA/SI6Kg7yl8O1J/Co/X7bUeWb6I7x/Hg323FVNe8jufZ27x
Fp+OSS+Zo/MSMwd+9aM4lEfIcmw4nGX/r0862kXRuQ5mSzwgV/Fj3VVsZp2E76bsZPG0BPlR5+4U
VWXoPJTKqRyB/jSqbvC5DaoNhzf7su1zlIeoEf38MZe8DlByeIGguww4k9XlLNRBm5tMl8es+eOk
54pteNfvXgeDBP8qmiTQtaquYw6GBr/ETC33KEwfTWT9sQKF+M9DuFCtBwRAB1UjtjuyT+sAI9M7
kzljnhzdx+ZJBQ8eWgR9Fk2+Gun7ObAJ+PhYOD7/bPaCm4NZsACi313TFvb2rzvFSkEC2Oltcozq
NJTPZUP2w2/zASEV5HLjmsx78xmN/yCfAamKcjNtvOwuXM6wbyOywgGHm1kTaSslNcYeNGDHg8d8
+0p/Uq6L1+p9Ivree/VOY8AfmhsBSthuZ/nGjXq9BeD97mTASQBSftNV0XVtrFvW0MGUJLVuJ0da
gpoDagjzjaXcIEGGhOaobzwx/6Upv56ar9ZWp0YTteZxy0lQoeZEOWdvClkIdfR4DK0ouwPvY1TE
djARpAXJw50dUHJz/YyuxWvNL2/G/RSqgR4NsYqmABlCkib4eT98P0lQfUbqDGhvdOyiYfPrdvBS
WTi8oMkxrRpiArq8JbuyxljgWvlqYbXhQFHIEjEp3tGMlch66WL+WIfd4/DsPbbX/L6KtZt0Kzt5
IZr+anR1mScl4K6gTk+O3Z04SDA0y7DyC1L5W20VFzwF0iEgZwMVFoRD15emO9ZpObl4/0BgHvpV
12VoFLemVsDT/7xQlw6up0LJE8awTvq/cP6Ti0+4GAV0wZVjCX6iU3oz7I0Du+enWiXmXt0nu/R6
PlqP5oGek2vluMWhuR4oKooLxBxgWg8EPIASf90oWmkPU1MbylFBio5m71U9EAa1ztbofN5sDPaS
MQQByNJhrEhlr4wl6qzbXOb0JLp9dYPbZVdSSdwKEF65QaqwdgfLuD6bWu0UMbctYKEFPRlJsoe+
HdD6jRI1HRJ1FOp2ObIEKt16oqwfl2ujq0BnmmkNkh6Mr304u3mQnex9AW+LLfr7513zLaj7jyVz
cfeoUaJD9+uyIRVpVBBdwn6ArOlR9+uIBXnQHpDSZQhaoLQatoRH5dm72ZID/XYI17aXVf60Y+2u
N/MeaICjByWinj7YMh7HHT1l+6n+oBLsktn7z8O9OK8I39F1jnoOYNhfLc5cT5xOwbxqItatoJlU
or7knBInuZv3TvY/DZn/jRBOExVv+FBcK1/t8WLUmSyweWTG7tnEg2aoiNZRpNX2xmNa3uvZI00W
XHPDzzm7ZU7td+BuX+i0gD+q/+oyIz9Pwbe4YvVNazoZpk0thDowB15KkGA8J1f9qXicR3iJ4siP
AERc9/tF8pZsNiBeOktgoUC5DgHSklP9Oh2pGKs+LWqQxKGd8pT/qZ+TX/W5jx2fQoRFGlGXEuVo
PM6Rst9SY1mTg+H2guVPxldrr41NP7s1jDfQBCjD6SDO5Zvtc784ZUcr9RGcz4chVO+vlZsBSK4t
CoB1CA77po5OgIVwwEN8vArBuQn32EPU+USruOzPXXo7JTe6tgXb2jKzOtBGNc5a08NM9zFcSX/D
G67DgX+DAAkugPoLbPvfK+nTkVUtLasQIMHxusOvJGv3tC82Enr/0i+fQ6LFhmGB0xQlBPB4reFZ
KRRP8M4e0hNIKeM6cq9kUF51J2t3UkL7vTtxIBqvvECe6luwwZ4TZGl2O5QbUKRiJw81/f/5gfny
PasbgFUu8CpgdD117dPgvqIOSDjI8sBe9sttHucuwOZpISDcvnfHoicDWFfLRwu5nZ+/48Lh+fIZ
qzvB9TJHyXRMCwMBr4fWds+4NRXw618ZRZxbG9a+1W+xChYKLNDtAcuPhWf/17PalilQeXzKTimH
XFTha8+iIvNMwOYLHQFZomm4Ds3zFCLh8DEf1CBtCAd0w9/9POxvRZj/fAjSuyDjRPrlX9zzacuN
DpuN1B6zkzfd6xapjOuRQkg3m0i6K85Ifp6srSfAPzTWagtaCKHACb70wSPn83Xw2gQE2eTNGSjI
jk7UTIDzR61zlZtRdjtVO8OLzAYodMiJvNOoJKl7xHuIuxtr8C25vgz982csp/HT0BWoso3UltnJ
oG+j1vk1+kWT7lzeJKA9mw59/aDXQQ3FMAC0Fev554m/cFcC+bn0UIM/HDW2lb+c2hSsFNTJT4X9
7IK4NgGNrJaQ4pVDey2DUl9Vb/LpfIvr0JcA1wJIro4M7Te4EDSOmrpgzXQqCUeCBOy1fkdsXw+H
G9uXL/jfr79vfs0BuIR9SZ5bUgRQlUH+pEYfg0S08vefNpH0pY+G4l1PvGDEw8gPVAT3BxrUSJSB
kgrqPD/P1TrZiqeyi6c66p5ITNmgy/66ULL2ir5HC+xpqB8yhRIoPVvpxkH45noXG4jwF2w++JzW
CEKWpgNN+DCdeqcmI2gcC8BWfx6GtoYpOstAkNtTPUBGDYxjtei9UEbmpel8mv3X02EIdv5LG8g/
IJbYIeup+78n8pyR1xIz+GKG5BxVAbj50dfrnx/OYEglZP/6sP8DPZXgeZGiub+9NUhwdRz8Xx8l
uRojk9jkBqkhPGCZv1uaaq61GP/aBh+D//bRhwUEAJk/+h/22QQky8B/vg+Rhd/rt9G9SybfJcWe
kWsk2awzUvTx0Yifx+BXRR6PjIS9//OcfDsGqxlZhXBuq6ITdaaYkVh2D5YSqH+mCltTBVvJ3qs2
8gHGMsFfPM9Xc+u6pDLwsTcdmDucXk+qHxTkiZP96f11H9+dgtN534b48xheXb3Fx79t/LILfh7v
PwXin75g9bYqsykvRw1fYL+KoD3a/v71HP2NopswCOHzyX04kNgmMQl34fXRf9odQ0JuyBWJ3wLX
39qSlzzCpw251i61Z9OkjsTXFKQJXxx/k6R1Y33XrO9Dame5N8KAgMwF+hVwyX30f5U/dh8ChVlh
0+9l2B3MM8tugRBVg+oFwuY/z/n3mHy16itH37ku2MIbfASvb1Q056LXWV8AdAQxOhSV03clOXDw
NwAkStH7g9JxUQEbvBXcbU32KkSthiShlYnPiJ4qHOrTy5kT1T8U5AReF/+B4PD52AMvUXQncP8f
4/DmKj7ePxu+f3i8xQl831r+7zcxyNVB6o5yAxLLwI3rXz1rMgzeXGegaCx19Mfsu+6x41XQvGbV
M/jVeZcHpXoEIUg1n8bEVzt023cA8xMAEbx8S5R8zY+yuEfIWS7M6ug8BM3t6mw4ipOPliLZ6UWB
vlsg9vRQBco1O09B5RILMnCQPgi0uN25e0yQiMFtm8BZBmDADproIz+Jx2qr7f/CHOl4VSBOA/su
moz/pVQ/hwmNUnValXanrOJoYgaC/oTLqAiSOlFjT09EqFu0ibV5EiG46cQfs9K9PdiJy+vCYSxg
c5VGlatnYeXNZTx2XDmpjk1DmalbaJHvNyW+1QRX/pJeRbZqtdMn3ZQO1/PuVPNfvQGJ5fI+n7YA
39+d6GIEK7VQ2tp4qnzdNI3jpc3gwYi9ZG0fALSXoKdxib3FGgbygOVnfXWXqC9gT9gGGl+X/fHV
1sR13hitMj0gqgHnCUOLnoRICXTWzZ5qb9Qc8j8ynZjqQ+AHkFRFEX/nGSKzMaBJCZRX57I6tiOY
U4MMMjSvbdVo1/OsZB+cFfaiQjt6eBobwD6yGuH46PHkLJHqe2qrsQZb12iBlmRoB3RRDq0ygGYH
RZV4VHQ6xVovq4cU1GmWn9vpBBGKhKHRxoLIYjxL7CWSTFzR9swa2HMzjC74sI12AiB7NMV7M+Xu
U8ub1NjXIKHtfZA4gqpYd5h8Upuu60AT1pR8ro9W3YGmiIDaTs0/UsNJKDB+bgJpK7SYdqOMuGlV
fJ/1XjlHWeGOOiDPfZ//nnvFQjBnGK0IcmuQiCSyGWQ7NhVybslcGBmoY+rCBPGOndpNwLost65N
7vJy33kVAHFanYEvLzF6UELZFpOJP8sc3ZfF0BlqOCzqYb7RFG4Z69Lusx0+Be03CuXiXVDsHnQp
m5z5qO6CvJ2paIlzHfxgsL/Y4pm7yYRDbYnMPpijAmbzEpQae6Ccp7uGFS1w+tyqjymzxRAMtdbd
TqVKn2Veit+tWeqqz0Gve9LzwhPoYgJ5UuPoXhPnqsoVwmZTjIE2D1Zg8QLsTrTuclDp124BIsJ+
bP9OoP3SAsvhLQugFNXggjLmPI/mzCgSvP1Ua1+LUv/bQHpEiSuzUlB/rhRwmHB3klHlLMs9Gb1j
EZeVIgUJmiJoDDmI8iFxVOCRemEBS2sXqh07Vat5gQBiXyJtW4ymL7xKLcMF13Fi3ULUPbZFfa6q
lN3jd3FGKMDlWVS2dSKInFl7y5NMyw8SyoQYWJ2KOBvrRPO5ourzzmk8cRgndV4E4TX6t7B5puwN
DvLJfdYKvYs44Cc5mblqvee8daAjMnLmhbpiMIO0E7DPrQHSDD8drGTa9VBP7knbdKoWeGaR/uGl
2//xjAGopFzpBADa1gRMDa9c8aR02gAKQVti0SgVPTTObb0FB4IrhzJkNfhyA9scPKSrzaJ9LArd
USHa4oESXym7zAhaz6bQ+xqQJgSFljb78zyAKCRP1fTDAlYSvCXtbMV1nmqabygOh0kV3VBuhiWJ
uAbYQ9BnLtrlDan189UI8Wfl5AAg6546BeC1UKsyjjSGJU3dRzlmeJvG1nuYEtW+HTGNt70qvJhh
lWYf3ODT+wCeRMioZciT+5oqUZDLuDCepJnlj6UCdnFq2WlC9MlDQqsfKMbPE+wz4ky9/ayWo4MV
hQriXwAkKjyUWvA70jzD+Re4AgtiCACK0MIvOsgxJSD5AnVJ7THidIwDODSNxZPWF6LwkbBuf0/V
NO01pZwzMJhY6aFyUq8Ja3egnr8A1nZjDr0GMgKTQ6ECnah+m6fwXb1bOy9KY1TtTst7NiAZmycy
kEmZhmrTLtc8t5TTnGvIQIBhtXmsa6vsj4OrM8xWkSmLuI5evjMxNuCN6Xt8aCZt5vrCKrUMxB6Z
DrVaroLTSUAg7gHtHQ2qIgkQBODdtPBgA6zderfaZAQrxZh6GLRtl+hITFrt0QGGcQ6Qh7B/t45A
8Cc7Dg2TVM2Khyorp7d6bIoUEN3cgVhJuiwq8zIUJp28BrPVCOaRZZPBK3i6aK+UBFAUUlQ2vJbQ
mVWF0pGqscsB1vzdQ8/JAforUa3Q0BqaHdEF24EFaU5QwMGjcCSjahQapANmLMQweqMdalo+W1Ag
8kY8lk0pal8Fv+KLrQlugiW95wPx2ln1wmqiOogIs8697fMKgWZe0H5f2Wn+lJaNo8ROX5XPXmUo
7d71Oh5LderrGFxtXCNYE6WIGC8995SmXpbfQvCF6oHSlSC2RjVmPEw9zZckEfBcpGU2O3Wy4XYs
J0Xce3WhXCMvXLD7EXQ/YAhTe66hXdBcNIkMCqwdXP8LqtLjTAxNit9d73giRJ4ge5vQm3o/87wz
iD641i3IUkXju5XTPkjBUBox6smyfECLDYCYnFIdYheRowyZ1yOtnNGpL/emmXQg33FpXcVKxuyB
5LThD22B6vtOs3vFjjtrTs6ThuvGt4sBg1bM0vk9dVVTnKXVDMIvGYAG96rVomRhGklTn6audk+1
DdUjeCKHp4HBmV74o9uIPtBHi84HKMmlUBNWNSgEdbNRVWFFhYeKeoKv9zXsz9q30caEacxzBnLD
CYrLCDegtgUZW0seyrSBOIHZmi4Yy3VBa1/TkUr2U6PtfqEb2rnj2Zj+wsNtzHFLa2AItrxsao/d
mDT9riiV6bZAp2YeNZmKQIhZHkdpR85KqKo91DJAvDWCFT11dZzxwrX2OhU1lJT0XPWegBeRCnEp
ZGkCq2r7gbiKkK/UUjEJCSYaJG3KaL4ZQ60YfgUKAAgj1qUepRWSuSTR1GTaW00LYRLUCLMMYXo/
03vk4r0iKPsO5HlDCkIiuCVusys6F9S5HTIPu6guVUf4Q60OYB9bWrQD+HMLnU6qk1aA7GFz+4nX
1U8utVVQrHeTgj5pRkUem6I2q1ClLf2YrGKqwzK3nDO6ipb0ieGMRcBGhQnS2WODA5qhZSxIkBFt
A2Xkeg/dZ0dRodNswErc0wZND7qCuGZq21RcYS3Us2Lnc3LotL5MdxCYUGg8Jd5gx4PGxYOTuVXu
D0ndqVFjl0VzoFmmHJSE1u9VbrG72Rqg2SNSht4Cm9Z9FnpUjCAEa7jZ7T1pmuWRK/NCkUArUEOA
CwD5T27ogxaBfX24ZaYY6D03iqY9u3WX0gdLCP2xFNwF5TUKaN3BFvo84DafwfgEqF2jZk+VmFSk
dM0EtSaEH3A3YmrmEcI3CFX9WUiB7g5R988c3OEfcmB1Be4YUx93aIXNKEH07mlRIhqGgA+BKNp5
SmNI8VTm9hD1hZZB7AZMoCF3GrcG/liM1o7qIEi9k5Wnp4FbNxUebAXIPe6TKdFooM4JmNtVh48B
VRNmHp3BkXkgu76msUxbjjZQMCF6e7xq8BLWpmKo3hTqOfQ+wRkqiaKgNywYe3dUEWYVCKIQLbjO
ON/zgg/6dYWv4sHgTMazwO541RNbq6NE4m9jKmh5yzO8M4mHnt4XQ1Om1DeAqrnrFCr/WEJ10xDy
buVtifLhFR9cPFiGjBX3NLFysID2pXpnTC4qwculi9iS6e47sgrpK6pd83xXJoVLo6qkDcKHvrXS
SE0rWftpr6Vgy685zf2sGpqUcEQMJwhzTX9MNrguGbOu8SDXlSXouLNbrGGLS8wgEOUz8as6Ld9T
CAw0Ucn79qNkPHlsnEHrwgaukflGZrmQMHYB2kPJqaVZmJSOkZJBlqj1ztUAorHWUDs/yx16naPl
CIGL2ug3uENsRgp3rn7xGWEO6bwBL4s5G3GOpkKCSb+kmGXijlnq4RHChvmvJpz8VisSCcSfKP94
8GqLSOIAxwhpRHCaINTwnvXKshEEKHbVA19gzCcv61I8YFRDlqGe4zaoRerd9pNTPtWTlsRFpaOs
o3hWXEjVfaYg5z4OSjXcQvEtSXxmJtAOM4ZWe/VSFembtG9yLIdwTRCLWmaxg9iagwXlvZ3GDlUb
EaZNP1VXeq/WQ5hZ0GwjkypBQ4Jiv2kGnSna8RpThCA8c1vk1hmo2FByamrlilp4HYfWVDRPid4j
E566iPWJZNAkIEo6AVTXCd2dQjEVnhMWLU/xxmtAQIVgJDGzwOq5ygO8aGSF+F2iWoSsOqBczEnr
1Fdyx2v+zqODOTc6moIsM8/KPB5yrxNwW7h+TniD8TZuc6vcW7TNip2hDKYe6Gpbd7cOGjRLHEzc
WSw2qTLkAUDfoHtxmMH8Su3B+jKYyKeodIk0dIMhRlMnCED60It3XMI1FyqbuDvtl76qrGdD5Hh1
1OYICV/FzRs0yYhhvFb61ivJaBeFhUIA+u3Q9D9MrT9zKBESTmsZWvDU0H1uUXWHro5VIQc/QjeC
2LrRH6gF2HVplRiVZ478qPdZ6SGy0tyrJusntEva6LYl0lVqSQrVm1BxzJwXqmeg7uqquUf37TSD
5N8yK+88GdysCWuojepUbxU2MbuygHYkW2g7UR6Z/yTUYSoxBo/lQSrsgQPyUVe3vCiUd9XtHSTa
vKEED6JoWeWDoA5cxgP2E0eomoGwzGrN246Nwg3NrnU60ih0oqQtdeekpJ6V+bOJagkBchtFkkZk
iERH9LJ/tKjfgAzCHMxDg1+D9t1gsTOAZni7l0ZR/h30sbjWipRWoVu3OJK5XbmZzxA1UZ9lheGA
Ft6xAKTIK3yTZQ7zjaqmeRupOhwNPErjPGDnpffDmLpI2KkpVQLNY6B6ZpXenqeJ0zZkErBkcFNh
AvAz+HhTUlPNQ9oUGZ5QgwuhHakXzFftuhp9e+yr695GhYFqOZhREbhJirfsNIA1fBhVSHoCkPAs
DJbfgWXfRrIpQzis8gLSfiUqijrU6tQGak84DdCwMzVMVqnXxd+8bDXoaFsUbjAdXG8OPVumf+a+
k3ciG805MBLkOfBb8vyAmW1BdKvZ/Lq08HLFrDvK/awz803jBldDtc1tgC21wrADHY0HlGjQznuC
t57KoKB5IXaJk8524OJl98tlialC7s0uz2UmJzv0FJb+mvFaRW6ot4RFmhrhEOh8mXsGOrcCLQGb
4XX1Vsm8u9HqDR6bWZGCf9G21D4ceyuD3B5c8K5EORXt9S1nGtFNl/7STHOorvCY4BpCwh7Jy8xV
8FxFd6WEtkHCGh46s0a1kBp2savHfHZCcHylfxo2lDccSel0pzeF0eyasmvq+9qjDJd1r3bcH4cK
nSSsKUsKGauqzSI3lcIMXF6Uw15oZfsC4mQXN2Nngau5LGvpL1eoQ0yp1ngGQxg49Wlp1tpOsqkp
YkgDCyPSUsS7bgZyXJ+DOUbi8jA0CE4rmna2aQ7PPVVqd251jSO4LhQd5x7iUaC044qeHnmrtf3B
ans8GIETRJEEXbIeYn1k8XfAHqcSZClav3hKHVDZOjXBmpyK0qiJjS2IfPuUJ5gu3ayHoEsn0/Xb
DO+AAAniJ/y4KQbiBmmnlFr9s3Q5n3zRtByPMQX1ynOpqB3SMAI5KeJNgHhcGZY2ZYioROsG0NVw
AOzCTtB9rTWpBjkLgBOI4+SQNqB4PjfwUJ1eHexcT9SAqyO7NrzS+z8UndeO4zgWhp9IgHK4tRwr
p650I3RX9yiSkqhAUk8/n68Wi13MuGyJPOePw47liNNuc2UY5DoowyYPkhLRezuVfXIo+q0laEXI
EZEmPSQeR18dHLTXtNur1D2zpLw6W3Y2KJwxn7oYIgGYHfY+ZT35526987WN0ewdY6brmUuzDQN6
k7G472S8zNnjUJVZAeLfJo+DKnUGVmg8yXTZ8mdQqkQsSa9KPz13QSS+M2/c3n3Ht9g+Vsf854vN
sMsEi0d2eUhkdVrY4iUbHZ547bfcf0lQco0vyAo+nCZd2S+iFgwsA7caeZOlPQ4pR/QuIwWHU2/D
bHlknx5QiHXhFN8vpHwRjW67hL4Qv+aMXWiATw9d41AYUtlkmXLdGDfNm4IQkLwy8fwVTJKsvKop
VbhjvQbtqfSy/U71EvyVNoiBb2Tkv66jnUgnm5iNyDwNeZn7pOoDkub7ljs0C8TP2saZzOPrhA9C
qAQH+FQGV01Gv8h8nj0sAV3WcY7pmuWpENZx2LvWBJuP3/aPhbbpdkhdM5R7ukaC4NEzhZnzluPg
Xze0mbtbQ7e/75UMwAfrfvrwvagjM9bd5vs0Hft6b3twml1dEe16n7VtXJ3jZJ28o2914B8bZ4UU
rlohecm8IliPED6aQJLoGgDX+sot987qBc155Wx/yqKmc/Z+HQMwASUldT5uUV8/RtZp6lsdNLLc
TZ5HjIrSlB3RZJXWYW7HZf4Jqtkb9tHgivSQ+ahC88ETdUrAZuj/SXG78tts7biS165C/7AF5aTy
Vfn6I12T9UHQXsstQNL+kvvlqL6dxcmYXqclIspbdvR7yqqh5Ul7Q/ypoysOaZBDXvrM6fVl6N1q
zAfrBf3BkUt0zkBz7F7gDfB2shTeOVlYQA5Z1on6JK0Q6Q7+J+MsLZ30YZwd+pDGiqmq362Go2FP
3WCASdRyYTsWfGYpVfcyirYDN9Z9nJyamWjPvGGwSnerTY0C8+8DXDr4n6gsacK0yD1RuiDMAnr1
mI0KeHhkL6tofyS0kIhpp92j6BRgeqoKb6dwTNS5LK+rxdgaXrGCKwLFO4AmorlEqDn3RpOM+0X6
5rvhKeupLO9aht4hrQE+s2rY69VvbpwlFg6KGScAhOFLJLm95QZkzAqHW0phgHIMYOkD6erUnGds
bWdFhfxEY6VxNQC46O/manH5CNGCqoAkCTJ6tr7+SauUM7C07jugTmv3HomYDEwS5yejzNjTe4nn
cqbFj6kNpGhO//PqjCR2p18n9+QPCVdrY9H770nycOWZQUT0uccz+rPyczEV2LBKTokNmupzCVTx
m4nMVnnVmJqyz2Ec/OncG49m92R0hXPTeHLUx23lP3bQSRBxabCMPhE/YFPX0JsUWMguNtkj8U/V
MZJT/NqOXnujyy7GazyEY0RZJUbZ93I17fDsdGvpuTu9ubW/S5uMKhjToqIejbEW3mop6OAFVcnB
V4Jo53b9uu1VW5BrmwARf9raMCH1faNfaOkuPqNqi37GotnkZysZM58mrpDozefStpetaL3qiU9p
qApzp4irjbA6/9aNCr/41r3a+MHkONx5gxZrLrOu7HPer5WEsyAZae8hLuRL4Z7iYQhl+jbqFM9A
4a6C4cQ1hXy1Q6s51oQgapfRyJapzru5FyQopFMMDl+4adg/6tBM/aX0594j7aqPR/naWcfjtxjW
uH5sm6Zx9hFjLr+06uuXrutrpFhsS+vfTjZzCkAOY8Caj9JDxHcqkDQHFdXmimNRVE6Wc+9pIkaW
NSqXm7lxEp8DW1bO3mFa1TdkhHi/QMfn+zFhgTu1TBG0l6m1ie7tptWfskuVxRUuw/kh6FyiEoLK
ChBstkVW76xPoer5J4mLaNd1PM+xMd1+mRKz3qxQVhzT15AJJjdvuReTssP7ZOOuBnnoYzy8IPDY
P6chPHdmccV5XntEyrsoNXNxQt3beoexKVLC/EhMqCis2fi5ltVxv5h142bXpK1L3EcqIkghL9iu
n4lC9lwPLjkrotd8vEXEyS2A3TQdmEwj0tDlEk+70FNIvBwfyCNv5zUeXhQ7UneoU87RPVU9xXgk
J7ssTphEgl9hwpTC15bWzr6eO/tdUXDKDLkMRbEeNoRktM3qtWsuczaF8tZ46RLvq4byvH3czqL+
0BtH4qUpGG8KMD7rVd6Oa2KO/gVu7CKt27z4MpfhHO+yPki/sPp6n8KZBvu3nsuk+AGpM8kz12vA
EmLlVZ6oBENS5dEvFfZ9AoFVd0yxEqSG0b5yzlMY9gBdquoJOS2AtmAFUCxaAzimwmw7c1IpN98y
Skb+U2u/iVsnqoQ+VkMiH+k2H9HGOVvAlKamjVjBSvldXo+D3F5a5pB3p2HAy20cd28w6VA5xLb2
1rnJ6mxNP4bOJw5p3JglNtKxuovd+HnyIXXFsC8nt09OsdB99JhpryZQZGinP14dxMhyre7a3UCv
V3xOCTd+TPTUxDs7zd4hbqgeLvxa+oehYOQ7BL3Ybk3vqnhXFhkayZCix79+1brJ/dqPiwsWBRDG
kBqbOOfAmSqC4FelXqLeN/AcvXBxWTYtw27ZihBI2qQChHNOK1YRH2vFKsV28ce0eauuSdeHzonR
gC4rnRvj0tuXlem6vqBrAF6Q3I3xbhh6NqKqcP13vsz0iQ3D3Lezjr/XjB9r14fVekrqrUh3SSym
ry3K5mAnoo6RqxrjoOQpSEaU+kM9A5BqFT974JgCvCBOsH6MY2p2gACWagMdO28tkLuzQ8pZcNxL
GghIXyxZn7PBUloBixEqPk2PJSXhjuYtGn17SDit37Qd5G8FfPfUrDNzmOOqPg/prrzUHdjTYbBs
ernXznymOuzUSJ3g6v4nhRfMu3AYvc+ucvrfpd86y25YjXgJGbDC/cLSbQ6Tr9SzJoKEei/q8z6W
TjKqDamMDltlR0ocrwMm/EXcvlfxxlIu4gqqJ/ar4r3tKAyo5RWon1m8DwblQ80sOzZ6X5m11vu1
7eKM9yFUrxlENBjVXFvkhAApMp+qIfu0FfLKS8fw/7DhJHwt6xUOr/BGypoKvdrHzlFA0J6t1t9l
kTDuV3WHesMDObuZZNPGR+3J5lJMmpBgXFIbQRVAmfyOLPI8o06YnaGAIgaaRsRPFgzgncsh+EHs
AzOUQonDsRVb+OY03O5sTMvwHvBFEggvuNN3jhI0M0Sy9n/Hy5Q+TN04wGB449jmTjqvHGKBr97n
zC2evZAQhnTesjebFq0LtbOSSO3VCqC/WzoQO1N76hlvW9QcOB2ZSkRZRh+Lr6v6NCZkv1dh5NLJ
Aw91Z7Skj8tpLZ26JpthZ/qwWVUeMwFeTBaKnsTLbP5bJnAgO8BP8SsuPQkQBmj4Qh6E1Af0/1OW
t711ybbzqinIo44hmh1iLfilKxvcJOS+NbvR1OtP5UrMlFzKALVepEd9ZoZcQ0B6+Owcy7yANBtC
0xyHqXCfxmJ0k5024Fx52ht+3yV09XxSA509lLJjDDLaF3DJa2d+tWvR/KeHbJR5KecEFqmZ4zfp
yD4gpy3o36H8qajONDtwLqcu7U/81f5DWYX1tpt0nZ2agIkBDqLA/Szq+kWNmz9dxnbmoQqpPupZ
Eol+4yW3/XkYG9qj6WlpX6tx2gSNm5mRh2ghKSp3A5v+bE2A+2wRhX5BJdA+CT7m41JGmidiurIa
LMXzZ+/M/R3AQPnXrtXE6sjU9nseg+1etD4QTmrjG+FdDSzrnEWvQVVF2DZkF/8nzeZnh7VZYvlq
Aqg2nkE7XJaZx0q5of/BbnGFzNcEodlayv52XKpuAnDzJ+Yh179UnS2SwxREFjla3Fa/s87MzxTV
8afObMv2CD5pitzowPx2Qinl0S5q+EQqwdSTllEd7xkrHQLEwQNutG/J1dS6JOhfujUlOq2wejg2
jLyvSRVs4xe604UaGxX1kzgFDkLaXCTOeHRMqcbbZcpgmuPAXp+yZly3c6z9KjzDV/gVdLkrxGUZ
VorHTGyo86hmZ/PPTZeJj4ZXLQSpVVHwByx29n7hrA3UF7NlicRCE+UD/x1UR99pei/n4Pa+AOBl
fJrNVLuHrtczX6AyscMaxb8aMD9BYbYsHvEN6KDn6MlFF8A4WBfDeBNtTLJ7H0b4K5ZQ4/uCM8o9
yK4NkUxA76MnZ/uoz+xlhc5To4vsuG0z8UxhCzx1yhqvGzGZ2RGQItH9vzSDgAJ5a+b3hKUs5WmP
+SJX1Ittzgsx/3RpKgQK8Q1PU7Zox7sZme3VMRALIPhONKP8JUtImp+U/zm5HWrXqXM1UDp6oMAt
XaAjShHsN7rknHpnoT6Svdr4B95xpoXZ7VBMDb1g4OecJ0XyFNk4/G8ZrVsc5tQbvF1p6+Q7pfMC
LMJdXNhgmPhjHDWOPjcVZhE00SykKJpccpDtFK7UbKq5BzKg2tSZDpE2HLLGAZ484lGOpwOPHagA
XHWImG6zElf96vCiSuuIp6Bv6/pxinqw0Rj0BCVEiMTmhrk1JCWs7gtSW+sQGVHBlSvyLgprmQfK
t0yuYxq9ul620UA1WFbJaBpbeHuRjJplL6uA0gK37Y7IYLDK2xDdEaxnIqHqltT71frelefoCNq5
GKuLZNena+xxbmfRnHdVxvKzMNGnOycBItUZHG8OHJ/+4T02iEaGZYaRNPNU7okqSe0vv1Xc+KnQ
s3NAPzU0N6p2Gx7MrYIWW5FRxIc1ZmvNOVCTBatUaYM94ek1X5BtRL9vhR+Yx1JPHgyvgp/bDo4/
NdthGYStnowqY6KNJhiopyhA/Vdxnq7J8qRB0/ReRv1W3fTDKtpHFbuVe1rDzteXTGngejE1rvOE
rspU5zrusoR108j7dOrLmSHcydbmFwBeu7LoDKp/CZStXQvjEw71m1dEbXZJ+wTSZemcKOIbBmb+
KKvBG0/SE2D02ebqt4D1LN5VRO1fE3irqdsbm2l7yoo+Ab9rHCzovTOYvwjGgMPoE07WI1o/KvFA
K4P+2LZbOh0LC9nah1b/WQNnWY6eU8h+L/vUmtzZFO0bOuxR6Vk+FwQL292TqNalPK+kuHI/SV2Y
W9R3M70SKcxsXkUrcIQLBAVyKbTM8uXaxZgzf2jMSMLHLCfmDUQ2ndUwvJSiAqnnotXbwWsjzBNj
nV2FRa6O7akd0/mLLad8TkwJH+In9eTnEzqGEeSDDK7D3Mr1XsHzb0fhjGVJkgKDxWezJjM2vXpI
iyM/Mmo42cH+Up42lPN+0EOfoarwtwzoQxbjXdZQw7yjI0o3h9r0PExiDgzKMjX25rNDr0h9nPKn
9X3jr+yfpwJ53mGJRFC9rAvs+WeZOm2IEq0gxTvy+o6Z23RifVR4B+5HWprmD8/f1oHQpXjkbVu5
fPNirEmQLb2JPNuhJKA02xW0w9WvQsDQ5EWIxwAYGHIXUKvainsr+xC6KEnaagePEcsLgkkT3sgJ
re0BwLo2x2HJMISuQ2a8IxNqGh8AcSQ+A37y4mLrUj06kFj92eJpaV6XDDDr3U2Hyr+RXD3V30Um
6XzrWbzLuyZxI3O2uo3vvD6Zq1NZGLHlsrIeUaUxQpT7wnQYtZFWEli1bBvoXOWkG/s2pEL9y3GT
YKK2Iemzhzlz0uUrHIKGpysstX+zMeeQ+lqESuWKP1bst1k30JEIRhbCoTqPW6stkvSOiKUkOy0G
fvHcdXPWgpXGTHP5PPH+nGCCp2UXCD/0jmRZNvYwBlGR8ZTNCYKMaAqrG5lqnkqNyMqcxt6N5T9v
dLcavVaA0G0eskzAiU29cX6lITWMh2ZxiuaESsO0eydaveGRU7l7GoTHNdh7yaCfOv687CyV6Yp3
SWfj+uIS8s5H57oq7ltdMN4asZY/noM5+85rE07mGIzauYU9pKugA+8lqWGovOavNrFP88PUB+pQ
mj6EPQWHLy5NDTCAYmMzMFIc3KY7bEZ3HiVkaTS/OVA685W2ge9j3kzRJAJSF9VloR7zByRCS2eH
6Cawe6lsEe9WOLzussAEwCZnQvlHR2aOPkZuRA679Zu0vImdfvZPEaXLb4ks6u3s2MavTusK/72b
VFj8tHGJPGfBet7BknBt9zuwGIBdJC8sG+zHC16rxBmWPcw4knxnnWOuj4zLGnGa8q9SkimZz06/
OOqW1xwhQ7qJsP0jO/axnfVHLzrobPXjfbguETCR5w8x2WlGNrdxn6y32diwAtrZIZtpDrfQ0IfY
UPni0tZeHx3bIhgJoj4Mc3+KkP1yS3KtuoNlLVAFs/TYwsKeegTIZicYetTOXdPZ2QspSb5eCh8B
Xg3oA42BQAubTQb1eWjkGDdfbT+73zIc1xHMQaHDQ3eRqZ3SSfIFQxxSX5X23iv7EUFHdmxCjr5m
GusHSBOhT0ZC9VwaGVzf5dk1vPuNMDG0VWy4plUYj/nYKkVJ5ea6M4sbNvAbp3R8HoItAtz2o7bZ
dkN43a/U4gcW3Yr00ovEBWDPztY3ULKiZCBzwii4ThATuyge7CjbywLZBGtgl5JJtGwlHZTDNP0n
eursyrhp4oOAW3ne+hi0Jlukixe4SLZ3Tg7sRiN76HOQQYaexmIyv7RT4fLPejm9AOgPj1k61gUr
0GRfa1I99KkepdqOHcv9hppwDP5JnqZoB8zDZFN7gQ2hTLcYcjHWHuqiLJ3/i5zJhucyXjz+eII/
WtAhWxPekUTOb0iUuUZ1N8Qvk4Vpy5esUSIv5IyiTJXuek9QxkoECxOKd/ZslhFYOFtLb6aZqw+3
zvwvtrPhYRUIvXeLztw2X5Ece2cF7fbX8cNmQD0eC5W7lG2Xe3jXCWNh0oz3JB2XuKuqBpGPhTj4
lSAE7M+JRSP0RwF3L0gDEx5bROSivgGmCEfiL8Xq7hbTp6jKSp75A5oxPTMB+jxwrRpd0IUpNv+S
tdtoF6Te1TnO5YqqwtA0v51Qkrl3K29Pu5dZpBlh+S1gnqKA4VVNtX8iBTRDGiBT4R9kALa2X5Ds
cs+Ega3PhdurHvihneVJ9jUBgLyu2KuTeG6AdNLKvWxB6nBvJkG3ktmQRreum6FTVANtJNwFXFoo
DExVHuOlSf189Rk6eMEmORxm10eOaGIIXFasq34w9heDP61HtwSroD1LfUfBA16sloWH2cg150k0
60OFXFwCxTFBkIjVEIehgJb1gdG4OTtZ5g33UOjZWwb/3x2ScHEQy08ijvLF6bbg0iBHNTcwB7wN
zoas+iBqzSygg1GiY22AhfK4LkfaA4fE/Epj9qMclJOCWh13cPjtlKn6oGIRerm7rS4sn1jGF9XQ
qbmLklR+6TgakNTatYjP/pLymZWZHoK5Tf9FfeO8IslJntZCoTUYJtR+N3wY8C/T+F2XD7FekZyP
KYFOrAH2Z07GSH4aNbjDLpHWn3Zt3JTRE2RFUJGmJxzhQ7OUoedfOjg6HjvIZQ8pPlrjg3KnaPtV
pcC3OxComlzqOSDqtA2HpTtO8RY9ePw6Wd5Hqh7vrlqa30DiosvFNtZTHsi+fCkaxUQveLJuIEp4
9oOInfIo62l6rWjqofrFQiae5rl0QDsnt/jkvN/SIyPoVuxFMQDNqYk3PE822br3MgnsOdimEq2t
nSWjdj0DL/OXt85nkmyKzbOtcc6sOgiL7xkm6HxtkogQavAI21Pkigmhv2rNq+OEs83XFMjjW86B
Yl8ZRlL4CLN1PCL4OYmBMlr7LAor0XjFihKKZMBccgw8X5kbwRH3Bg+T/qgIdeOlS6fle0RDUe3H
KOTt8tEX63OtEoFPOpns+tzTVUS/VGWn6iMJdaWPfLeSY3AOnPd1GpP40JScw/nYzZG50X1ZqARt
RxjcaSwdK2IsFeBzrKMk24EibOsxaYssPq51219hmTb7TgYv/SMX3wyogGXw5gg1fYajQ8UlTUy2
Oci4WGy+1Fv6PA1tw33LSaOOXdx4Di72kqApBBwD9KxM26B4QJBZT/t5TckrY+yIxlfYlJigvZ5B
NE90TK68Owwg2rMV7vcSrtVTM1UBHVqBBWrsOta1Bz/b6JYeytqghtHOSMS4nFN/f7V7jCAYRr37
Wvpjjj6keNO0Yw0IYOu65ErgIDuwGYtbkcwpl1pYgkIzV+HCAE7uPqQ7zH+Zn1tz37cKzCbR65Ie
HOX31aXmV/g3R0PbfocunhAwKU6e/bpo0IpAKa7QbKCAeD9FZTUf4moq29/8gBXSbDbUZW/wwROB
y20s9nEQtr8HrsdHV7vmGw1uG+XpFqFfGr01mvJtcuPfiwnG6DhzctYshvHo/PLaq1UO6plbWvZF
Zv8EeBge2wGt2R+lGuNcJlTR7h69Xj3eNoQLbq9bCZWZ13EDqgDLCx58wEkjugtocjH9ZQwK3eOc
xsa/aY2Rw6PjKcW5ZjYd7NZAw49ESgUeSgevaIPb2UZTsUcguMSE5Mxr+BINJiTbo+EQOG/cCzRw
lLpGizf4a3VS26TbYxVOY3eOplIkNytXtHMBI4YApRoWHj72wtnbcztW7rH0I/jxkmUMzCMt55d6
ytjW3Sgc33U1xHY3xCmMr4dm6jXO5trbcxl2JKf6eNuRVlTQobNIRw73LR4eBkvjOuOUCtcjEmyP
T11YZPFUcRgEdlvAoQEZvsrTqJw+vONxTMqDmdnj89IDCN+NOC3CE+fgtuQCE61zzlwPFd+MKoyv
tx1oUne1802Sw/jaqVktz9nUBeGh127xJ55QnNRd1BV7LYvqb2nCItiVc1DX9yaxDoAMvqzqzicX
+Q/IRvZn7RNW4Na4UfrSse27SE1QtLWnFroMiTFM4fJaYIJCilGJifEzigzv4pYU7nGqZ1tddIT8
l3PKrfTeVcFoj52e0uLOdQufm0un/vBER0pF6bqarvq9Jk6m9Dt02BV4SDv7ofu59U6epxC8p8WQ
eXdrvMH+GLnZ4L4IEcAcvcTfGDQ8z1+T4SAxWYwLCp8OgRsomDRDdYpqGw0IGnpvAA8Io4SIx2az
/JscRMZSZKFz73nAsiVvrxfhRYaIHt4ElKM8CgCBLR+nwudsyET7t+Z5q/IUtnl4V1FSkyKAEYK1
w2108DtpgwkbUBZozGtUvE/EV0zVBvLMFKb1qv4MMGD/MhtKPIQ+uYYvjrGyrHaDk3YAGINVb20z
uxnjt+M7/e3sti2HU1cOHwrPG7TR6vZf22DWN+XaJXjJTEkTVD8s8tNXYgnzVcza3UW0xMafFAsM
aEZrdLw7vzKCR2/TIyBiwxjl59pENj0GKTkYuHSSrT8aO5lbP1QsPgjUtupRg1F5LMs12MxCCHH/
Ew4bkPGc9jO96vg2AnGYdLq92ypLnwQ2JcWk7DfJvQtQKeh6LubybvWrJj2g36rb+9BVsnw2gdwC
xeCU1QINA4OVRTrZm/TZIm5ef0GJe1+TCzd0IMLD6Q7VjMqFA7pKuGJBFvSulAuxIdKLqjfC5tr1
vHroqyF4jBGPQeFfnTZY7jSrH1UZh6JzuC+Krmp+oNRdgD3kAkv2FCuy4l67lLzInGeQmwVhdfo1
T414axPYHTw0QgDIsrl6x6nNYp6jopr9HAnsfAfpy9469aF4QPl8dVabydc737PRl0rcTTzBfDI3
GXKWy33iTeIbxCrg/oKFRPWzRD2eCQ/IfY0bSpGjrY5xS8irtNmtPZ3eoUSAZOuWZEIXxfrV5WVb
txk38gDrX0T8r/8B/JblJQY/6o91jEiJeQOJPefX7I17fJ+euC+ovfQONbMu8pe0W5FDdm4g9GPJ
rFhfdNJsy8l1pfpu4K1JXt0Cu7Lxe2u9S5pq/GciE39X7jhwQEivyZs1bZ/6QqefHiaQ78RpFBLE
ErPz3kvSKdrLpccdqry+/VZ6cbzbOvJwSCBir9eDX2bTpdVzRF0xKrnoLph1vXw2KlqKHS9vQqUH
NKraJ3GNtnkJHXS/QxYQyN/ILoAFH036wUBNf2iMHYGQp6LEkYbWHyVkVljDL5Qshbm6NWy146tn
0lrbORpz3N+zy3geUb85TMLTX8sUAAxSem/KcxoOIZbR7Oq5g0ZilM8dyKMK+6MVPs64VD1Hag3u
wSnmBXS1m3+kSROcNhEYKEATBprtH5OSeTfQbMuxHAYG0WOZoJyVO7YovffjqiPkjc2OtTtszZKn
dUH7xDT20t8XlcJgIcNKvPZZXA2IRkSs8nltRlL7vdXpUWoU8hnbJg9b5q/uDSN6ke5dZ6xeKTgI
ndvNF57aN2Yp7MMUV4KpVw1ZuM+A90uGr5izipcCWYdS3vxBk9YU50sC11eQVLPCzaXmo6iXSn9s
ZgOGVn5cL4i6ro+pLtvwH0ANv0OD87I4uxScMnXzWvMrmS3wc2jDiF8yXCkVCdFk7ZMxdIja0Fdo
o9iuQ9JYBhh1pww+Eyl97d7aOsPZ7os6fBvLcaS+MfWR4MRlOYGklY6z0Ee0LG9QvhI1Tof7AOS/
Lop94it9SztMAyDKN/nIXt4+xnOBmQgMqhd51C96OdCc7a67ZbqapCPHhcytMXqGOwhN/xZUZPle
W2/VO7M29l6w7tVcfUVhTnK9ijXhn91n4/KlPKwzXMUFQm0dyAic5A+y+YEFPYrkA19gY8DnULVC
gNSBOnpZ28MwrKGHtQhBI+6IflNPk7MM3b7senZ9J+NDHKJQpb+DYMFoAAiK/lyE/sIQXpI9S3Hn
huWb10GM6BKuok7tCBZHN5Uu7l3kgTmAZvYRJ1n8R7pNz38Hz/6YO9e9Y4Gtt7yHb3ovC4blPNRb
j2lgKdrnCfuat0vRK4LvAsvtEJKDrHApofYdAJh/OH3H8oiGHrMgP4kJjqYujLeLgs7yvpcZSeDM
SUtyX2/u/FTWjn2qfE+6e8hpMZ5ikZn/xIgXZddEM8xhynL6CwZj+IX5iGsqDbo2OnsT+vtbBWf5
I9oCv8LWBmt0qOKqfSFVdWXZH4PlIRog6K9CgAW6YxrFa2hU5x8ISUMzWW6muSmoacOLJ11iXeIh
Slj7vaCQkiO4HrJ7zmAH2VcR+SkqAs+ph+8QJRIBOPh7puZ3jRYSqSJPhLjxQmfUexVFGZaRkrqF
Z9dlA38KR5mqG86u9T9CB8LxjhVrqU6jiOSHoQQtQtnV9NNbM4S9c6xllz7UIJPcrbXLD8sfgpxu
dQFFSBIIECEMTQiVx4I6h7cebsgRo1NnQn0QEgzzfRNR+aQNlN4dIKf70rppp26bLAbPnoMhqB90
MkXqtpDBVZK9ZF516AxzOxakdvvBQAxzxIbDSMMCCOUMRVx+pRNTE/+PIvovSEB0+XWrnlZE/jWQ
ujNyw7PadJrlsvOLR7Kl6uWwmmx61g4lypcIntj7LFQRvIVzM/3eQk+PKJSWodqF3cCyilQhm5P/
STuv5diVI4t+ESLgzWsDbcl2JI99QRwL7z2+fhY4ERKJ7iFGVy/SjasQswtVlZVm751AJ5JI8FdN
ZDGG0DBcfdiXYiyOD/BgMvMKs3p4VtIIKEQfFrDup5CsPlS54fdsYwzBD54HfbQ+Dk3BCfOyADoZ
dIq7lsWExwIIlbujSdB+quVU+ULRJWRsUFOH6KpXumnanu+V30fTVIB3t+IgrqB7BD/K0aq/WWkk
cAF7FSJKD+z0t0yERAOxooJjA4zu2y+dEDU08Rq84oaej6I+VlJPRgybqH6Mob1CjrM83BHpe+RY
Q9arK89MAEu3lCAy3oSR5mCjqCJ8CcQx9Y0qEuFfra6zrIsBXwh8n9F5TwL1wvbc652FNoNCUpNS
bxeA2kLldFGlElLgNAn01NoWi6xUdqrig0GLyCYMZ6ClZ9mF6lUvaaS1MOcaCEL0fA133aqKqO6L
Kstp1vhG+S0vharatkkMi9VvmtiRykDX8d5uWoDLZ5wg4Zb4LW9HkU50mmeUWkMl2UlUeicCW5ms
qUloFfenHxO7DWUyuEaV/V0X4ywOMOFdkO1BJHRfiXYSVJdocwWnCOhM/YcELkVDI3bRBlpRHY0N
3nV/OOXwBz53cg1sNq2JJVaKLHfF86BaKki+ETQpP9fU4s/EpE2wR9qr/R35UJNWQJUK/ENuKN+0
VBhOkThwCLMgy6NNWzT5pz7sk2cjiEeKEV0xfG94rH+3AFT0iSLVXFI/EHIHie5BBtcvguc1zF57
1twB9KBWmsqX2M8nVzAYbmJDt0tj9oNQDwQgqMpVUNQI6dQqgDDH4ncaqwFf9FlDagKsVRl4n2vX
j4JnBSQXnX/8avxcyL3/KUrMfgClWDcX6sJlzlEcodE0nmi2O1pBlOA1r060jShB1F3llB7/GANx
plMpY3iqBxduLlyzCqwLpLiXGAk6F3SujHILk0YH6DVDEH+vx9yEatkJAFV5Gn+IXO/SAT6afjeo
vCM+BQuxdaBxoGCQdqJh05zuviAQN6iwEMPwjFy/xew9UxTEbU2IeQQV4X8BhwSWXsvHEHVVlDu+
QO5qyw0KxV6xdcE7eUDEq6j4MfKOE4OJkfJMhmn6dqKkoPrFoCqvoE764ABiyeNf612f7nW0ZbLH
MU6aXTGWJaeEZlLA2VV1INC0BL4g3M8WGFXdnqIxU7+XMnDTlcHoYzR0y44it2BB5QFKpIOXoihc
vaik57/geCT1NnFL6S+yHYW87hn9xFAguvMMzWy9aTcaOQBbj6bZ2NDbE0cNmkie09otcjlTbCPK
B9TTWYBwMsox+0xpjKaP53bpF5xueuqJCUSbCq1JtFQFzTTl3g9+4QEaaQUdrLceB/QqaBXLoXWg
UqxoO0CwSfSkogfQssyMOmDZ1CZhohV1R0MFl4XLyxERDQpCqlUQxTicNtYq/VOLLJv/A8KK529T
vQ0fAU4pFpVFhI04tKAyckqV/Y6ySlHsKr9BUEELgU/auhwyUmtQRUO2x9zoYAVoqfV7wlYdW/oH
4naszE4jYC+G8mGqIv8IkKqIACcYyqdIky2q5n3nm+dM6qriiT4V7LLEnEQNhCCSylOspHW0boxU
+1qH3oDmMNHZ2aXnRCwP5OlrLg3QWVo5HWmXC8GQMuF4IEW22qil9p95cUrNaEJtUH/nIHAVCsiN
YlsS7xvFIJ3SavTOCPeEj42kw8Be4eDK6DmBsGeddKNLJaK0OoTzbYuqKEjiCQ0W0ohNFhaaawLq
bbTq55gwjq90qNsClF0lpmp0/YZxr63QXAHiS4V0MYcGZtVW8uUggc0DEzDxnqwBbYXiwVTABJMp
km8p3lqHS68ZUFPghQd7hvmZAmObNSkWiFNLv/ih5/ookgGCd3KioM2hpKe64W4Cl+k5qZOVsowq
aWgSfSMA1Yrp37zyCjCZ9Ku77ihklmo9g04fzbWcdR2RlxggoKBkteGuGkUa/ihIt2SH0SXgoLmg
5ulLF7hJfvDxhJrTMHziu4V2k3ip6ORPPG2cvPlbaJPOu8jGYNGzMeXIQqCyD+JmHwmJMW5TpWP8
86QkQsml8xLvxzjoZbIf8s5XdjXVTu9odWh/HhD9w2fK1egnTieGRv9cc6eZQ5waug4rAy2Ez0Uj
h+NDZUaae4RbBNNKJkGFv0U3FBiExO2v5RVQPAhZq5TbpRG3Qh5ZU/kohSeKJ5B2+ojW7UFAYbNf
iai/cHtG1AmQMYqB5Xi1NfBnaaK3KzLvbirxFYzD7JIUMJwlSRc0fCMw9U0vjZCILRoEIC7CT1pb
6j9k6DO8F3lnPUn5mDLPWKbYOdBahCYUJyGRDe9OSiJuudoqMtzhorqa2p5pTfGGcSPVT5ViMoHT
446fWqFtkTpgu62DoJXWr94vvJ8RH2Bc+0DCRQoNVHbWTalXvxK/I3zs1IASqJHQP3KVjr8ZuGMH
Z06Vx2/56AnuTo5yodzRvus/t6nRbVJdl6ttXbl9e0r7EtEVEzzBc2tR4gM2AQd417s5fFPEfzrO
ihEhftpyAk9jxgv74BtAf4BN4h3QCwrdNY3ucjcmY12ss7rInobh9b1TpP5TodCEc0rZp4sJdSbV
bR+7hu13ltRTI9ciWCZFo/Y7N4v8L8iNBGQNTWI9QmRF66RT42wdq5JmrEBagFINNGDoK0q3TbbD
vef4LLVF92f0/SvFLqlckbZTqKtEMrCpcCUp6woO5jMtfFrTShEL58H3KdmWXgJp3W2t5m/X6TXp
KRcoX4fgKUjVqRRnlAdhpJ08yKEukg+Z1Ox7aigP5lgDmu4Z0c78VNR75IdGyU1g1l4FdkKkNVtw
oZI+XPtKXrE0z63HR9mgDAotvXRbu6uoSqMrIo0kJBXqw5e4VPpga1amPxG0ikJ8lFt4BbQOBOp2
edm3vSMmZFw2+a8IdmIIwWIZWQWVxGuRWKAjF668SlYyR4687g/QeXI/F8ApGpm+0ajbrDI8KCS8
19sMZdFxjTiY9uQXqCU4aHa0V7EzaXE3rkviBD6PcxaDd/tUu4VKs9iqKsdQqTUDnRPLK9IvAfUs
KAvlo4HO2Och63r3lDF09ospDqUTyXLTfhsUWt7U0QcrJO6lX8/9pk8LURY9UPCNZWutaOuIqY1K
KNIuUkgpcg3mBIyrgrgAgAtSMwmuZql9yae0x3E1ZIL5xXqe7C11dD+VogHfmcat9mzk4uBAKm/P
RVvGmxGgqweOXq9/Q98HuwMzhPo7Mn0kGyNlX3FNFi+eEZqxJqYyfdIVFcgIrjrkbWktwG9CtAMc
MhhCMBPQSvORRruclPGXKOli98GMY6EH4x2LThLqCAVYksk/W7mGyFmndeOxIGn/lUEzgKQudOGT
P5aaDIkOWswKBHKj0KcEW7wJJTr8nDOreshEyZUZfGKV6VOuetRRUjGt/qZSm//MKA3zC8rUJEmn
YjD8bLWkNNamVfTnhNJWtwpSV7H+6KJAC0mhN7/1pMhietMg1c/IR+g5nHEzISuq8zQBKVAoh14t
6aFUqeZ7+0yvzNGxaEHla7ORGatjgrp/kCaJofWQ+e0Zx9pGaxpNoNAk3IGwnQa3Kac8aYbuASYA
hIkO7RFpXwRwwyySanCAYlX91A3D6h9hjFj6hfq1pcKLhdJh9BZSUq0Qc+VgGfpCuNOTBhJYoBr+
DxgDIYjgyurqs+/1enVUmn7CpbVScBz7Ps/P6LzL3VFs3Z6GCVSWINqAYzA5uF0EJVCC/fsroAb8
w4JzcQE3BNqbgKI1EAiy4Dryz3J2NKA2CHuyllaGF1xn8bqgC5WhBQGFhqJEAEZt5RJLCbbFiLFo
U8YkTtysgK6gHZSKIDt67JruAS+HkKemCBOICG09dGjasWsuAPLRMefg5yZiJt4I4q+2tUBtlLNX
CSkQFpjEQcej5sPNKG0JZ508UQMa4WYyeUzbdLXlZTtLiyAm0mxrlM2INKf6MHQ03aZKsMzh5fl1
SE1H3w5iqf7dNYVySVRkrWPbaqjyHAfmDCJCleqii8v0hrp4AGSTqF8lpCRoAmuC0F0pUfnlZ9CS
PlRqAxSB6oTAXUDDyLQHqQ2iqJJ+DoxW/xXjaEB/KPQojLFV6fd0OtqPQNqM2OlKYOigwWm8bpI8
qt193OmtsUWlp6y2VkfAwoMIhsOyxbCMcrDOuoWgZl+GzSFLE9jIflsqx773RM+iSu1Lys8xVctH
OaW6/9UA0CVdaqCHCHyNQ20+hXlduI8WJEmqF7kgIJM+YmZbQLgVvkpq1WaM8+WvPccG9f6dVZQ0
82G/yMDvoIdHauLIrldca6FO5X1DbcFEfEmWn0M58FCCF2WC6yLqQPYIExUypRkhHoh5vXDfe9zY
nc+uPNWlRJZplTUiA4lh+t9JMPtqi2pmc2llo6jWQac3LTDlWvD2cIo90c7bbIDNBQlBEh5MivfI
dbmW717dKJd/hbngFfvcLHITZLpFFgK1V/+OS6lRFqpp1qHj5JltRLHBUEyaZxWQmOJrNvIA5vDn
Ej86+H4o1t9NkXib2gAM+HUWDIVy0tCl83dZCBIBSTR0o1YahTzmA8ehF31BoqXzJoyuJj5lRZVn
Z0YAM2GiVNSqulRWAdxtZMvEPTwhj5hdFjSleFGbXKdF3VQUPdoOrTcnqXw1uVA27/uDogP7EVpF
hwlgqJkLja1pVSLFXuuOaE6Pv1Wz1QJguXX4c0ED91bfWkbBEBSJJso8v/JMWzVqE8kE+VQfwQ03
wbMcJ+sEDB4GATeJq1HwXrwx3jSZtDd3tW2zUwviy9I9cVJTBl4kMhuEISGzn1DoqZH3Fj+BoXYD
atfeGgkRB1zIMdkzr8L2NovDBSb92rl8KNOStUnRW4GsONNDFVhWGxtec+ziYli3JQNQSiBY9IM7
pgvCIwBUYeHVor5oNoJufEuhrO3F1pfPHhQFd0GJ+GZ6hCRboEkZd2+IKKjOhcy1Bh0dP8uaI+2P
dTvswuSP5X1FoGths2+Vhic7aL3zsVH9MWdfeuykRoab1BzNa1+/ZPbQ742jJqxr25BegvRYOoq3
TRBisDOGOZ6TpcEsd3b6nf2ZrDAFEF9GXQHu6Q8y6rxmoKm2hs43/NaO3QZo+Y7OiS9tfGvhA0t3
V04R02I4tsza5ys3AibxiXXD+JXcHpvTiF4GyY4nbtEesHgotRxGwV/STsrO63yCHNf7Qfkrd8Im
z6KFI3/7HSjAieK03dOg6ddB8G+kg8sagmeLZtmR7s7ZKza00I5h8fTxbt81IjG7gfNt6NL8UNGj
VfoYAsNRUpMrWL4HpXkK1ed/YIRUlTYAkZk8nzwepZ5S66rbHtGy/Wzp0h9Y61fTVxY0sudr4VoQ
gkAHNCzqipo5u6+6YFWiqeWoKAVfSulJNj6ZxYKJ+QnBhCQCLkFMWCNmlGYj16S8tRgsLodncKh5
vS6hk+q7Mt6Brvj4k80v+9zQ7CgSQmu1SVR2DvNrHT1F7l/Z+lk254+t3Pli75Yzu2oBIwvGuJTC
c1X+lIPfpnUel2Z0LX2xmd6z5kcxvUq+WKzaVXNWeLyGNQBwvVzwG0trme1+LvSu3wdKeDaCT652
ctXfarYw5mFpU6af8OZGIsLWq1bL5+rci+ad2BQxfBqq//C2zLd+Nt3FbxVIViJW0BC0YwmZDPOr
ql//u52ftu3NUgJ4AioA0PCsQD2JhD/IB0K8XDhe0yd/+4D+70oILBVJlLk5s5WAD8iFXNTD86RC
tqJxdhBriLgfr+Tuppg04zUeRR2U2/uVkMiBZ2YeytnPzyZasiFio1Lwu+zyBUM3z8O0HFnDwSgG
hRRFmd0Wo00l0R+i+BzUj1Q3gurRbFBzBj845t8GjaodfS70MTejfHaNrxH63kpi2j2dGR/spYUM
2MdLn2upz3/Q7G719agOgssP8kd5HSN/FmgyrV7PKYUcSh2zVL58bPDet377BWZ3jAkYrl5RFDq3
1lb+kaIsmZj0NRe/9LRn84Pz1s7soo1GQdG08OJzhH5pAmYZph3oIOTerC1yehbUy6jfGHAfPl7f
64mcGzYVg1dPkYB5z09sY0aSCC8kPlupcIY4CaLugrgeTACE+4Tn6Mn4SabYPiYH/TFBroky+NKY
kXvf2FTNaZgBwZ6qz75xqPhaM4DdO+eO36x9gVEqMPu1dGmp0wtys1RN0mUYBhqDfWbfeJBMF9Bh
HZ+L+omS7wq1tJgkTfrmroyrukFQCyhfbC984PlID0NmcBPhjC4SYOmyPnMJERCvkgLTcJER8hDJ
YytUIZjPHLZPevciZQ8UBkMKNo2xNeWffRFfpr0AADMgD5bvqHpstDZZ+FU3b9TsR82cYR0EQ4/k
23BpIF4O/UuAEIKFtFhD9ULKNh9/ghunOBkjtlYQ1rFkRme891c56p9a4vIFDO+Jys+qLP/85wZ0
/v40GQoBpnmmRMkSiJGWD5eOLp6iINEtfPvYwmuY8+7ssIa3JmZrENpeM0nNhwvx0Eo3H331N2s+
qdG6Q7abtvgeCZC2sBb26f+wSyZmGBoBmDW7G9R80T5M2+ESpac2/4YcoiNMtD3rLJjIIP3sG+Qm
l4a73VxIFstnNBgQyJwTQtj3G1ZBZSno6Y8XATHpOoEawZ0EuXJU/YU7ec8Sk7Elsk0mZDA35L0l
s3DdsvMK8aJ6SK8jKeWGe3TDAUotDLBeMjT/jlbaR6oXi5cGdYETOr8C5UqUc7m48b4eLNP5+MDc
tWfI1Odfkxlz9kYPFBfIiHvxIlfRKq6fLeIn1PGLZP+xnZsHUdanGoEqy5RHDVmebZXmgU0C9yJC
gDfOtRZt6+LFK0oklVTaM/KlzcTnjy3Kt74DkwaxDVUJko65Q0vgtldqN4gXI0NXNVaFn5Wrm5+S
kVZPgt7Xg6Yq2aGibXdQq1H6TbWv2KlUQR20YqtTEtLSGiX4wSvXC5OHvgbljnqbdkBJZNXU+fca
xgvUbK3etQhTrGpaH7bQCafE1MI9mp7+Nyjm/sJNu/chFVgwCGJx4mVtdhIB02QQUGTxInXP6bcw
wg/aY+vU5SlfOIp37jS5LRqR1Flwh9J8DivtGCGrcovrhWp4lEubXNfXwXhQzN7OUdfp4eh0I7pO
47D+eO9ut25yI4w0N3GSBoHd++uWVZHM1I5+vBi6sEH9APUPYdMmBx/8WqV8/9jY6yzE9z7zvbXZ
J4XmL/HyteOl/AUwvf42/paexYO1CTeuo+7lfeuhgLiyfiSP3kvzkh/Kzcc/4HXazc0PkEm/yVs1
TX+dL/cm5FcFpHsAo46X7uA90U54YFakcNKedGfc5p9PwSVhtKu1r3bhEUTWgvGbaENm9apiMlFc
4z/kyUO8MR4hiwRC2BgvXoV4E9yqB1/XdmqYfJUSer/oPKMNV//MYErDGXNqZfz6T36BRaGVcy0r
FAne/4Je1kDDoztyqSqBy1V+pm67d3unC7U9RPXv0KTB4utmtGqIaz82fu+kEfEweVuTJlXWmV9q
Am8MK7r+FyWtXsxDZdhWmj4n418z3/5Xll5P4Zvv7NN1h7iiv57pbKXCmacff0jGeC90MJzM9PPH
9m49+1Q2Ilan0KnxPM72NVWAPVmRJ15Y4aHR3Q0i0GhC5E9mu2DprqOg/Avfl8eYx39miqKzP6pi
gk86F3oG8eNXWL0wFi6E7Ca4+aqIxXWRGUv+6e4K35idnRu0BZUkKjErGNWmbLdBXdqCnh/j0H1x
XRlM+dr3qqOXl2hEO6h8NUJ3CKxonVOdL5emj09R+fwS89pQoTQ0xNn02Unq5azN0GcVL2kXB1ur
7f8ybajb9RECAR/v7L0zSwakiZbEHCNtfpISOdVAs7Julf5bNCLQvAM4mXefNNjLH5t6LWXOV/XW
1qzaNZZ9XqhxJF46rYHvxUwZm/bzThXST4AqTp2sCHao9o9jUV5paj0ko/qcxONjiJqVjcJ0uK4S
wNAa8vorw0KtK5UUyFzi2UMm2h/rqxdI6BcK5ehkVBDRtqAx40q/fVPbysAb7UJ213rbAcqWqwXH
L90G/LRqUb0wLVGm+mnNFmcUYQD8tCQokTUUjZX61ETNF1EbQzuJU6Y8KelPpJD3WaF+pzd4DEz/
EJeZDINY2YHLHhfe9ru/R+EFoFjKDGFrFowRelIBdxvxUhNLrDpNDm2wteqClTvX1SRA0Jh7o5Du
Uat872/zxmLcViRIl2yFouuh22bdOjyDBw6LDaJ3H5+g20v63tgsmS3h8AuK4skXs4Q/kcuPiXEa
mbAGclvcfWzq/sIYGaDTF1JE2Zo5BAURSCWH0HOBF9Lpm9AxvvsnhLigyn/q/9HCNMWSZZHg2RJn
CwMQPQYNFWluBvkoaoo+yqkADaDifLysW8fCFySExZNbdLzmER+iQvGoDxgamwq9FrkYtzVzrbZe
pngLUfpdU7pI49xCMEWXp+DzzRslSEOSNyRAl5L+918oY4HtBV36Sw/0Xx8v6taHsagpHQDqJ1ui
Od8qBKk1y8NSCiADyIYdtwfgFAkaWlm80BqQpgDuvRPDmIVKs6WbEonIzDVHsRpVDCyRAU3kiAGD
ujM+MVZqpxovtfE9AUQQBJ/hPyK1uotgeCr+wnT224tN21wnC8Fdm7QIZ2cl9WEQFh0jQswBKDsh
TkK3PdH/wUEhizNUQhkJ7ObMCuJmEq3pTr4Q1IsgY1TwhHJqy08fb929G/3WzOy1V0uo+Exuli9Z
jBM8CMEVPVewYB9bkW7jUr7ZFMKwIs79vMebV2MuuIjRXULlzwA2UoheaqRU02QXxX8ALK3UhOHq
YLyvHxu+dwfe2p19xSGn/q4Yg3zxaOCqifpgdDsprzcfW5HkO2fyrZnZV1T0XOnGRJIvaYamgekq
TsYUsnVVUv2fUKHM8qjbPVlQeULGOzggPZkcIyMKHgfECRZ+zWRsdkGYWG+pKm8Pz4I+u41qnUL4
7zzjMoDcodZA5ou+zsorDWWN+HCz/njx032bmbMMcnOL54ednZtzaaPokYr8Xxt+V9ATp1Zme/1V
zjmxNcwer3nwi2rhDt4atUSo9ppq6pT3SDP4UW98G1SaFhpbZFyCQtoJ6Wp8jpVLN0iPUfhk6gdL
X7B3Z4fRqlAtQkGFRJapre8NKm7Yg6nsrIssNesC7Y8quBbRHgl3xOjKVdECO2k+qYpkG3B+cR4L
X/lOXgtI2YSSOXk+4tLpCL5ZsQWFxgzVwb8mzQ/NOkNZXanhVgISF/V2A7ynR3+RT858AyG5gl8c
h6MBawopqALZsEZPGEn529IK5+Ptv/dlDJOsxFKYI0rOOzv7GcxpoDySe4mg3AClEivixwPA9BZg
vM9gVQpDkI2/6ptgaVrzDVplegiQA5emTJt4aj6rvR2VGuSt5127Rv6cl/s8sutmQ4ER/fuj0fRr
C2nWUkB+yhq3WXLUgosk7LygWrhydx4lABwE8SRnhCwk4e93B/YNJCkp8q5wJh1F+yyOVFXK5+yX
DHbjCIBXzDwblR2ny78Z3sLze1tFem989tDnqVa3qGZ41yg1N8WAwDlyC5b6Hbl3Owf1J7lLQ3+n
0/7+zvOxkdlXeJ9EtMZntyFgjAl0MsW7It4E8TAA1YaQpLVDLmWpT3Pnpk/BBdcOZKFqzPs0TO4a
B2MwvKt+RFZSDfZpfzI6axXr0TorvgnmwkVbsjdbmhoyRYUhbd41b6ZmFLoy6WPDiD7Y/A4ioh9f
ntuypgLwBKwRxRrybaLc9+cGLJ+so4ASXsfh5O1idT94RzX827KBUfjSqHTZUcTPN4PuneKOErIt
9b9CB1UmwZaFrSU8VMghuyioFrlgF90WpqCPlnkcBkuJxs2ev/+pyiyfYZgiyvxRE16zz/43Nty8
FH+KT/262ccH0GifXKDqC5/nJtKamZx5+Y6xscwt7MJr1X1TmOjd/Pn489+8lLO/P/OpyMoZle7y
99UWuRGzsCEKF8GPtvn2n9sxZZ0qr877qMxDVrMt63QYh/Bad1/UsjqZOS4p0Ydr4HXCwj7dxOKs
yVS5LwSOvMvibJvSQutqIXJZk5GkW7HPYsRHC3LgMc921dC0e3ifC1HWba6mAAci2sAd4I0p0b8/
xuJAYop03HhsbKaYrLstp3MP9yFYhK3dXE8sUVxVpoSaAs08LE40iIpB64lHKtZOvxdOgW1uxF2w
8Krdnoz3ZmaP2mAZfhIKDLtuDr0T7QCvykv57e3hnkxYNDVAVUzx0/tvZgVGIgpqIB7rPdVpB/LS
qnJ+eRf7gNjU4+//9AS+MzbvDFGvZGLeyGeLdr5j2fKjtP/YwO2xe29gdlXjKT4axNd96daIzjwC
H1jYE/nWA723MbuuhWghjtT54tF4hheSQGqBf/PUP/L5vrjnwHZZWecEF4rep+6XdXVX3R4OysZ4
bBYu2c2L+3oK/7V3pvJ+72qG/hZJF4rHam3RV7Bs6xA4xsJ6b5OmmZXpBL0J+TrYNRUSo5wQp1uj
V7cxHfXXSl5Ry1pYz/1b9e/1zB49JM+Spg1ZD/yzh9ARbOMq7wRnycxdP/HmzJuza4V4MWzjlB2s
1qB5HAqC+In0R7tdOo7S0g7NPBK6GKgIt1hyr9auWU+XGH7JNfqUP1gnea/YxUb+wtQvy1EWHq2l
mzCLxphfj4KajGXZ9u38QVl7y99xaXUz3zEWbVTA5xKP48baJP1O+Un4bacP6kqyESq19ZN1QarV
ahxvcX33jyUVTQIywKxELe+PZZGGaqD58XQsm7V7iB15XzjgSDZMfVrwKrfJxXQF3tiauRVZdhlB
yKiG47SJwzraGTvXSXf+TllnTrz+2Ifd9S9vjM38S6qZyjgRp477p93SCzn9f99FzLOFzDxGSdGq
UIACHFtOYrBOOPed069t8nIn+PLxOu5fM103QI9QBKAT9n6H0MNJBCEtRDDk0Q7FlnX+EF3yo2uH
C35j0dLMRakCWvS+gqXpglUr10H/65AeXHvpVi1amrkoCZljsZjW1K3bfbUK1sSDjvpYbrMFgOtd
X/jm4818VM5Umtgb8slH9Y5qT8+lcaj/+08391BpM2SmxoLQRdz3+9CpV9JfG0Gvp//yNMwcEnog
lhQqLKjcoOOwqlbWKbIlm7lSC6dh6cvNvFLDuPvUjVhRw6sYQxohBrTrq7iwoLvO798bNG+suLnQ
KLrFenpnenzlPU18e8nz3PHioAIJ2CWcHL3s2e4A1ac9CsEZI74dYmR4TP7BNX1nY7YxY6gyesx8
PdLoDDmrerXK9sJ+6dW9873emZltS24x+gqiybQtzOy1RR4/plEs7P1t+w2g3ZsPps9eBQ8NhGAM
mN1drKDv2/UjE0adEF8dIDwOmSS2zSWTyq1PfWdy9jgwnktFboqFKWf9OvlVwU7RkF81jugc/i75
hXvvHu1gi+yGmgeosdl3lNAGDLPWmN69fp9/yx96bpHxI3CY17ewtNtq3/Q1/21rjrbumDpq5PWr
reTUotn81OGNKsoRTBF7lJ/ds2Rnv+VVfBAf3KdFZzu57dlr9c787MsynK+EG/lqfnLrsQN89PU2
FxumMtg+ed6Ck5r+4o1FwI4gNfm+QIP539/EurKkSzESfXzcYAW//CFfq6veZti7jbrxgoe/e1bJ
VsGFUkDUVG320NcV5fe6iqRjkkCy9mnr61eNFOzr2F0171AlVxmEkvLCcNxVB+XbEPSl9d5JMKeE
+V8/YTrbb9Yr+UUQoTIr8ZzJduxYp/QnBOvum7ujr2qbJ+HRtbOforhg95VCOP/Ob+3OHuyx1wQk
MbBbrYUzmuKlEzimPT52J97VR/lzYCeIZzO2znHP9Q80qZxqqYF355mgcWbp5L20Qm+qIWi/8O3B
epJba0z1dfyX4Cl4mrwss5Y2ySNT25g55j+lp3IVOUuO6u7VemN+/nwIVUzBjaGjR/9RO9fOsXxU
D/VjsNtspNOWsbw/mOf2d+TopduFM37vVmmWrkLxhNzAf8/2XOsyWRwq9vzarLVddfR5893d5Ebk
lfywnCe81uRudvuNxZnLEvV28JSglo5o6zGheN3ZxnO3nUKadFfZw5rEkoINqlUP/b7bTomsuxtt
Cyn3X8xUjFfFZjk/ku+EwkBd/vUZtNlLEQoB5OKRz2DttLN5pbt/bQ7jhvkvBFsMqE9/Vr8YQr/N
bSZakNAXJBYLO3En0n/3E2b+rXODEG00fkLvxA5TCZzs6F7k/WiHu/TISGpbeFkKKO6lMu9szpwO
6VqlC0zGZhvyfBXtlNdEG868A1yle7Z2C2ucPuMHez9HGhilonWKWUrH78qDT1zec8hy23IWDS3t
58yl1EyJT2KRhSlcp+xU2YKNJqyNOErnMEV7v7CuhVukzRKBEjEWd5zW1a2nvN4lyEgOLctLLi7+
wvtHSei7nZtlBORZRpmE085xWaY0tH+sbOMp3Q0O2PSlKHrxoMxCz2kyjCq4HE7/sXWSE6OMXnev
c9AiOuRLD8LS55w5pb6e9OINXETDQ9Tuoakxh82pHbSq1vLe3bk4AeGqEWLntsHhYTo4ta7FXb37
KLxxCjNPZXrIGJQ6u8os3te6ECpTdnuenJXqIHptV5fJD1iOsFjMU6a39oObMg9ddWYWMvWJ/TWv
7qE44QrXzNg8eV9qB5g0X/1Mme8M5G1nMVF21R7iz3rpjDZT6tuVcWic+BSfGN36D2uAb8+ePvNU
DEg3La3lMGTrz9W6osZ52WpXcbX0LN6NbkENW5IO34OwenbIYdlHYRN10lE/jr+MV4/BnOI100F2
i4Xce8HeW1uzE14KTadXqJ+8lgGl537Tbds9c3Tx/+nOu9QrYxufpmcx5EIjGbP62IVMR/p2v/+9
1NmRRzu8YcYB5psDOpg2hWMevXAJ0Lq0yNmJDnXFDRB5x0/ZRO52eg6uk1tkgMH5H2VCbz7o/EnF
10sozWOLrjt11fbFddrp9WT75JX6z5I9YJZQFoDIAi6bncpYiSkwDdL/3tbw0TwiG4+/YPP2LffB
3Pjrj7fsbtRGyKijx6CiaanP9izpDC9JGel4ZGzi396RPyv1/qVwpG3xKAxr5JZ2+THb+MeMRFPY
aksx673NxDshDWHICPPNP3AzIIOUMEntaHEzTE4ouFcbrSyHKH0pO7n3cL+1Nfu4RWOKcY321HHY
krEfLbt/qlfp4f+RB033bH4R3lqahSSIAvaVGrIq44xY/I/2xdiFPKjmY/23/JGeio1KE8C1h6eP
N/MWtjGR8t58zVnyg59BNLdlhYwFvWanlphUe3Cd8q9x8Gzlj7iqURpZsHl3B8HRTagoBnrOnbzr
ulJUao3MOyes2nN28Nbs4haetPjwTxyM9cbWbAclJGSCYqw5LbupGRr8qfYA2heC2Hsv5lsjs81r
Na2UIgQJX+/85DoJ67caAd7HH27JzGyvtLLqplkw03eLqL23B9Tg/4e079pxXFm2/CIC9OY1aeSl
kmG5F6Isvff8+lmsfWe2lOKIOPc00Gigq9HBzIyMiAyzFkEX98wFn/Q/18sZ45SrB3HRZzwK1g2P
wm5zKI/CxjVTZKqahfjiz8zLzy2JiiArvuWVAfTdfzVkkGqXBpiSoe1zJzS7Jsqn+vBxKsrxPHzq
GO+75miWO90h3C5/eXxMU/lxzFj9q9+UTw3BkplyLhZVGBi22fumh/KCt0Tw9l8qBGWJ02QA0tKo
3IDr3445qdHuY1FzZnA8hTvjdLUgyn+mKVfKI5ckvPTo08Kl+NHvx0cqwBQNIOsbQ7rQvv+7XVSo
t6nQOFxVehA6llxZJGZifVgDwU93ZuzR3xgYtTxAtbACUtUqaAHonmklBgJyJPY8yoTtPlyimWEr
GF8VugBaA7PhHzYumpmfz65xPM5t7UQAdCObOsISwJoxBiP43eY1e+LNcDMQYHLrjQ7Bkg70WjO2
osXc3o6W4tGKqQOtlFzI+A4rHrYo+wIvF8l7EOBs46duLyPIFC4zhzmRY7teJp3pKQFsx0sRlqmQ
HWe4m8w6rJ7MbF8+2cvvmT2dsCk3siiTHwzofxYDLK42wRaLB1u4DUi9lGYu31QcdCOHsvpa1/nA
48WaXgEe/sbqDNoChtXqB42+5O2Nt4C2CVo/qOtcq5o4cXrcX5OPrKDTn27zLP2w4rUux2aK9T7O
CzuMwsXMgU34aJ5D95KIaQVMu4njN1z5AB99P5zQl+OV/6fsEu6yTbUfq/SzzRXT6/lXFuUEgPAt
AGZ5lKX/pWA9AujrMbIbU0+oyRoaM/vImlJI9KqOjdIa+v1Yan213xd1zRX8LpBLjECaDPumxL+y
Mgs6MSWIZ9Eai65JYYRVu93IOq7DmAtEficuGrzkUcVEcm11QnesyVvINRosXPjM4U0ZlWuZ1OKk
UAQDTASZ3ME5xqf6OVmxpmBcQJikF2byHO3jS7UXzHb5WPDUQV7LpQ4ST5GUAdMQvwPKKAgbrFL6
eSxgKlzFXNC/u0m5cTDGuIoYQgIDLMYRD1kxnGzDOqBmSc2k2ZfNosg+64RZZdKLmhsFyH/n+s+n
7Mv1N1DuHQCaXFJhwmDH6s463HyGpmuyu9E/AbwTZrQ1UMYA4Sa6TeZu/lQvzc36KXfR8DXo5BqB
34Eq1gz3zUrYchhpbkhDIgIM4d6QLcEsdJi7y8zWzykV5TNELuMxRDB6qs/dJ4BpyeW0WDyhMNAt
zi2Zq0JNVUeuV/pnfa8MUJxCkcAtg6eXLi8G4zMnh/fIWAETBc5Rhmcuxvf0piXf/+0m/33alWiv
AjI112OTQeaEOi1DhtXhsngasyAf4E9C8vY4lzaY0am/RP2VSLHglQ7l09HcthAZWAAWRbZ97gVx
D+gEHFKgbYwYABg1EmikQ6VgfPBESaP+gEki2DbWwTr45OenMAsTVE0frv47ozejG6RjjWuRlJsU
KuCg+y52E7VatFek6xxpnmpdnORlps9WtCZN0NUCKXMLQrSq9nIs0POQkbZ2F/fvavCv7Je0ZozM
eLy6OXHjz6/OjRcZxY99iJPClAzsXkyDGQl/3vzR/lFGVWsCsE44/6ONoi6avpnqOK/xBkTLQv8F
D9GMzMmrjilWDXRrIoYLKAvHIMUC3ACZ3yWvLngJGyN7QdttLpggD368f5QkjEahQVqS+LGMjylM
ibJnPA9QWC3hE9sCKL7NwaIewBy3fCyEjtT+kTKizKCkjcE3OqHaslHGhZmY2M9ouwkOHmroQCgD
IYK+Bq4mAYHHsl2e9ZZwydzbgoqj7kRTW6kxiutGipDYG8OqfzxjQLtUYg1EbVYJUKZ1/TfapZ9t
ZrpWWOoz50gDYNxJp7ZXrts2TCosvPgqzczHKG1M6osuPKMrQ6vNwjq25DgWapZzksXbW/+PZHS9
ocCNAXBBpm69LzAeCKL92I6EL7BVdcCel3OPBIOPPmFVfS49oElGADdeAdC6GNnB56D4/oZqry7O
3yfAxgFZSOZR4qXTTIoYtQATL2K7A5+XuihBUw3QApM3e2Ck6/1PHFo9OGTCxSCutEW4Kw5Fjkqz
aMmgd99yP0Ns8suy2gT+MpGeHqskFRX+822YwFRVCXgzmkipRRu4DcgT2djWOHCEM6nKY1oogegg
00E1OFfTGW3E3VZgNB1xPObyWRqypy84MZc1KbbjrgcdQ5QQsQBzjsotHi/rDzyVFgSTgSsNWRgv
peIzoQ9TsZGrxJZRovoEw13KPGF0B1g67DNw1nLC/pQZMPFb0C2tw1XhWUxhDfAHX123wFiPEhiR
Yw4xgPXXrg/GqHX4wm/FE0Z8QUXvoHD668bmEBpee3z86fTc2N+RXH86dSRgWwnhOurEVmWj7WJM
8IA1k0RAjkc4tWGCVZKTdNke5pLMf0Awd3umjOO4AgY27lBq/BCsUK4CG+jIugKOAHIJ0bzZGE8A
wdOBu9UvKpDWk/zbX5T2yLgDDswKyYEvwGKXW19c1dLMMdJ9Af/sxdUnUT4HHX+e13T4pMoyelM0
+x9rJT8tEvjSr+xXXMJzxxbGmxaYODs9PgdhynJgou3/bQelQh5XKV7ODYkdrORj+PEq/h78k7KR
V/HW14uNGywq8xeJQn0dn31LWu0x43pAjwj+3uKNuQQlnTj82wrYLw2z9BjjvQPYYpm0r/o8Tm0R
QJj5CnRfAOwHPWT82jQc+1z5oOs0BECk46XP+8m5HmL2GTjz8WsqaJE740+m7AaSVJKAWXe8Qeg4
sffwMzAwpHZdeYPFlmkCSvr4q6xY6dwU7Nyw+KjzlGoCjxkoPqKAdCbG7PHzq/BG6xQQnpdKamOi
XFypPsdbGZtzhsKAu0nIwfEYFZE4o330I2fccqCu47WMjk8RMOxUAofvuZDL6iq1+ciQJVIEJq5k
kS6FU4EmnQXXn0Qj3xXyRuCWCvo3ChRH5gJyOlL+5yNQ3xIB46oIwDG6XbrQez0vZXVqM0uZ2/Fg
JxZJvs0BxtgT7DoaG1elaCagUKotwIFmX8rq8UWY0jwYUUwjATcSFUUarEv0XF7xpDy1P/HEzPX4
Pb1UmJXwP2fkTOgU5IxAsiKIfu+cQ5bwwsB6WKmDPhEstBwuuQdOemhTHoILF6QZIKfjJAC9MqQu
XH0YTOk5BOhMLv2no41/245ONA5gDiPs0d2iQdUZuWKCsy+sKl3b6zNjrMWtRxCkfD/PZAqnbD4m
hAFSwwqsDLS+0RZd6XfReH7nSn1qhwSBCUKATQHSk0SX9qCQrYmSWBlD5kIjqqj4zxJhTgD7DQhy
jEvfCgX/AsPVYAK1WzZrDSbvFcLXnLjMwBdImDTpidKABizy1Euruc5iaNi5Ehw/cbFxuXDYCD1U
9g5Zv+HywMHNxzc4DvvS+S7znXSCJhgJqBeBk1CkwJpHANVewDOJkq6WqqWyd0JJA0+p04ShEWI0
F9R4XeSC6Lyv62CLwbYyNNg+5F+STBBfQJWKeXjWK1vMxys+B5+hpNzWbSNWIxrfes9OxkvPRVI2
6DVUGNEWmiSbGyKe8mWY8wQ/JrAYMSZNt/pFIEItHG2ki0Vfo2yCz01pAIoUEjDc6Ez+yb/hc5g1
L5D0qc1BcsTp8mf7mluyo6ucDrA0IrPVzLuH7nsdlQBgCfgeDKgjDKQB4nkQXxa1x7n2yMGjoO8v
5NH0KCuLDhxiaxcTKS3I2KLOHIT94/v+93q7NeqY15SATY+mT8A6/1m+K6XPa1dUQ/BL28bre28m
K3QMVCuGvKfkHRtBDiVGwXI9RRlTXcHfE6Kfjd/jUV9jiM/YbmEGUTqLyJuuL4/4tezJ+Zzo50wH
qTo6k9brtX6ee0/c2yhcGAE9MehRxbfTfg+okHEuaI5z4fI3cMeRslqF3pPXzbie+2txK4bKHnhO
Kqk1AKYvSLOZbrQvASECACFM7G4EULk/Pgh6iBI6cCuNsj5umsPxhJDmtkavZyuFoPHmN9vudjsL
LBSrn69eI92608l2+A2f5jopJm7GrXzKEHFNVbTAq3IuhrxAr/fO+ix1EA+Rlfj09MJaGZERUIHt
SAfm/0wcc/8guRVNBXkqH6pKOIoGbaGY/XLhIQSZ6uP9vQ8kb2WMh32l56C0cWOYFefiRXZe58Sv
Zm4SnZr55wAlYYTTQaoE6Cq3EhiwmrWDkDKXeOk8/Sy6dbPeA9DyG9XsjWT0M/pynyvBeiRExhA3
cjJQe8bmstsIRc1cAJ1Fumo1Uq/1IBHNPyv5pZVmKvOTJwTbNLopBTQY/O3aHL4QB6ZvIE3C1EG5
iJVnAe3gj49oIsbRWEB8wQjicrMIa2+l9APq/2rCMJfUDM14oW5Vsv510fU7l9SdMiDYFxF97oCw
wEPrVpCM5j2l7Bzm0rmx1WXroBRIWe7y6j8PmbGiK0HUvgmlmIIaFoK0pMXbDS0UIgseWYX47FcU
DXMbOGWxrsVRFqssa7F0Co25bMAhickU/ohuUYL39Renm4mpr+XNzEN56lohJAXwDuIlAIxRO1kI
uRANIhYYaY0pgyxPwrv9sVpM6B4CQG7MDaLCCVzv28PKorICi27s2pFcvBR+sQVrbU08PzYfy5m4
UaijgjwFy8GT46/998pCqErQBs1QunZSpmsA5xwcKXzVEv9TyHuSx43F8ezMtZrISmk3MqkD68TO
8wQ1de2ddQDWPsAG8EeHDPyKLFYEzlZfL519hDfteSba/ZtUohz/jWjKXHGFJJdVC9Gvr6z+LJvP
rQ6+x6VEDMtaaSY+4RPpcpcg31CA/20jGjIGuPRqgSxhudxkhvE7k5md0N6bLxoV4eoAFEbQAqnK
Xdv3taU8gGtcYrd5xxlxUellyc9s/qQ4GJnxVQVSKZnSq4DLVIePXdcOQarMm34tAZNrGVabLI1n
LuaUc0V9mRMFjCoj/fnn/K+WxjdhWXWi6tr1Olf10sWGCiRRCcZLD9VTYkiOXjqkwsg2cTEL6hDR
uQC+9qPNC5K+OeXM99Ct7KOvuvkeynuArRfw2gzv2pgU5153AVojLNDm/QboGtKdGc9IlbPuhFGu
Fwy7UtiA1t4uh0V+arYst/mQkEiSdv1/Cjz1jyyAjWKGCzUEZB1vdYjpKjbOw8izNzHZDYTjzP77
e/McITf13S6FOXjKqagNhYR/5VE59cDxpIZFn7rdBqum2gDyMNx4jaWAcZklvrNEfsAfgGUfGZEn
GIK4afwDx77G2oqvNuhkYknGrJXEBEO20SXb0FFm4p6/ByR9z6+/kMra9F40OGwTeDZmpsFxaKHo
AaRYgvDy213re+6dHyecK/PncjhYpy2DDm/9fDRed5vlWfz0D76R6EvH/FaMlrRkOdcfN301/t1B
uoM3EZRsEL3Qs3lpE/CkeilBAIs5clkPlDWwqdN1D5BjvljxRnTs5V1+KTnSfVQnJtF75Zh5M8n4
iYQT7sbVB1F2AbkR329LHKkEugPnjWM4U9KWgpMZbaXZUmqlQI0VkHtiC2B2r8vMAL+u9lOoOzDV
k8iZq4pNvA7xQYApAGEIshKA27/VaYD4dDmALD2b1dW1aJaL4YV/8nX2tTViw3EwiMnO3NgpV3gt
kXJLfcJrceWlnq0USznX+xJT40n/jtS8N5fDnN5uFCIEEFqMYIXUDaqR4W2kHtudi5YA+IXYEM/F
3sO8o2a2+4gkhuIdShbFgMUA2mgSYQ7u8tjzT5tDSR554EB+h5DwdofrkXkcHKA48moxyAX6f4R1
4H60rp7zyO8mwSpWwwXvKGCLL3VpriQ5FfiiSg0gQ0C2CXBFlNWSGhkU1Qnk9wuJ5L8gqA8ImKM5
XQ+tGb9PN838WUhsNnI9IBsAOCCl3s0AYtw86T0bs7aWWz6DMTx2PKNhj7y/CeSR71r3wefJv+UZ
cRmDVXRJeZ7Z8KmY7vojKJUeMm0Eqhs8u1bOtapr6pLDtEJH1NToj6F37PvS4FIfwG5Wv+LxxJcL
fsYH/jVu0IYR/Z2grID5Bpwb9Q1hNnDRUOEbUAq14sjgKvKG4dJ9srdtO7ZCA2ML5Bcm7/i/WfyY
SQZ+Mug86RnyrpTUymVlWDw9NhVATDEYdFk0pvkh6d/ppzSTOp70UQhy/p886sT9UhHzToK8eo1m
1uKSPIVmtVWW6U42vI9iKeyHNbPYg/UBrFlrj9SfmCXT54583E56u9FAAHQavFclgOPe3rHCLWo+
jkofHK5n8F77R6UwQe7Gu2tF28fh1v1m1sIck9ZklHstlfJ+vicBN7CBVE/Qrdf3nfdVL0q9JNbo
B1/xMk9Wva6gs0f2zSeZyKT3UUzb23vwepGC2Of+ZVPPaN6UdVUx3w4+CCjeHbagBmJjLVYcz/az
hVddinqT8G8KhkG7lMzt+mip6V0fjQpyewoH4gkqpgb1ZDZEAov0Xmv6xF33O5+oYKjd80QBT9z/
xnfCsIx8sZjnABLs7SFrBRpQhZDx7bR2TUn8chUi8GbWAdtEs2r5iU11HwPu6W8FjMJtHBgg8NZl
UY+LRaTNPb5HYdTasbtgxhNV1A/vgNxQBstz3+UDW6sWcrTk2GPrLAJpJsCaeEZgaByZGAgYgUYp
DeuEQBDAlx3YTbVmBL0SjNDsvSd1+H5sNsb/h1oN2lUUEUqDSADx7e3W8mKtqpXERHZYZwa6jYEy
S8R65e8KYenzLkGX88zDe2L/BBQVRYySAQACT7NbiT7XyF7YaRHs1KFa99bsuNGEct4IoCxwUQa9
k9QQkO6HTWLwP9kGvR+I99BXrF3aT8Z6vIXTC0KmG5EUWkFoUM88QQhQiZAn9qQpXyRlnwzrIPl4
LGWinILEtCzIsO3AUbhj6eLiuODLPIhtDIamBakMhQSXattsAca6xZt6IKeGZOZTAlSZJDGrZw5p
8vPy8VeMz3daXa4/grr4Hhqc3KbGR4Ax3hQxTZW6n48lTOwmaoToHmQRmwqwMLfq0fK1wrVljkat
Do57WPlARG3zozujhRMLgdMQEasAhhWELeNnXD2di8SJsj7FQoomflbYSrW4osjMx2uZisBupFCL
ARKT6IngPLcj7dA0a2Hr+JEOdp6I2/XpqzAsyg4MjHOx2H3xD5Wfq7VRPrEuQKU8ZF6MyD5UztLw
Ww7HIN8n7oUr8R5aBe1MLDBhRBDhijAigLhEcwmVYS1SX2uSMIztViJ1FZIgPPXdW1FZHY/GQe84
9x6/0xEYRAgCKDGSxni5UIfXKDx4BeU0sf0+AEJulKFsvABNkq9HIT+jKHeGmJJFHaGoFnHHBWFi
c6ViBCDm81grRgu4D5Kjmv16rDB3WglhCKLHtCRgqLC4W61ME6UvFR/9QeBK0tzmsynK78cS7p99
o4ix8QFzAsj106XKbMTd4bgGfYporPBQE2peXzlAxUmW+8RvNsycMt7F5Jh7wPVCiwXo6MAmS52V
kIGoBSQOGcrfMFgY+2YASeaSHxlT3wPgPhAMP17h/dOfkkidGOrwchcyQmZvsm7zCX6IRYNu4J/A
agjIzvRjTb6XevhlpHO3feL0xqQfnBpQBVl0BFKn5zt+GLh+buN1Y7xrG0AJORZxeeOjWmiBMdtE
fnftsFA0UwAhHo5UwmPjVp7rp7LqdG1ui4sUxW7Ts8DFMYQk++lmkpp3sSUlaXS5V9YyiDWkGRVI
qv3vSDbONUvOfT9z0+aWM27vlRApYPikGYXEROz1RFzKGrFVx5h5KM2JoV2YzIR84XC5nZtj43GA
RLRmhh7h3qSL71uPlfG++2PcOWDFo8igwmD9efWrRSFOlEB+K+dQf/ldfbfid63c1ytgoJ5bEjVz
KngX+0CciHo/i6FnEQwG1OLkyiurDH2XNvpeFbLxP/LUKkXjRU4IRgvleHbG6T7RMkocaZt5HoEk
DMvtqbGOmJXAtS5sVNd6MuC1B84eEOocFGStMGQgXjBimBqKozfRuWJO0c8wF1HeJ1qob6A0p/HB
xFaCQczGNEU9AocbWUwqTwdGx3rdSTN6Ou7hTQxESaP2OFOUxsm1rrALCxjumzlY0ikLfbOjlMVk
S08VUrks7Nxf4V4TY2epOWHLty40lsKTcpnlMBxD7kcroiwmhuNCPnXrwk60nSQvmleGh/YE8TF3
1lqJtlkylwqcVRsqRgmUTAorAWojpDuOMYYY7acvopnFVvCVYegGI/sA4Y95dEujMZBwTKgLb2iV
kWavzF20hOMcJ/RGBkVkQiXK51ZtiA5EJi5tzj3FAIhSE6Jw68HRK8AmtsfBnKux33fMwwuCrfmP
Pwl3/y+XdmUTEMP3tR86pd0VryHa4ezoRUJKMh7b1IO9SpRdsgFp2rBWLQGJoscWaSKeAUkU7BHo
50Tg01N3hWUbIYg0rbSz+jWo9caQm3OcEVWckTPhMkCFNrYSKIhoMORB2QWvjlUujSs7CE6DsFRs
t9hBkVridTNoHcJ4ISj1BS0Mh7qMhuoMOE9vRSEnkoMdUKhs1qyRg/lEn5FiuWvfvuyCAhPWH2se
2RegywBsbOEeEl03T+fiZ4OZWkzPzQ0oTsUf+BzkosAEB8gUuodiyHtNclq5sqNa98D+acW5mWz9
jdL94mSXAKxcDNomrFbSsOQ90iLfzhjiXv2NXotwxiHcpyOha9cfQ11td/CDpi3UCk61+cYgIWD/
0OZKACSNMAwVD0JC9KV5pkJaINJt5lI3ozbRRyPx0AEEmmDBYamj4cpMbpisr+1CBuuTowmDHmcg
tH6s0/yE25PR6YhX8dhpiADvVgOKNhacGmhrdjEUBAxB/HNUrEYiR1LGZgDYzqUH6CaFuIMptosc
zdQl+N8D0nyo7YunbgJxU9d66r09/q6/rPft8jk0NGPef3xi4k/KVeAxH9RKzHd2wRH55IAPetEU
pvAFmKMl2PoGd+GJpM/0Nt8OvNGmJiccooDE7FJJjDbcoBm8XvSckZXfjgE6aVEDL6fpDN8hP+iP
v3ViD2+/ldrDOArTkHPZzi7JDlqJBMM7qgZj58AIF+Cbl2ST7SX9HOmIJL5nhN8HZbfCKTVFltFX
03zo8GR9j/RdbyJnGYLy4XNMnl52Gnl/8cnbh7TgdFvfv3zMyL/vxB5p10ZmBjyOxucXlZRiNLFL
1FzqEKaBZSA0h2WM9sOwMBIQCriGRFrM2Dv6jNh7w3UrlbodsaBVqihpnV11+15CfBaVYNJcxtxc
Z5Jwfw9vJVFRGg8mStEvsT4rJtbBeO/1zqrNAaNiFdovTH2LLPUnIBlJvMD4NibGC6KzGx3Wmszl
qe9nUai9Hr/1yv1pSdzJOed0dvycbIUXETDiw/IUQZQHe5TrFRTO/dYCYhxRNgAqxoxnorFTgKB2
uxnUrRw4tB1xNT7Azb+5apN4pBK3YS0SPnkLg2xs/AQkOJlR8XsbBakc8jIj8TdghakkCeO7gAPl
GCybcF+Wd356XzFf1SqwZJJ9fAgKumGdg7MXSLRgXTKiUs58wL1HxgeAKBXpSLh9WKTbfZdcX+MH
1e1tiO8jssNM7iVcu+T0I34vTqvovMCsICaPP8X99/IXULxzRfn7ya1x49GaBLZhzJag9er2Cxgm
CkQnjnv7efN62PmbT/Dv7A8oVfnklG0Wi8XePPdkvf4oV3t7HZkeQdPvcfn8eCPG46WN8vVXUMfP
RRWfOnyEfQACYvGilCEBQtzMcU9dOBwnTnzEtkBf+O1S0XqQKUWZ9bY/mE6pmBGnmY+XMXWc1xKo
K12UTip7Rd7bZQzIOSkigoCLGy5cTjGkEM/NfpYl+T52HMv3/y6KOj+uDzpgLKe9nRnPux2KBSnZ
9MfX1927px8u+e4CF28knH7qyGogK2flkouwWcX6ghDTtFOO2B4gLdG++rQ8B2RtJnsMx9q/if5t
PN6cKcsqjOxsGMnEeCidIRSZsUAb47K18UjGewyG9wxTzbE6c8yTctBijbcD2mXBj3Z7zIEzDEE8
3qkMufAx9akiuGJlNFBUv49XNKW1Y2EdIzRo9ALh462kzBGyptfC3sY/aokkYWBQ5lvSIAP6Xwm6
g9FpsXfReEm1+M3hNxVrC9zrYxGTu/bvWu64m9u8BFVt0IOGGsjP7jbGw4ALX9xsrlY3s2l0g3FT
S64Gb9rbtdjhgZXgHiagI81Db/V4RVPX/ep0NOoySlXaM70CQU6LN5WGOn9a/S/OBfyXCHFhOseJ
olsFqFVeTNmo6O0mrA0uQvOou5eCmXQtDSH95xuvpVBOolXAQZsnkIJU0TYeHyevuwNrHqynbNmQ
U7c5nYAb1ZhvHyJPPlhiYD7j8Vb+1cto+3z9CZTpRO9E44gFFDAzXjcpUTSYmZ1lHU5wVYth/yQc
E7L9ACHMeYk+ikifMR1TR/k3OCNgLhD9DdSV7nlMDv7pf92hSTxNiBq+P17hlFZeSxgt+1UAVGaB
7AYdFliG6FnwDNl9zri5Dr3/z0limuV/1kEbDCnmlTKCFD9YxuR5l47dCYfVSUJG3D61T18iaRF7
NAB5AMCKPu4lZjBm7OPMUv9CsaulKm0AYlcVH1GN9lH7kezItf7z3UQRD28/DFACToK6F1zT5bXi
9rgXmN4uE8lycnWVa3P94hMvaRQL0dMDtCqkNTAodHtqURiIQs03A/pdgHsNnexWGD43VuGOmKA/
c/VirXxk+nJuuGwiu3kjmK6ugcwtkUH5OdgCKbyF/OGHm/Kdfcob4mBQTlxqT+nn4y2dCi0QJIJx
F+4TNT1KQVmuCCohLQc7RhNTn5gimgKC+oR38nsYzGRvxm2jbzvkYJYfI6gsHsm325r0YPkpW36w
1T4hdXSuuczIBMK+MsFRE7J1nM/N7Ew+9q5FUicZVEmaxqUw4LG36YHxjXYh3V2+A7zKcm0S13qC
voe5nqHJVweybsCyBYUqxqrHq3J1FVo+CQO1UQd7CC0tsvKOJV2YGrHw4jOkZbd1bWJadfX4JCfq
DxxChn+ljq74Sqpba12i5c5gNyB5kEnSmGgiVkS9qX85XYufwJALCID41eGXjyVPnuuVYMqMFlGT
s3wGwbz25K85cJeEb2z65gmLYh3PIaBNBabXq6SUKFUcSdGSUZh7bEEJL/1k6SLqjnO9JTR2+J97
HDv7WFgBBTEk5edDDNa6sSAN9m5X6hsLWaRlc8ltxlxgilH3LdawOf2rt8yPYwwTUS+zxW9g1pvj
jJOaXDCwiUXMMOOi/r20ro6Vyx3BbzVtsJGpF1SrWgqeDg7oucrK5CFeiaH3tUxrUeshJsl2zaHP
SQtDkADhTdWeKxCYPFaZyRSUDNhndAYhoAYawK2yljUHWuPMY22OrFaMeXLNy+HzXcLQ6OFztTqt
AK5iucxsX/K9x1fQzIaSGXJ0KKPS/Gl5XSd1XTGNzQ68zUiZLglzVk64d4SjDIyVAlUBgSJLKU5a
uF5e1EFrI6KBJ5Z17ZPbwBOT5LD6SZZfLyA1R//cuqzIeWk7xFt+rJcAzlEM92Vml++j79tPoXYZ
HQaZErlhaz8LRDgA/INwFh5waCGKFyNRHbtavLxhRm5fHs7HfK5P9b6PCVfxeicoO6gywP3tQ4hX
7df+F7P/+oEj1igc8Z28/XoRD8C23O8rvSfe+y+q9Y/XP33a/54EZRGHUCzlsMJJZP1LXB1yZaZW
PqHFtwukLF/VtpHiilhgZgCf3Xq1RH0Yp68qlzyZCco827W+XH6r5iw1x6hEt770VjJ1XdWabZUi
jVoEliWgp1i8SA3NNWIt1CMAuSjlUosWHncopKco2cTZ7LTx3AdQnnWoVHZoQ+ytQF7D/TuKMZ5x
EZarFRGNhcla62x9hkWcizInYrObhdMxoOINXciNcjcNQjPgfEXW5ecUvAAQf6175pJ5WmJY9rEe
TST3b4VST6WYUYKYTyG01aWaAHjufffZnC/h8ZKuV6uFZL5ESF4nhLXeEBySmhtL8C2ZxYebcEq3
H0I9mHqpTVL/z7bk5nidW/P9vbpopBkTNDtZvwTGaZFsSLzdvqWSuYcNJ+dx7AagvzNef+52/8Uj
V46J1+o8TRMoP7N8fgXeRY7YStatFXCcAaV/+lHMralgyp8nnL0+asZx5nbPfsB4/a8+oO6aPo49
nMoIBggkMkR38B/YBJ8A2HGRLZ8YRX8xzTV2INodvcXMC/reM98eBmXe+l6V4oaBfA/jhU67UTOb
A7SJk+hBPvOOvMecuzWlf7PjV2sNVK3utNGU5maMkt5ONA8rsLg8mdx6r/NwJMac0s9uL2XchDLL
6jqDSHQlSBZnrLyzS5oxLsC78oR2p+02NmC415jof/k+Ct/yaW6ufyKNfLvFlJlTQocB5e542wFq
sBkbFdCtwK6LLQ56BLfuNqGu6E8vL6CmAISEKfTEBE9gQpxDRtCijqNfLmeOnQb4RmR4+1GU6QuT
OHeLZvwoMBUdkGuEb0f687T4IjB8/hNsPrC9v4XVYyv092x4YPP/dORKBwbNY+JwlBsScRcTo9ru
LAWzto5xOnWnLWGOUAV02eFdOnPVZjT9zyhfSXaArOOELCQLeb5Cvsrqs3TjV64ehIOVNrz5eKUT
bRM3O0y3uxVFmXpxBnmF8Zp/7IQt4kGyaC2U6J6wxLNrGTOHOvFmuxVJR22axzNhBJGZ4eychWT5
a2cpHpxNP2c3Z+LDP/W62swo/r8ebJzV2u2a7ZCSwyEB4K9LnO3iCSm3RCbAUz5DjWYZLOaOkjJa
ldaVqTbeKDleVOXCwcR9DCrGYcWEs3mU8XY+Ulgq/gpVJ8sKDbL6hRH45BUuKicWyk9Y6Or0pOhf
6vkthR0z7N8j4A02M2orTH6AAkAiENmM7J7Uoap9VAZBgihJBCB+jdRmrluncHdSL36rg4BqFR5X
nlVthBOqFimujm/pyXF0Vkt1GHv2Zhs5J1pGoGdXn0Q5rdz11aIK8En9UQwBhLKDKScrZUD/qGN9
kT1SdGcdb4GZrZg89iux1LFjNDDOYwFHAXgqQ9Yz9S32M93JFzGnP768f11Ud6d+JYo69VSRtKjR
4DeAd3xsvsbHMYvgn9c/E0yB4ujxm9tcCmjBCrd6v+cNFH9TVAAxpWsVz9sXAW28LMCCGvJTVOTE
r15q6y3YS2sTIEHGEWMCQOzeyv3cJo17/+jLKY/HRx7fiWLc2rXD7+uQtRlOmKvPT9TERwVANy9a
mNixRnobteROkvuaOoZNyEgpY8SCbJSD26+Ywx4daZjqMDHDskxQPNu4n8t8dnzsXhdUlmc1WRGQ
Qx0HVm+/YMj5slEqFCxrNjKCqlrVDlPorBPveVUhCatExmOV4MY13W7sjUS60JQnDdcGXtLbBsOT
8CcIwIYtbo6MAWWcEXVvXf8Pad/VHLvRJPuLEAHXDeAVbjxmaIbuBXHIQ8Kbhgd+/U1Qd1czGOwg
9ltJISnEEAvtqqurKjOvTU2mtwdPVTT4GFxr8Cty3O1UY3cAFxZiFt9kC6fq9n0NYyiSwsOM+a9p
h53QZFXRdBiX6xsB04F3NRdO00z35GiCog6E1QKN4STnHZRA+/UDCrGg1xhB9x8f3hq0BIP+2h/V
WneMhyG178/hjI9C5zxIxMCMD3wh4JbXG0RDza4LK2/AHEJZFA1jn8fHYU3N0kafb7bRjXNotfpP
uKiOPHMLo5teBjACNEGALUxxzG6EFwVXk/4c1tu+tXKFgprIKSu0dIH3Vam+QNigp/lSUvH2nrg2
O/784kpuRNEXAwazyJxa+O0cgsx96BncQgh3y6VArg1Njl7ICqXxgVY/vyDJlppH5EOi3TN48oD5
03al8VmujgHEAAVkG0dt5uNmb4k7yA+eQTe8Omc2XTer7bZZQdToqTLw1zazn3id13tgb5caWea2
NyiOkC4bUcYgH7meFlqFQ5wTfzgL/VO6Y+ysBXbU+gtbfOahgUm5MDO65YvZF+SSaUWL7SZu6wcm
A8XxFesry3LGQtXPU2wZ68peP63/RGa8ur/V51wh8oFwxbKKco862ekiy5M8kdLh7LmeUWlHV0I/
WrjjpARwSHXB2MzDYRQI1kRwNKMkrpDJ611zQ1QhM9QF0j23y0GShy3A4fHwqBifqNG9qlhFiFIe
kD0pVku9UOPWmvrgS+OTxRTdsijqGAleL17Tl5wi2FGQ5RV/SritgiEAqRaJJ+b8/qXNyco2mq81
XoIBC/sOEN58rShGwIH/uJD0HtXQV6Y83F/QOQ8CABKFnB+6NPAUmQQ6QpvGjRQLzVl5hcsHpXFm
M9mUtUNzdpMN7vT79mZm9crcJNipC6hzeR3fnOVtaAITB85NITG48uT5K7daYNWY2a1XxsafXxwU
OR5IFZcYm2wonN2nJive2LHyFup0s3OIyGDs5EXJFsDkaztaU1GoBFTtuePj+ERJdFDbjOm+2xOr
ZgW3acNE0GUwWCe1r62I3C9JkQnjzpjsVhwU8PiDX23sqJ1c4+hQhcy0pDXnoDP5cEXykcmS2yav
4mP2yT6lVk8+768knYkcrkxORp0EVMgbFyZlfpUX7/UnJ3zKgZEHOz7VBWYGkR4IG79757HMnUny
A0sfcvDYpqtOO8TuS9IfK7RTEnDefkcatE7TrQpZ0P6QuY8y/m8ttiiiEiweeeg/QF1AO9sfzCQz
SohYqKs4XdVQin8athKqktXfEKy525Q3WPXqx1+UfKXtI60Nqd2QsjQSd09zq1M2wZaFDThOKgPE
rrRf0qeZuQQwLXBWADUB20cmfqPpatRICpRM5Hw3PJWCwdm1fIz6EVKV+du6A5GzJangZj+lgGC/
dku9aDOX89UHTJwIEg99LKUB0h6tKfd68tP7PyhRJ82qpgs7fwZfAF4FiIGO4BAEXb975OKESXxe
iRUuo7PIbKLnkGnOId5mh8fGLux0FW92qm/49rBLzq49xEgrSoZrJ3jCPikfv8rY4MHgFu6NuRjw
6qsmTibOOw4KMvgq0Fu+EVc/oG12bJ/lrDcORH1lsKv9lZGfF3zpjLsBpw6vUtCVE+hdTIKVhOYU
dMJxd04Hii3KGykEzlOklBlge+Hb/eM3c+AlQQEaFkW5kSxgEoKhAKvGWcu6s1JxwUuD16ku085d
2M0z5QNVElRw9IHwEiwiU6wK0TJfdFW06SsQrIGOgR27ptb5Jqia8kYvlPOA8iqq9C4i3MQMJDRF
tEbcKobcP9FiW5bgriu4de5bgmTfn4Fb/k9wuynQwUXXHy4wNLlcu91Q9YQ+GpTuHAIF1dlFspdJ
rj8w/1sEFwaKlWAUxlu6NF3OYGzl8fr9D5h5ml5/wPSoJ2EAh4zW8eQFDF/2R2u9md5npD/8rFFZ
WYPXlXmG+N7wetLv8F+WcnAzJx0sAGPD9CjFC8z39QSIrMFjq8BzqkDvOrJFbmtCXtM+Djp/pMd2
H5zKTbhdL4x65gq/sjrZeVU7gM9JROPSrrJjdEzokcN0CUpGz4/J6rvS9629/1IMtLW2m213OBsL
HzD3Or76gMk5w1wgPJXH1zHuAcEGpU9jdn9EDy1aT+b9wc7NMArfMkgDAKcHKeb1DPcZz1Gv5xGB
An9GUKjoXtLheUjWvbZR1KXDNnOjSsDaoZEYShjY0xPPTREqpGUnDGc/MaS3+k+ENgok3046Nb9e
X53GAjwW1InfT0WEkS5N65L18ecXvlzxOaa2CqxX7AAOTvhNCcAfXXMHvZcMhlAGxC7RWvEN8dln
zpKw9Uw/DpiZ0EMNyRoFFLHTFoc4imiUVz1aqxSbHXxBV70fNALsfLxkY3fvkePQrD3IEvLW/3qR
rwxPB160CviaOrynwrUobD2qi+pekRs9Ew0/W3i9zYQHQNJAawRNqUCma5O7SWN5zakFnhWVtG8+
Ze2n6J41ZWFEZOYqksUxLaAqBJQh03cawwtRqDTcDpL+0kPWkbyFf+lPtxdssN0bxGb6x2A3Jm8M
e3XV/hGg1LVCa8Ng5H9wS7N9Y+3fAXPYWqv93vrTbwRLhmzT5nUw9u/b7c+SDuvMMZNlBWT8Isgd
4MomjlRJG74NM7E/x/kD6Co1ZmoRkDYVBGcQNN9f7ZmyEKRELoxNTlkBUCuvBDC2Oxzpn9gE3fpZ
Vx6r9ddqZQEVDQJJDpzr4mu76LBnXOeV6clOazSpRgum0J/FFUNYFOif9u7vy6EEiix+0VbbP9yG
LHiwOW95ZXOy4doyT92KwGaisxdFfws3B8HJX8IF9zH3WJfRga1QUI8gRTDd2LFcldzQYFozJMBS
MzMo3hyglOY3eMCWiL9cu7LUt8RkR26jnP6SZ9BePC/J+cyUwrC6F58xuRMbN3R7v8VngDBeAI+v
U2Fyxe3wZslH7tx8AmvZAbwHztfNkwA8IVnYXuPumTzE0IKOPykgFqAbmCyx7JYZZgEnr8++y9Ap
1cf72/e3mfbWAB4XItDZtx2oQzigmNqV3RntHB9QoDSHvfyibtG7T9FOEEO13lsVVrRhhamszk8o
jWjmzygSAHI17tQAwFhBPQhalfrSKZ4f+r9fNrmX8QRmfNJV3TlQ+HIXeUR1iBo/3R//OH93hv/b
231xS1WtVklCXsCIK76Lole/sBTRJVBL6eG+pdnhAO6GVnfQsN/kVr0ewIWaYaL90H9iKrD20tKF
v2Ri9IsXg5FISZrQrbvzS90bCQQgsKTH3P7tCdonG8APqWS8b59Qo74/ttnTSi4GN10rseMG4dfy
m7g92KOgaLZ6DFYI3E1mWu8i9sf6R9vEqKosZdZml/Bf29N0OU0ltWF1050bStYt/8JrnzwdrPsj
nLtnLwaoTCI3vuI68BNhM3rZd+WaSvcqBHboJ+Z/YAaQk5FaBAjCKf1xV4LAp5G67pznnqFWn55k
N/lTiaf3fTtzjx3EC/8ammyVZIjAoyL23VkVSitJgdYmbqFjB2V6CuC2j8bhKEAyLRR/pFAxcjDv
NQ3KUy6RbaZ0G0+UX7QuWdjBo9Wb03jxVZNtJBE0w2s8lnJAEfNZLNXI9uMCjZIV+k98n0UPfSN/
FpwqLbQSzgU4hKDqAQwhcJtkPFkXJyeBNIhLOKCiy7x6aMXAYuyhH15IKu54bSnjPtMWj+oOoAYi
XsCAh04T0V3K4dXPkJd1SzTLBCYt9FRDx7heQkRv+CtXgPZt49cKTC6g6+h+aGIMEpgPF/KZs3c5
0i3AAvwqKk5PDiGNBuEadAGzn8R7cwXZjCUraw6h9EeR7bCDiA5UdQbtbWHzjWn96TKPJGZjUU2V
Ub+7nm3fFxuIPHs8mj14I0Oa+MA5uZ6c3Fd/IYcyl0sFjSXyZhQSB+hBmIQrad81Xiomw9kUXgWQ
mnyuahS7U718rRd84EwwhhsUQjwoEhLEyRNLUkSHwk1Rywg3VW10ZokOOGg4x49LLxsQR9/OH7qn
gXglYGGQkWi/nr86KuUqyhH0a1AsOWjd4FKrrJAMtkFvLKh6zCrRN9jgyp0diwr3yTrZfeuzruFW
vJp2VPfGh6Ee+TgSRib5BDSyDeWy707yq+i5TiFsCIyEKns676H53YAMeJQ+KtQr0XRUMOQhgjjL
471aKQG1aC5rmZUlyN7+hXq9y9tQk+NUJFjVLDBUmfC9WcgNnx47PyGj5BgQy9YIKU3ttEYnqy5C
WJizNIhCSLoX9X1gdq0X0k07tNqDlDSxdMyUrIt3cp+J3qHwg4Izqc+5kg7t7pxfDRnqKDsQK4jh
MUkrUrwpmdJkpyYMCm3TVeiWXBVlLOW42mmAHtGhjWVb62JJ2GV53xdbMaHuWEMQXXoQBZ4BnNK6
kmCncek9wwf63VPSB3F58AnxFaMA5zfU7AgD4WxWBCFeeZoM0nONykF1ipI2D+0BHWP1Ksk0tTDl
Ie8BzegTqN8FLheBiUeM+doirij5a6FQuwC0ToyPzpkcN+kXIQk62XV/QJbsMxFzEVpmkZtxvoP6
gJw/0KTV5LXSgZj/QWG1D0xZX0icLlYiy6y4VOIeU190wWCobZIlHykYq6gVIGFQflWq6BVfclkn
HtirhpJL13Uma+3W4zgSvoDRxg8tHyjY+DmLQjFielECSQdFgySkTtMoJDhDfsEDjA01IIDotajL
Ue8pGg1Jec+rFeh6lzQVHr2srQczxr+zSmekxt9zLU3PkQYNX6vNvcbblQUSIz+xJwRxuy2bmPgO
V9eUvOPX5GiPSJS2+aikqqogX5dqz/EQ973eQcxQtFidxJnpMhAyWyJmGl+khUrnVAUHzei6D0W6
8rI4CPe1qPnQCRNlNyJ7JGi4YOcWLp8euBgJsRUciIpfCoT5ThrkmtOTpsk6qw+yFILwmVuyxCiL
jESGyoAHBv1VmfbFswd1QymEcorWpk95nivDPlUYBEdisYs5Q+YAj1pLaSRCblnBJAl6jmRFa+Jb
Km9TQV81BVt3mgpWzRVSsmMZn2Ly/LYiUEtFVCMA+lZFaqcDLKlxelO2CdskSSuwExgIYgXtvT3r
+7UbcCX/RNQOLTODRgv1w2sVJfwcsiInK6/naInCBw0aq3FjrTdEMWh8W6BeJGGppE52BgqWJJyN
mm0Fv6cgrcghUL+KyyJOwdjCBO2LSxMIIvBe7RFzgN7bt4YUj29DxdLzj36R+5wjFKkQWXHiscri
1KDLbCEQ+bzQG56LB9MDGEX9adOUs0DXMrx2oPbxoHrUdt8Ll8zMlQ66ZFR8wZUGLMiU+0kemgi3
cDacgwoa26G2a8Izz2+U4Iwapa6RQ5d+NOoziz7Rj6MzP/jputzU3O8gAc+r9rPwOTN33j/MVxIY
3FDwnlwPRTKkaDQZS92ezVU6ROuEFdLJqi4QU2Wr+9bGXza5YFFVR/IPNSOMfgqSTjXB5cC7yp9T
qia2xKkvRA3slK9DM+T7xL5vbebZgSsPMlaIWsDoQSaxsVSMAXgDEGMfEmamVeBZ6Jt5v29kriQJ
Oi2UD9AQA6qW32bDixBNqmo15H3AF2MOAHM8x+vcEWpMX4XkPHkmA4AYlY6HV2XFHig1tMLMVNWk
i/jUyUWPdBIY+C701Cehc1RnrSYx6KlLgp4MBiV4IweiyX/Vf4OlzpjJQt7YmgTEPC2KQkxV8YBY
PNw/tjk6q+/P6yTknlqYxoBl6Q0yDTCaHEELnmlobv6ramBr1POl3ruFiZu+oUjgxUTxFfFAD0GC
oG+AeEqvS57Rr5Ftvz+saeD3z7jGoikygMhYThlQJChFlhkJpUMSunbj76XCBHWu7Q4ZfO9fLXBU
vjIlsOAt2B1zixdH78buGLtdbFNatqmWqLCLYsKwp6jRQ4QiADRFxZ/CoTy2r0uNvlPc8j820Z6G
ohpI0G5qxIRv41yIfOnQ9laybqkOdVvNKL9wZYE7QDho70smZ5dShvgEnkrgg5tS+ZXopJLrMJIO
yK2qsc7LZkr04G//HJ67cGkpR/9xM6V4FYLtFUGveMPVG5RqXEOE9FD/gDhw3aw5R3K6l+g5stGO
dn/9Zgf237bAo3a9fG1TD6TVUkwl0dEiIDxTBKTP3t/MVD/vW5rcT/8s2oWlidfkPCjFKC0sqapB
Ghvkjz85Q9iwtCEnj4UbO+L1iCK5oGI02uF0/hB8qOEoTgLWzsaITv26OJefyqZVdHq+P7yliZzk
4MuCd9VBSqRDkxhhkFpM+k4gTQrCAH/PhYhzXv9v9iYveB/NLLkbY5hgbEcmg89tpdCjU/hYbLnT
/83U5IjzgRazLsR+5J6iR/A6WS6Y4J97Xl/iOV6aw/F2uPAlLtfwgldlv2NSX4RX0BwHAXAmgmcI
0sLGv70HoE0AKuxf1QdES5ON77dDFINsWTt0lQpcCa/HcW6J+TFGYy0HtXqPLW3MW08Jml4kAcBG
ML7Mf7MTF6OLWJiraOF1D8SH9HBRWcxVN6kAfsS+NlOcOzTwREWjc2EECeNTDS2bnpOX6KNuj8f1
V0yOR86FtZcNiXtQxO8+WmUpcKoL0diSiclR4ESQ73B97B5qWbTDeIN3VisvYbVmjSB/BeJvxGJg
IrjeK4Km9YgvG/dQeqXe5KeK7WttoUPgdj+iGQ1/gOlSRgJi6hxl0nOQ3Bl8R4225E045pLFh39L
7RgDMVMWC8nASVgJx3VtbeIg+wwid2gT8h1P8jSjTlJB50q5MO4f5ml3D8yoqI9TCBSAUB+psJuN
7ydhrgShUw3pJsmeAhnlYSOLdTyrzDB/wTNch46GpQ16MWxaCY14Sq6Daf0YNrkV0sZy+yUGuXGx
rm+862+aDJ2JOVdFSIA4oaxtWfoktdrGix+adGn3T6vkv6OH4ijIDcCajc6fybaJ65E8DkBiRw0q
kymveQqpaASZnm9qD7zuO2Kgd98aWXChU86c0S6EaNGaAIo+dNbfvBmGAPIuWR07NZg6UaywUDJN
zdD2Vp4lmJxVmqqJhi69WCWo3KJZdkWh6FTZZ+GvupAGnXad3XzLxAUMWliBL6SJnVjUG/8EPFhQ
AVAsNXpa7xrhU4hSI/0rkVWoKoYKRYK+0rl4jSZAkXuroDT/ESSmWu84zmqZTsLXOH1KfFMIQ907
FswM2bEnevwhFZsI6QP+VVtUjr09K9AYQAQIOUwIo9/AFMIh6kVW0NhhcfYXbMAIjLqn+wfl1sFc
m5jsST8H2UoVK7HjoR8zazYdNZE1u29jbjtejWOyFLLSeKDmhBGAR6D0NFQ6H1pdupYOg6URo650
Mbf6paBvaWgTBy01AenFHlYh4hjxuzKwRHHhmTXNtY+bDDJOI08xmgWQtJ24Gb71POKWZeZwBbNL
5SQUT3JUGy0aU9PejMlGA4NyW0Yrv14wfRtoXlueLJzbdrU0ZFXmJOrTh5QVlhob4/ZtlxTZZt5c
15Ymq1dqIk1zr86cPLIVwfRUi4XoftBbdVUder31F0KI2ZFB+1VVAdEZXcn1nZdLSRJqVYaRye9c
hRSTgvxn/o4coR6ISwHSjE8Gmca/xiaeku/kJBCSHIOrGyMMj1L9R8lWBXjbFs7AOEsT5w9D6PiF
cBNKF1OXrIRsKKIa6+W3zCiFDfW3CNoVwAO48CC4Tx09oWHLHw/hgiecX0AVSRYR6rLonpmkNrQh
rYWMY5njDpvC50zI6fB6kQGpelb4U+Huu3DhIpjWwsZzgc4GcEqjugqhmWleDJygeav6NHeCP4Od
nj45oz3JkC+0VPh9cWfU6/isLCuI3Ia712bHrXURfPJloCI5rOROX/+Rv5MGrVlujPjCKjkAgte0
tdwvMVzJ6qE99pF2blSj694VaGRTz7q/4NPi+c0UTGa96jwk9KmUO9yaNyQ7tKOzCE7tbge1jNio
QmiqDAaIaqwCdBKt3qMoAyVRK3uVF3WFbyO862kZf34xLUOfoz0xx2qEmwGMsegCQY7LSNcAhL5p
B7YP1z9ARnIn1RI292dhdkFQfB0ZvIFn5yeTEIpM5ZU0zZ0sz4ye4HXae0bU2aGI5BCELEEt8B8Y
pKOqHggFgAaaGGz7yvORNs6dkryBWN/g20PoeibqG2WGVqOl7t4Z9wHOa7x1oIKOtPQUw8+UgXP7
WsydpPedyE1XnMv0DG/jWluKaMerZOJAiAyHOMosIEdzAzCV+EQIioCNtDCuGa2QnNHP3lFcaGiZ
i+Eu7UwjZ49KvjCEsNPY8XP1PIDlX9DDI2cxs4HcOGchmDugOmC6dmf86XXvybfUdYJGfihUPmmb
JXWNmSAI36NBGZVIqoL+hevNy9M0hPNKmFPkoZFlodGWC1M7ZwEPHwgPwUVKN8pwYl6HHZFS5pRB
Iuw6RfWtUEHZ9f7OnAJAfx0CejlHTbZRyWmqLaNleSMUrGJOvhGNsRk6WvOWbJFdp+89g64HK37M
jXM7dmTFxlJub36Q/1qfXHSZxqHqL9awrpYFekNy4ST6Qb/g9X7rL9NdejnIyWrJpE2KusAgxW36
zL0FazzveD00QTwv71U7gILu+8L7dXZkooj5VbBD0Ol/vUGKtIGAKYqsTjSAMSrZoWq54FSmVYp/
lu7CxCQkIR5hahV1zNHW4jb8ApGb+07Nwir3guXuKJRZl4BTszcoOB3/e1ST9RpKQQ6yEqPyN+RL
esOEvoRm8Znugg1q09o2fFRt3xoVGe9v07loAelftHAg/0vH7PP1dAZeGJS+hvNP0kyXSgPJItfk
ocC1Sr2DgFeCGrKFA/g/2ATPNAFiVRWmIR9JodkTIf3sVJBDFy37FINSdbtEczU/pxRROsanaaig
XQ8t7oDJl/qWgSSerqJ1bHMWIiHfNcq9BHmTeif9HRn7f8IlQfq5FxCB2/4vy78TcHEDF6BsS4QB
lsmxMwsQKZFHdD0cB+OPZtY7ZWENx+14dQhlsBpCxRi6PIjAkP+7HifJszovQajjABuUGYXi12sK
MW+rwEvMvL9dpmxtULC9tjW5cH1X0MLUi5iTdM9J+Pe7//ChzW1y1a7XPF2VjyVKJfmDCyqWSifV
MfzAP/vPots2Z29T9nbsiUvbaWn8k3Vui9oTmIpvotIbSIgFZeMLT5z/zgbf4H092jTRKgQzIDCl
/WpoDUVY8PW378KrWUHy7noFJE3qFFHCF1Ttj7t23Z8EimzsOEitWQ42lLuz4UVgS5T247perfuY
dUFZFAhThCLokp9YzfkqaGhdO+gNsXL60AhbUUmNGArGlff3/sLfzDHU0RRcyyKcBPQYpqSPgSLV
jFFaOCyJ3/LIs9Mc+hd1/XLfzOjmJkNCWR3kHtDyxWNwWu9PO9KSGOLvTtl7ViY9BQCtthlKYkuQ
i7nxXBqa+NuoxNQmNQyhV+g5zHJDTbTDIGcL0zYzHgA6xuTYyG0BSebrJVLkMkcLUIDx5E4O8VLV
Pyu5nWlLJeaZrYCNgDgDQS7Sx1MvLgQy+JbbvnD6FznWZaM4MdmqNfv+6sxM2pWVyeHPaduomTwU
jsKnRhmeAmtAzvi+jduzRLCnQWeKdCIPQfipBhJ4fXJ0J4SlI1AOsN+GSeD6FIrGxLvGzEJCjah0
IyNvImZoosf0ruQiq6mipSrw3JxSHDDgZca/0Ylb4ZOmaHMiMYdXGj0m8ooPviI5NVwlABZ+KYl7
61kxblwZ4DUC2AkNiJOtEqZhK8aqVzhD/j54XxkTUeM2JRGFNtSgpTZbc/kpzvxzl9vaR1t5qwrU
cYLj82siNgZqEVSp0esJyqWj1oGW4P66TNnzkMsYvw/pSTAHo8g03cpRETUp36rMqQttXaWpQb98
aZTR+BC2YWlEz7mi+9Ka47dxFNiqtMm7Q+krK9W1evlQQAk2frn/SfKtswCiAqlSEF+AnEoVrw9X
XQ9R1akKYtyevTItMKpIXgg2Z3a8IqIpC7USSYMy2mQPAE3ld2nLKicXBlMMth2AYBFdcBIzGw1Y
aRXkGRBTGs/w9TiCulTYEJWVk0VbYfhhmmaGoWaI/qArUryQnZ3xSFfGJmc4zjyBprSoHFKohlgf
/fyryb8D+nF/bcZfM3HkWBNcS5KM+g5uqOsxocLSNYWf1Q6tPjl0s6kaoDcehOXEg8ifCUox9+3d
PrfwGAAHCdKIEioS2BDXBqXWyyWZtrXjqyupClF/8BKTlG9VJeqS5pQb9IsFitV/Zc/8LtpkzyAp
0KItdqpDd6W8vv85t/tGRvINgSdUTgT0xo5b9yIAjJO452I5qJ0kPVX0W032oZItnMg5G0gvQocL
2EHU8ibb35ezmAPvSu0U6OkMINSXIc/U/G/zzhjCmO/AIo5o/ikAM095WoZ1XjuDXeF9APJAcDWC
j3TpuXy7X67tjIO9mDDAzQn6oWFH7ZE94y01XIXJqhmgELNwpG+9xmgJZxpvc7Sh/G6kC0u+1Mo5
ikW1U0vUNyqhO4rgg11Ym5nhIJUt8AiXwVAGhu7r4ZTM8wYABxonNe3IQKpZlxfSvON+vj5gENu4
sDBZ/ZoyLUQTc+OgxQWUfJCc26j2w1K+fApnh9eHRvPIJsCLo1Dg1AEGipYVtRQ2Tiwnh/aZtojg
q41WAKoYnBP/YajzN75LNn3pbmOIf4L3sZPtksoGFO+9Zx/twcD/x4csNST2lAXZng6xDUwT5z7e
P3Iz64ovVRCgitD8uYG3qn0t4HHCGsdVS25TxU1gNWX/fd/IFHLz/+fjXyuThc2LoivyvmycZDjU
HmSXjdjH/Sz/8U9y0hnk6LVAp2rZqePTl/yH+nY4WJ4YL/iXmcH+KihBwgNdAsIv2fLFJm4y6uZq
WvYOWqN1ralB4X9/oFOSh3GgsACfiogSdGLTfq0mlVo+T5oeCQng3KW36DF8rl+6fXUCbcqKmjFo
RIOT6pv+YJUbUf9LrftfMJ74yQYnPIJmtP0iDATM6foIcX7URlwp9k4JfQma+IaQ7eKyMu9bub0O
MUzAMmUghnD1/kZlFxNJ4yzJhs7tHSHt1hSkEQQ8FWn6Ki4l5G5bFDChIsYytnVA/Fkel/TCUlul
lK/KYnB6YzC7jbTLnzywD3dGa6ZWvwPC+OQZP+FqeLo/wrl5vLQ7/vzCbpAEdcpzbHDezNPSy3vc
7dM1uvzd4+xe/G5ZDCsRSJLB0XR59dnsKnDbEeMhspe6Tmei4+vZm8RIfaFwoGOApd74TFahmR3U
jbxJ18OqfCvNP+W6X3E2dZCVhvZkYbpWtnDiZg4EwnIAbFFtAOwLDuZ6rIM6KClrM9Hp+jYy0N+v
u9xryAe6/E14CzIoKF4aigua7MdMfClKOyt8O0rbY+CCSx5JypwO6ybbD70lLumq3V436MEadQJR
ncAz8/dNdbEOhQ/iJdET0P6P9nwjGwACG0Tqr+MuByGLnFCbo3yNMrxEV/d317xlxMhgLwAd2zQH
oagZMrRIXjoFekxa9F6kaqLz3crbZOVbAAXq++Zu/R4aXCQI1KHXB7H/1CupCh9yQxjKTlDQA+Fy
G0Q3CxHPTCQJlg0e6TQE5Coh0mSrCb2SoKaoyU7lW/kpdFG13Qyqrq6S79hJ9rkjcnok6u2+SExJ
tiuIBwonwQ5MwWgWM4m3/un6Yya7LnSh/xm5quz0DzxICehOAPUVorDACLpNWa9VyCU/Dy+Qa+ur
tWhr9eb+hN8mUSHihLYqVKH4ERswTbdnKmt7cErIDpM5NHwakvAAzI2SnvNQ1Gm9jf2DWG8jdUsE
XRlUQ43tkHyCW6r9vP8lt5Wq3y/B1QsdF6Srp1ljjjCF0QEASuVLjdH1rcvVY+QdOSM4keCYgIuE
WyXswHbi1t/KTvhAj8U2fhy+BdcSdfFVUNZovdLWkmqABmhYuEhu4zEwLhEVRXANlzKoP6/dQ1SU
YpaH+Lq++qpBf1lpD4n08yNDP5pxeJa/3p+N2xoFZuPS3uS9w4E5rqUJ7HXNStm2e0eDTMD5j/P0
d2Fg0njRXjt5WAKfEOYcLfg3XV5eEo9iTBFxpCPEflUgNE7dYHuPgLoRG6jXeNWqets9or+vyHRv
x140wRYPzfvwoTQHzh5kS6zsQXkgdJ1ynZFDVprZ3CqQlwQ1bq+66y+dhAxVVFSNQhOCJplGpwya
8MOWyEvNDreXHqwgG4LWbrgJQF+vV1r0hc5TypY4bm9ExaBrMl4RjwHQZJ1f6LKvyzIgLFFkL0VE
txCBcc0R44LfSxghxxPLGoDdfcI1xAnYF9lxo3iomZZmA6LNfl0Fxx5N4TX/OAQLQ56d1wu7k9CF
9K5Qk7Ii8HwvRfCcYsXz/2jt1BGTo6hj0DlJGBRVy/VRNhCnDipnUKJ1o1YriXQLr7/Red9s5gsz
k/gdxUKfal1HHBKTFWljaih9/lUgKRtrTWIFcZ0vXFkzN+R4USFnjrUTkdi+3i5Cwlyo2fLEifP3
qADjv11G5BFQdb3lgrXfcdZ9zzA3QqgzAbI5crJCvvjaXkYjRRo8Spy2S3XZeyViuwrdpxSwya5I
FgY3dx+PDbdIwSF4hkjstbEkADYVdK3EAc8k1bkBrEVZmioLLmgm+kNT6y/ZN8qFeN1NrmS/5gjg
zKLsUJCLpSpYnKPHJH6RCTA5skWxUTpLg0Cc1YL3XwE31WeU2kwbMdyAzGnSe4hmqwqck3ViLSYU
ZgMGqgrgm8MjGWiaySSQOhhqMaKyk4bxtmKqDtFmk8P6AqDhU1EH6tj4f5yd6W7jSNK1r4gA9+Uv
ScmSF3kpl8tVf4jamvu+8+q/h/6AeSWaENGNwjQaU5gJZTIyMjLixDkafHOe5+XO9BPxAuZOZ9J4
RXn1rUOhfbNQ9f6ChHfX3ifhVmnsc5OesMHg60xVPs/3LZEI1Tg1Sm9yhcN/aGuKI6PxW9UHz4Up
86fnAo1utZfwCSVbdxS/1ltTXKsOeWZ+sT2DSsEOdyc5HRjKbAI4qcOoLN3aZ4CM3QQbYY3KxilY
c0yQ54jOGYBnwEVfOiYclEZvjFxanlzXNxS4Ingv0RHcOGvzb1+GE7SxuPd5RQKrX4QTo1AYCO4V
csVXMvzdTrVfLOf+xbf3Pyx7//smtB9EB13nvXESXGe3u7/9tvtr/7z/+fVLewfX9J8AlvovMGp9
PxyeD4f313+ev8Ab6N65/un97tZz7p63IFNrn+P8Jy8uycLsu6Ye8dZmapwh+mqMd71R7jvpUQKu
cX1/VrOUc2OLG8tL/ak2R1U9KUDsi+oWwKNsfFWzvfRLKPequku/KrfmfVTceRCxXze+dmud217c
WrPedR1lfBsl+a5SvOwrlyn26zY+tD2vOcAiuvueWBTNYKinO7gWh/3M2AOBGjRMMkSnxqzntIt3
g226KOz4zPXf1vc8j5Ecd7eeyGsJqGnAYQYYn4rw8pTHaqsoScw9448/8uHQzfe0bzfTY1jfidq+
ytKN/V07YvRE4LUi+pMQLXy/bMxSmDkTTqUn2hojVMFGD+HjbbHcXIq0xC6JFwZvkMtDDKIgA8aV
6Kc9+obO8XWy/+quav82dobz13P/PoVO6er2LgLF8eVgHJP3t9RGMePlz9Yg3No5P/8lixhmjoMq
T928Vu1uPHlKzwvsB0CIDXf6+EjXVry46OBnCMbMYMWpPd7C3/luoRvwq7Ytu7p//7V/PZru3w+N
G9dynn7374g02YVNgRlWvP3PmcYr3j/f5UhovrXOFm3c2oGC8FJCfAQyaQqtl59jKgMzC4sW7ggY
O9rxtlMOedpteNXqTp8ZWeyAoDUVMkK1fhqIFSYIS6hQWhhF85/XT+6q957ZWVwQtUG1uGlYTOsP
iG8ZNYMiZTxu5EfrW8as+3wRMTEw/4qzwoxYmZk1dYN+gkeIh8J9Nx4k+D2uL2Utw7T4JOCuDeoi
qnxpBGKQzg+yTD+NJpDJN2YSiq/GwKQoxYn813Vbq5/nzNYioMsi3FFVlOon37qbfouRW5SVI9Vb
SfNaMIOw9aPlzO39oQFxtm9S1/aVHpT6qYDMO1KOdS06Y1C6w/BMMjXQTLSsl+srW7kX+U48b7nG
LfAHC+82YWX2i0TRT5Y2jnemFJS7JpRupkJ/qKkSwcQTblhccUHEYtHHVqFEmPHEl9/NGlUEOQSC
ilLBaxRR4enq1+uLWvlcFyYWVQIjzGUII4gnUqzaCrBelbLJtE/TLc2YFUc3mDfgESDO/7EWjp5M
od/EEobK8g/IkIBp+XHYmCXcsjH//ZlTTI1o+EaFjSb+wVpa4yANG3Do1f2imKlqFDo0krdLE5Y+
dkkz4t5Domfwe4yvus4TXxXg+IoZ47j+ddZcjmEvgHsafBg8HS6tyX6WIhve6ydBzoNdF+RwVk9m
bHt1wOhUGgY3bR5sHOAP/fPFFUOZ2DCgjWNWks91abQtvKCVUpElQhD9YMDV/BbdvFVuj/RjiZBG
6Tz6NsKTNy9PT9+fTPfFHtGMu5fQjHN6W4YBsLe3cpfVjTj7TYuNSAVAhXA94D1W89qEg+nEZos0
A40YBJXtTitU+/rWr/nS+S7Il7sQVbCgMA2noxb1RaleIvmYhBsd2lUThBOogDgXfONLE302pDAK
SfpJnR57/8vEGFVvbpzvtRACwOx/NhZBy/IhUg8blTg59b8Hqfkt5PXu+k7p81Z8cpgzG4sz0Shi
1VLJZ6Tidrx9q3e8qZ0G3+E1zZ/Yrt7Rh2pv3xW72pMEv/7NHWF2LKhcbYYXcufl7/GF43PUGQgK
HbRpkJv0AnvgX2dSUqiqyGG+dQ7SSKJ90Nzn/+JeukJBBPoJwCjLU93V6jiMucHH1nx1L/sJdFJp
/l6M+lFu5fRRZ2bK3di1lU2jZor4E8A/SNAWm0aeHku9kRgnzfg6JkdeQDmKXXIe//sEg3F/Y1ZX
Z64fkvNLJ0vHduwrKTRIYxhhEDMld5OO7ntfm/3GkVk7pP9nimbppakk06pS0wT8ua6+RGr3pg7y
NyOUGhs6dM0J0JLdX9/EpaoRTeh5BAQkDQivj5rnpUk/MbEZpsbpvUEwuOJB9UY5x02ciHcW015O
8ljb8GntG9fc9c67vEMbW68ONAOu/5K1s0xyhc46Vd/Pg02ZppVDolbGyRJuBf1ZFP9a5D7Xbazu
L7AUnRFuMrmlVIRgxNrY+blxKoMpcuiBPaEnT2lGo6asPE3RzXVzq0tC5Yee96xNteTXBrg0yaHX
GCfo4GyNebTc/NlMX68bkdcuVLqm1MkZhAFAuIjsxhioQji2xqlC1Sfo73pYs7i3x3+G5klM7M7c
WybDkeJTqVOhU29g7Eu8u2yq7ewQCi9DF9v0OexB8O3R6x/8APIkRL3aJ3ELevx5KmF2Ng4RsFMA
f0yNXTpbPzRVXTWjcfKCFKi4sg+au56Hnn+UG1eTHJ3xDKeWrf/wHQw+gjrPetFvXITwqldMWDsU
4yT1KFAbRvMswNB241Fs3OhsfnQmlpH83NTsgWcJVNUzJyBEmGqdbj/wR6NZPsLnT7mCESVQZC/Z
cUAG2iITeCQNGOzY8SF+n5hdTOwn/+avv7PvQ3bBDiwnuH1+bh3rP2R5BrAPEJ1gj8TltUkBPdMS
GERO4aS/kgS96pVROt4gixvn7SO9+rQdJPvIsoAeRSLwcjsChNmgcrSI0dxUyTG2O1faj7vafqSN
dZDcx9D+29m/E/s+PxaQvEESQddX2hHrbBZ+/aR8vC+u/ZrFy0qaKasLn1+T6KOttq4F1+cfob/R
mhsvu9PTUxTUjqJTs7OYz0FYCfg98iv1ccx3ai/DMjvsIVlCZQlYtnBnKUdwy26h3431QYnuzIjn
dOw0TQxB8LsU3KZDaLfxY93uawFqYF6/jm7a4ilE1UxNa7fXEXvwj1oxOnq3tVh29tpa57TmzBGF
CEbwaTCICh3DhhD1Mrp5fTvX4g6tYvrV85uO+uylhTqOC864b56M4amZ4OwMX00FBsR244paq9gw
tAWp+wweAoCxOFM0LfwwyPhsFecmt9/hZHINciN6cja3ErQYFrN/uoMzvSBYsfv727R//1Zt/UNR
odk54u85/Rltc/ccu1QibDdythooKxUCtGBQ0ZjVenRFX7w0u1JuDCWIzJPi/xTHn9lQw2j2s8x+
Wlq5U81047b8TMZBKD23t8hKonIolabAnmH+Ev0HT9mXCObV/ckIuLWL0hZLJ+1tNXGtuzDqHWvY
e9kxICnUx+dGjuGhGZxE2imjggMiCg/qnqpp+qUu3UT6PkrOhNZgKthF+ZJ0b2b3JfZsbYoPsbA1
WbF6Lcz7Ng9xgAlZQjmHts/9UkvNU3I0h+8enHoBzaajeugQT1dPw0avda1kbpzbW0YlI9atoMRe
B1XqlKffNOub2AaO/qjljm89FyaRGnKEKdzp8TP0hZ42bWR6S8GEj7zr/DcsY1EAUcE8jXAavEcx
cLzsCzTjdojOjORa1g3TH7L6TAbjKMZ+SiE6HXaG+FMMq5cqQNfJs6XNqd3ZZZYhg74t1Ei0iwAi
L67JRgzEKoxxqZ7vf1JKKkD576JwdP028Q9ltBE/VsZQ5j47LVSyd2QQ5YULl0hkCLlfmCfUIJR6
pz1pYM9O/vC9dJq0tif4P/Lj9Zi11kg8t7nsgVNlLzzdz9l2ENBQ+OwDZzgIO8h77CfT/pYRJ6BD
cxG4PDGI7aYbvfHPY4sc27M1L+sRo17WQT3b14Z9U+t3XTGAvOxQy3P1+iYYa6epHyHKTbM7VXbr
fGswdI6Vn7/x//b8A4lydi20gx81Wo/90ipuFeHdVBxDPIoK85NBsOHjq/5E5otEGP1BuguXF0Sk
BtpoehXHepRs2KMcq3YTMtLIuBP0J1kpnXirWbQeSs5sLq49iKuhWQW4e1KUnXrTG+hVs7k0gkE+
2Hrzrfgqef9c96m1LJ/eO89DGIWYi1gs09SiEubY3jyFmug22bsIGiePX68bWf1u1GrhKoa9EpDD
5V6OVSupeWUapyhKnVA+eH3iGt6uUWtH2BLW/Hg5f3ISfATGdCp0vHovjelCB169JhAw/e1Gx+go
IovOgbR9W6VL5NuvFvdwAAsUXbjJFexfdMEO+v1Tft+732eMlGenx/uvvf0ncTJSOchR6KLI+69/
ru/KqofxlqPwwMZ8ei8Hgi7XWU8g14LsZHp48Bjfxa3LK2Qfj8OPuCqhcH+/bnTtpkeWBJQxcFAQ
GYt0RJTyln44Rs1asbOYbOQ+vWktqNdychJp43m36l1n1hbfomyqOCo1HFonJBbyL1X+M/Jau76k
1Tck+QTjjaiZ4scLHx6tNM5kISD0C29pW9uJ/qurj23/6vvvSXNIGrsF2CeG3EYPUXZKpcOgGZB/
5GBBfkXWwzgTBbTQUI3FrlKKb43f3FThTWHeFP3h+m9dOQlkCLD+wDYOB8pH8fUsgsWqMgU99PAn
vx5hzv+uei9MDtpx/1RFW4RXK7MIwPGAkwPOo7VkLV9KsWWMuZXMIYxEn7ykPATBzWQcxkq1I6Re
M8OemtiNKdJ19jDxX8pQAr9q/cbxX41rMzYQzjKJIttSL9iXpqYshM48Sf4u0HZ5fpO+tJWjUVgI
gEZLL/XW9bzm5ucWF9mAkap+FAVzWAt5q/uT8N3P4l3uNcx4/a7i/r0nJbn+abdMLk5W6+VtlIyY
HON4N6nk9c3rkDzmTCn7Sb9TBW1jUm/L4Pz3Z76Usryp7obZ4K13m9bhfez9Kf0XxBrcLOwO15e3
Fq1miUQCK3fip06l1spKXVHBOaUIlQjVnWQeesHWQTFCoGu+t8JGgrVa22MCe2ZRm4f2PvLgs+X1
VZ+BngCnJgORMW8HXk3+oXhS9jAH2j/UXWnrt3NPQrJfY8iTOvu1diaDp+8uSzY+7ewtiyvFpERl
sWzmWyFsudxpye9GBMepD+PIO8P/JRf1oTFMO++3uJnW4sO5pcU3TYQigWsDS4n3oxEre34LSWbr
JjHVMWHjk64uS0Wnlek9Lv/lDvtd4KNqHBgnmk9kUNFelZFp0XNHErdqwx9Ap09b+DGiAf6EluZ8
U5x9zbjoJr8sQ2NGn4TRkUGAyTjq+e/J7YTv8bCLg8KNv6LI0PwapfuwHh14IIDDtEdleB31Gzne
6kiuRSX0FIG+UUsiKC+xWWVsVZmQUjxOe7R2p6+V9KKau0D/UQjp0cifFD9/U5Rv14/R6gc+M7p4
vcX0FvQhw2hHzBWGvyAX3Sb/2zInQv9y42ac86pPm86FSMOVG5/K8eWmi4KiZyHKGicxTGUnSUAQ
Ckm5xfmx6kZnVhano53CROymgoKcdDumdOLoBnVMwfdoeY9bgIm1dxe8MNxrs/wmSM/FZd8rkAFy
dVMGe29E99eEircH6U50b774b8kGwmh1aWwdZ4QXPpoAlxs4SWWUZFFNWT/6bjYEcfVXXX+ThS1Q
y9qH0snIAM7Ms9CfEmQjTJQuHY3TYL6G08lsNlLNNa+bEbYf+TCK84t1VEbnNUxHGCe4mG2t/D5A
AmFlbyXSP73287qHzyFq6XTM2czbxSjOp5H4UumjKGLMjYnQ3SRXdi5/SSZ6MM815eutyLxWXgM6
+j9r+qLpRD8kkcFPG6esNo9K/iDmMEtF3yvhKGU/A0i1PKfSiGxBchclgVtUEhw/0+2QVDsE2e0p
/jbU6MXXRzN4M4bU9qxHr38OcgRUHAG2+4Eid3gXo5YiHucx4Km+hXfiCNe52XFwXxgRhh3EzgQm
R7J7SKzb0RbSF8MPbXl0r+/syhV8sdZFzRLqZy+E/MI41XLw0jc3pi44QOKZpLpj5Kc/NtJWy2nN
L5HmZM6T0iVxZLG7Pdkjkld8y9SInCgTH0yhOF5f1NoRQ7iBgTlONYWUedFnF4Plte0ITaVxinNV
tbtEthxDgQhATKkoFb5vbFx6yhwgPvmnReMVpQGIPpdoKEMM4rRtPOP08K7ZLlgXoJhvc4X//cfD
r8j9hSq3/c4/fZuWtDPX9VX+3OiJ0329vvSVkU8SdGameIzReIbX+3LtQdAzbS7zU9Rhp7R2arip
fhcHB709itOxG2KnPzU1TN+3ImC3KeDdsid3hyWx2aLv+FRWBCDGdB61X2bboBlbPptR0zWrPpjy
k9wARvUZk0z0oxeGh1h+AKXrdM0DAHC7lXQnlYRHtR3u6lS5a5mMuL4ry/jBDyFUwSMzXyl0rRc+
F9dBE6h6WZzK6SDDGcLLOL+xGCBDwLOFk7V9kYVwI8H7dKvMRpGhJfgqom5oH+QmZ14YTY001TMd
XpWbh87/KZTPZfrN8B4t2ijQ0WtRcwjHL778b/vzH4aZSteA2pgyTexLFzDHHBJbCbJBSc3+aQx/
F2l9hXjDFhJ9zq/OvX62w1CQQQIPExTt8ks7fezFnWdaxSmOoaZRk1S39Tcv0fSNr7e8aT7sQH9s
cmNSh11OwUaJGFHbz8vTCMEysoO2OfmO1od7NXlVtgjGl+HpwxgtnLlKhwrSsubrhxC4hYIErRZw
jWdJyLIb32ysjbC7tqQZ0UiOTG8EKNbl1uWUcz3DgqOpUBxqXAdzlG7KyH/o6q+9uJnffF4THji3
NakpMy+wjAksGZUx4E4n+t7UMgTLNm/HFqHO5lG7SVHh++GhPkapPTV+RNaWO35eK9orRCSmhOej
sOQlEcU+H3UlKk5JV9qG/4MWmaMg5a1DNhRukUesLPXC2OJN0MY5I11FXJyQ8qN5QLO52Hgifxpt
Ya6K8jw4PRM2Qb7gwgT48yY1OjNmLNza57fSnXos/2qHGj4MOteQK9t0OsutysvsEZeHbbaK2AUc
ovPgzyLdik29VyoZq5KY7IZacmK44KPau0+N4vl6tPx8ri9NLdLhliLiXPmJqXbWUUjt8CVOth5v
Wzbm73gWHIUqEqAKDJNT1mf6rDsRJg9amCK7lTfN2/X1rDjgxdYtPlhqJn0KCX18QlvOnvJjmeCA
5p2oMBllboA5t2wtDnYF2iILDT6T+Jzre214Q4o3N50kNXbXF/VpMPP/u+H/OcT8S852UBsmvYhS
LOnRIZ+cISD9nmn4RiX4EgSVWwhf0ui+T8ABegCaJXN//QesrpRblccu413Kckjbarw2gMIDh+xR
OfCrb1Hd78UxsBPfI4v9et3aMk+dV6twm+F3ImPhy1HnxhhRGRRjpBZK6q0PbXGjouqgHYT4wauf
VfHPdXOru3tub5FCGonM2KuGvRisl7jL3MeX34U97SAh3ihKreQJF0tb1m/lqU6sKk4Sbhz0Iu/S
AJwS5fMRhue9XxV0AhntFSq7GLYgEWufkJEk2BvmDwgz6qULxdVoKkgtwYQ6CG4IzdJplrKsst/x
FtXSatA8N7U4F0FcGmqVY2qYvoE0Q/PbluVu7+X04g95PN4okGVOvS3IgMVp8oXeXq8Hu6Y7dv3L
fqoafXjS2aIX5ybw1KnV9JzIcyxP/a5zBQnQRL9rX7LH4FH+7j/0T81uQpsMgQ7mXLLBKbfGmFa9
+ew3LDM0NS59OibJSfXfuT+md8M7MaXevqa/xWzjvtqytfBkLyE7680iORn+TQaULQDpI+xL9OX+
6MZe67YKRB/ZxPKmokdGogFAhZnxxZOS/E32JAOFlok5/D2jnYPwC6FwJA8P0vQitH+U2256CHX6
Kqk7Vbux3eve1qGaM/rlj4A0hcIHpBr8hsWPqGncj5HODqelIytQ4qfvqWynnl3+mQbb/9eFv9mr
qIGAd5mjBqfp8ihVghCnRpOkTFxX4CM00eKVn0VS2Dh+1Ekt0CajbGyja/N/0ggVZTsRxSSzS4Bm
/+G6oxpI2kgzDlqIxVGro2FoxBIH19R6L6YHmTM9Jndp/jgkW7TVc4T4tM1nthaHqRQj3Tf4X5y0
4tmvUdh8EraweZ/fbuwsc3CyOmcdfNLLnY0VvWhb5O1PFmL29HrL3HcD07TH2q2G72akbQSINXvA
29m/mdvvE1eb3ojqlHVlgpTFgz+XOf/q+tHv7kb9R28drgej1WuGQX1DmUcNGcdYPEzDIDTzEX3b
k1e/jRHqpHYnWXbUDdDeSbYo2JmvO0Kp7eTp96hvRIa1lSKcMVPbAOJGv+FyZ3OlysKgi9OTAN4m
TYMHwd+nBuW7NnYEc0fn8vpq1+zNj0VAcKQNiHdc2qt8RQkHaUhPVSjeasKdVM3z6S++6hqZ5TRt
u1WAWAt9BiPSnAO2FtnxS4Nq0qHGnaopl3gBTUXjPf8dA/79za9ffaX5D44DXdMsKYPHfqItHIx2
MhE9T4l7HlrkNhLJdgKKTENJu8u+5IH3dH0/P9Gj8u2QvKDXz7iaRb1n4T0GytdShQb3aZrCZ93j
DsuV01h+Vdq7RnntrP45Mb2HXrGhlN2JIwiqe7978lPxoZgYfSjRYg5/C+Ft++36D/uE5fr4YfRk
OUEocxjLLpDlF2DlvCRn0iU6hp12VzXlL8Uq/mjZwdQCu8fhNBB6ai3elILsVDxEA9sPSF9Bdey9
SnfEanoSoptmi4T5E7nQ/NsA1tE15tfN0PdLp1B00M/6IOQnQ/8LCdvjJEe2SS0Zdh5feMmi2K2e
9Sl2245xEe+gmrBswScudMfJG+xps40121uEUEjUqZPxMqZ9/4FEOMvjo7RSPaH3UzgEPUdT4QJR
jewh7CPZLfwv1z/MSsJ3YWsRrivYdHVvUudcwBXaGzSwnZKNrxM3NfSNK3hrXYvDl/phYtbmrI2l
BDsF8S35iyA2+6zfeK1+6rl9fFBgkkhrEFdIZi8/aETNCEYwwljVyzdZzLShmAIrtwCtxaLTxqIb
JMp+8gLXSLdQSCv3H0ePiqvK8YPoYrGhCBGOUdqF6ckHe5CHxjEeq68WJfvr3+0TSm5e4wxFgZaQ
6Xfiy+UaJXQgjdqr05MSRg9VPezEsL9v/S+t8SvxLbfR7UlX3d4LD37d/1TVr4m1BZRbqazATgYj
F91dHdq1xWOhbCtlmryM8KariSObOWPwlv53Y6HyymkAcsnA1KyWApnv5UKbZIgDrWKhYfaPmfjH
NEh32qD/GbPhVrMyxwgNR/Oze63XHkyRoYzBvf4L1tyWC5FLkQ6u+mluSy46TS2TMj3lPtYa9Qip
p422nF3740b8XnMefBZiWJHlIsB3uVY5U/hYfZOeglqUbLO10IpACm0neYCNr69q1dTHLUG/jvLR
4uqtacXoYdDOprLdMGsijXV9H1I0+E+G5i84D76RtF2uiZds2YRGz/dTVNtvvoa94Tbxv5xynE8D
7EXw3KrI1FNTvDSiCGqQ5haJhCD35q4z5D99lYugGfWt9tia09PGn+fAVEZXl3wTXpoXqAOTQVRC
T7HoOQ+HjQ1byVHAbUHOCe4XErdl60jrOtMayjw7VROStkxINI3keBD83hTC2HjHQFB4KyMBZUWu
AFPCDReVuAWeX3EPKtG0K5g1M5kcXZy6UonGKmi67BTF4BWoara2RWvoug+uZQUQIIP1AdlsMiax
CNRpngSmXiISh+rlN2vXzZMuUJScvn7bjUxuvrWolG0B+VZ6ULyz/8/osrpiFWaqRilG47pyS8sp
6XiNuD8zq1V0bCxn6Fwr2nnqoYghGrsVhK030kraCxsVwDxGvBguWm5ulyOPrCpxdoorUd8bYeDt
qkId7LTXmYNQin3FtNF+UoqtwvvarQGVNkogDF2Dk1kSaafhkCPANJDqGGLxsxSbHnjMoDqimPfH
sDFnj5Kim2IMQTunpe70ltw7oRSlz5kuCU6iZPX+uhOsbQbYGCBY9H8ZXpnD71m2MzAKlhQQPJ9K
ITbvqtySdjV50a1clOKtX1r+ruqL0dXUQHy5bnnNx8FDgLiiqcP3mP/+zLIYjF2amujECdq094ru
kEXOWIo3162sZFh0jWBDpaQ2M30vQpNoBdPQTChLtt6uLH/K3eFbr/2zWQ5dM8OsA9g4Ai1FlkWY
FfN0qHOxYhuLmK+YRKSOg3jsJ+Ux7yYNTIKyBSNbCVQz6xotCNIPQsXi9E5pMKRZnBfozSi3UvYo
kWQh6/qQK5KrJYfuRtxUGFk7vOc2l4z+WcFET9PRt236L6b/EIo/OvOlTcRjSlUuUR5VRCBq+WkK
VTfNXis/vym26uwrN8DcOkOLgdfMLJJx6TaW5AlVPnXoPZaTIww/6nwrf11JeZgGBMVOg5p8Y3nH
iInYxxBr0pyOD1K0Ey23L3g07rrurU/epLG1/eQ1iXf9xmjmSqbzweZJNJ5j/5Japxv1wfMUXo9t
Ite7VG1+KnGrOLERinZamFtk1Gv+MwOsJIuzh2bnYiNFIc7bdBxzEqt2AmgZiogzennwLHX0fzrr
WIIKOVZdVNqxJIgbudZK3CFpJa9TZ4pCCjuXnzGnsG1EoUAT0qptrQ6c+CGKk32lgDjN5lC8sbkr
bsN0HnkQ41ukzUuUi+KNcacUFX3I9puE+nDU//viDdVVBreZU4ct11hkdFGip3I3cRwjRa0O/lgE
dq4N41MNIdfJymVGdQTZvzFL39hoca0E0rlSBUMWBL38Y5Es9MrAoH81FSfwbdSrrOa+a8dDNP2H
Vi6xRpfBrpkMRCmLtxWwnlbqRwSuxmlwAl9HynN3PVivld+ASYCSoaU0d6cXt1HHsEIuW0A0/Ey4
BYz3pYOfrjRchnRsv8tfAlRm7Rikez8zLDbJvkn/rTQEuSwzo9B1zEvkil78BEjxfKsNAWt4cUgb
7bVu/15f5JonnhtYbGNXQyKuaQnSk9ndIH4bcs++bmCtgQVh/wzxYR9JchaPU60QAiX1+FBZss+6
m+poea7q5jXc0FrqSqVtbvVPVq4/g1SKdIoCmEyCc3maM2YVo3D0UYTzUIkIxAcjvfMYMlLcId9f
X93a9sHHTeBnFA6xwkXYSqdCNIu8RtLWAOcHdY7o+Em4cZjX1kNuIgEqYDYMovHL9ehiLOd1oZYn
taicdpJdMUd/oI7AofbPvIg33hzz/92i5MQTXuJ9O+tsgJ2+NFf10WCOXY5CWELzyx9ujVa9UYjQ
drCxsLVYwd7xcJrLzJ/aMBSVRV41cXViipKpX6t87OM2hxN7w8nXNpD7U5xRO7yhrEVMmpKxHepW
rUjukn0vBCepuBmNnjZ/8SJuNTNXXAI+Dp4wIKwAFnxUGM8ySb2ogjhCbf6ke/nbZA1OFpUbhARr
JsiygOwgHEOtfHFdxWkP4X+Jg1d1l9iZ4UW7rk22Wh0rfoCEI1FcobBE5rFwO8sj/iUSwCq5Mu86
AyT3NBx1PXW78Ob6KVqxRLIKWgZw9Uez49LjBPqtTCLmzSkFCaiGf5r8TYxUuxQ2xkk/79s8o8cT
E6gYZaolVEwW0iJTO7TW9Uk0HwfN7H/4JeXN66v5nMpghfYmeByKcsSFy9WIoRz1kk8qkwXdvdpn
mSt3nuQqfmMdvajxUfw2C8ahamFnNuOWBOPnvSTUkpOCJSZgQFRzaX2omiLnxsxPdQ/ne51E2rPq
GYnr5QM1ssEINla7Et/n2E55FaQHFc1lojjIjWQFalGcZsEryZ6ERrqvxci0E0kw7oc6ix6nmlTA
rFLPg7LE09/1rgAVnvXaFpLz80Hn4xLx+UU4Ep/hcvGhnvaB7vGKC6XxDW7oe0X8nuj7ti4dw9gK
yysPaKzp8NUYDAdIpMmX1po6DvpKJjWPCdCpW9dF+Z0Io0EjAKr4eWAQK9gJWalZLmht9R3csyrf
92YvB04fV7ndKZ2AUNIwGcXGrbvmBRTAZlgrIZzy8+VPq2EON8JSLE5w2Iz+cxM9V6FT9Ru53tp2
owgOygjOOF6zi+2OKl+LutQj16tr/TD6uXejeSF49zjSoJsOvwhRuSUPvroy6qEcYYuNXz76ulHM
IjUinWgQMxEFIXVyLb01yqhwSr3+ef0of34XzMVXOvbkXyTqyuILS2mj5ZmMMWju7bkfYkVo5YzO
6AG7j60dFe+Ny3cteJCu6yabStVv+TLISZ/JAQi6dfxFFn8U0i4wbhXmhW9r9U+kb8X4zzcwCzwz
t/iCfVtbInOEQF2i5smohMOgfwdVtCU+tuYoOkWPubM7zwHPgfnsTlThsSyNjPcOf33TJ/6+HsaH
oeN9ICcnkdb29c+2ao77nucVcf5TTa0dhLAtRrzfjKWbMABLPlnt30mB+mP8HRRboKHVEMhzax59
1UjY9UXCKUF4WamqVJyq+zj+p3XlfWW68e+6tZGbkb5+vb66tW9GU3dus9DUBWB9uZlx3Ao1BHIF
WM/BNmrQ8QzVQN25sYlrB20WV9Z4YjGGufT9wPdKy2jR//YS1clqsXBHzf/O0O4XQdXfri9pBRXE
YART6bNQ7JwDzAfxzEGk2vACIZYxRh0WyeBD0Of7QXYm0Q4VZ9J44hV7eXwzrC8ivKG9RvLWP4rG
wxjur/+UNd8hqkB/CehhZt66/CVZM+RKUiIqWqKKBMNgeFdXr4Z/0MQNQ6vXx7mlhdfEWuLlXoBY
aAz83nBaJkuT3+gHZIF9zHvba+2wdqdNJpU59F+m92z1POMKBwM55BIAFDZTXJA+lKdJ1B2Jom/I
8GFS9UeIdO0EoRQa2V+jIvk6FVtViRWcH+0D1PB4yM5Y82Uxq0rVTE+iqYSv2ZZ5XGShW5UPTfU9
NVQ7jx4S6UWTf4rFBBrjLs4jt02Fp7HdenesfGMSIzyNaUyq68t7Sw6Tkh4RO5+OOgRbqSP3nFTF
3UiNVg4qQRwkAXM2xozBuHQlIzemJPAE9GmZZ2oADIbyXRKkr9cdduWcXlhZhIMxL2HNS1HpjZLk
Vtcd5pBsai+7Jttw2NXlUIZgw+Yp/+XcVO/noaaFZXUyu3YnmsltW8jHRhn+XF/PqhkDvRAJdsNZ
Pedy14TWLwdvYj2JoFhuRXHUicukuQmoLWyEuJXLdn4H/M/U7CdnUUcQC63zY+Ysgg4HiB+0yHeC
SPgSNgLMs8yuxiUEXd5WU299hXQnobydqeQXz7ewM7xK0aLqZJGkJofwt7f1Bl31CfCGdFDmEcwl
IEDzctLuMpgfvJHNhMUuJ/tVI2sX5xtP+DVL9HElrJAm8Uq83MK2rOtxjKrq5IOsCBPdVeLbKQv3
ZfP3ulusADl47JJEAM2xgKksU1qrlmRh8PvqJOVS+xznY7WXinH6lWky5BlFHtmFpN51oTHtJ1G+
bcJc2jjPa2Fjhm9+AByABy08M9KntpJ6foERJ66exnY+vPrCPhTUfbnF4rbmI+e2Fq6pC6nXpk3H
Yft/nJ3HbtxI27aPiABz2JLsIMmU5Bw2hGfsYc7FePT/Rf2Lz81uNOEXGExauLpY6Ql3OA249b5Y
wz/3v+ethaPfpZAn0rkg1LxcOKmqrTDMcE4vs89RftKrH2Azwz05lvXy2Tw2VC55ZHSIZuCpNtOI
cqMeO03BQlycqvqkad/vz+JGgK4A4aV4oKHYQJn2cham00mmyAhSNCkuXmLm+b2Qqkc55b8aO7EP
uchlt6kac2cv3FofiiME6qtkNXO7HDgaOmkyR4hgeX+one9G/N7udpoSt26nP4fYHK12yPsyNmTi
g5yuBx4MuCWe6nL+oDviIMuvuXxQm9P973lri6+lOHI5zLK5gi+n1XerU6jMtDhBgzH4g/6jQdht
6D29jXaqMTdPNDoxBLGkO8BBNudJHqJEGWyzfW5r9aeUyMoRIaXIa3Wj8WE0KUdFy4RXFVGJMw+A
tz4fnZ0E79Z8ocAD4CBPpvG8+QlOMURTGlEZFN1jnTjvSGA+RklyUiLlRZg7ZbtbewbPMuqd2C+z
dTZHLqVZ0g4JZmKxkh94bQrYMKGy86bdOtd/DrIJOqKuBDirxuJZJDC0MW91XqXRrZf/4d5HeZjW
J0cbhMpmGAlmZxz2NQG7M8mBqhQeYgKPXeroPqLxe6zwW5NC7wQ0DygY/UoOJRQlrI+JMjvboHHb
dBCuUNrRz43mHJpiz4L3xkKt+ljcW294l21VX04tetl52D23QrD3TBvptaLKQNDF0s49cisLoEnv
wIFmU5gkW5cnTtHCzInbXiBEWdcQL/4rU4DdSaRr/jwtDp5I5nS0F0k/572sHTu1KF/G2CqPcRHb
4GDrYWdlb0yeRgP6BuB9+NRbi5smsefOmtKOVw7YWWS72tD7prZz0dw6/DRoYH+vlRUykU2FylGn
po/buH82T07zGNqHpHkSVkdj7aGqqqNqJZz8h/u3241txJhokpOnk3nZm03bWVYKUTjvn1FVsOkx
P+fVz531vPH1qCsiIERYyRjbGKEMi4lrphveQsre+FArmpv2svf3E/lzlM013eVRo7VLOzyPi1vP
X3rhV8rrSKf8/jC3JkP8uEJLycpZpcu9qU5pmIsyGZ/N6tcYP8b4w4l/7w9xY0koG9OmW3cbmdLm
TmyVsJLpLYyre3mafK6BVYeZenDK/nB/oCtfLGoYlMNB31CaXxOyTdTdzfI0xlI3Pvcp8Ps5rt+1
zVcK43Psa8jxODmkG8rUmoOFkPKhtZ505/sQeb36oez/Gc0fi/lSlUiasaCtTp3iNS9fzOGzmZhe
MoISExlu3c37+7/61ucB9kcbyXGAZm5BcUmBmdwSKsjUJqlfOn4DW6czPidmsrNvbw/EprW4jHjh
N4HUPKM8bVr9+NzVq9L309BoH6Kkep2jPNsZ6sabCyyB+i2aOlzn29t1WuRpyjJtfJ5PUfowmgZq
0l5qjm67y/e+Dg8NA40beliU3xzacpcbOBnyaZJTNAjMAZwM74V4Sv0k/rdR/qul/+4vlc6fdRnq
IiBhAx9jqeg8b0NdbbCAXiYqebgxuRN3+LQnPnB9HPGKAF+FEQzFMkKRy9m0S2NGXbFWo/NW9Smi
uaOe5HAixp1A5TryZCB19Q2mc8DJ3Hy2tFtMgr+U+khuCleOO+DH9klOTLiYhbfk8vP4MmT5Tjx4
4wNSFUI+E5g+9822sh9OVt4tM0mrojdB3po/FKfcuQRuVGqBc5A+wjHiK4KouPyEk9zZZpYQcvbT
svj5olheZWG3IWKEnxuReoOetH7W0qlSY7vzJ7SEQyQzdo7Aram+AWrR/eAJ3Hpk9HVe25VMKaXK
lAMK0Qc9/Of+bryxhHS731Qf2fugAC8nSuMkHOKOEldd126RaAX9ioFCVxsGta4IP7L1/0IVTKe8
xwS4Pt6E8jTG1olR3DDXuf9ZVBkMgzqf1T4nUX42KKyYcRCt4LUseqfpH+9P8/raAnuHZotGfY3K
1HanqjqIaKiyw/MMuPGh1krdV+049WMh5gdLq/YU+m9Mjs8JxBGMI6HL1iBL7eNKKYaK8SpxBjP2
tQ7V3pU61DH0eXjUM/14f4LXNxgT/GPA7ZnP5iKq1WZ4RtD9rMLZwnLMAl21sEOzUD3BJjvdH3Hz
SXnswcCR0JJQI2FxlaUoeqSNk91VQZMqlgsMsHzAldj2dCVdnnJh7DWsN7fa23hUglefSJ5/eB2X
+yVWRtsI5aoOLBh+Os3ThAJ/Y/24P6stmOttmNXzDmPVFVC9TTYtvbNzGocMk8JNQTHYeFTCPndF
imT3Yo3av2LOsw/DGCE+Ms/WU6jok6+W4/g4J2Gxc8Nu9tH6awALraYqZBk4rW0iUaemX5moahdI
+twdlSX5XFrpJ9NAfMWJClSDw3bcuftufGeeW1ABdMT4ztuKRVl00ZJoWhdo7GDIx1L8KMZ4JMxZ
4p0ttMXyv02PF5Aq8WpKTnZzuaZ6VWh9vagikGIls46z4YRgb3sIrE6WSAT5iZk1AC3b9mtcZYN9
kJS67N1Kk6J/QyMzvvXdIL3P+rm13aJf2tA17aXUXCRBqvbQtjhzIVRcyrELw7jeqbtsm1Fvvx4n
dXyTQYKuGMPLXw8DkOepsbugVfIaa7Eobc6RtRR+VVmYVXQDMqQijMpj15vVKZMm+SeQR4EDSd9I
R6lJy2MpS/1jmjjdFz2sUZysw3ZnObcJ1NuvXPsooNXpY1xVoLJsiee4tLrAQtcD4Yu0fd9JEeCw
KV+8yM4xtO/63DNMfFEUYUpuZJfKzkK/nZo/gh5+xJokU894Y9GSWl1+qmoOayuiGBYsYWYrfqGG
RuSr07IShEMLP4+lSrovnO+wP8aADftjCzZUuOU8Rf+MuHYCMBtFQ2SmDM2LXeDa1BpG+ogoSxnR
L7Fn5NCww8QpJI7N8p9kngbhlXmJMUM4RNonAyoQEhxauCyHfOrDDr2wSf50//K4PjrYsSAVgLAI
rk/Aky9n2SbLbGbjLIJKVZBwbjsFWjKpw2A4u2XuNdDeflHeFeJjbmC6H5sv2jdrkirLjIWsuB9G
uap5oktjyBih7VdRGH6erAoIpRTP51brOQjq8j3XYKncn/Q60PaHcFsg4IKTLon65odEVZvUksH+
qqzJOSCo9Sk08+xcjgmlntRNzLTz/35ECtJwXRGE4i3f3BpWpxttpi8iMJe6clctaV8sOt4jvRkd
2GfjCSiceLg/6CZQetvBVDk0kgMTJYhtHSIZIhvylCKCckja97QNE2SNysq3mn4+EA12p16JdawG
ZlwnFrP8X4YH2s85XvmpW2SEjIRS0fcst1mbracbxfi9DBv0/x39V1Z0xYOJ06OXDS2K8qa5hzbZ
NmTX2dNOIVbjRVzR6Ju0z5Bpd9uhNASm3CUfc7PDz0GXF7exJ/OUNGVy0KZkPkx91XsR0fuxE43k
EeZ8QD009ESjNn5VjtFXaxB73blN6PP228jUQaEC2UOqcXPq5H6CmqWMdRBFVB5sAYtj0C2P7ERx
Gwp3720aaa/IF2ve/S1x47jTe1xzOchhBAKbnU8vqR5oDbbBkJZ4qLdRB9nTkcxePoU6B39nC1wH
XPCBEOWnEEZRm6W4vF0Wq4/HFB5JUAGAeJ/rcL50nL0826hhd+AalHy9P7/1D9ycbGgW3IzQdGEI
bfPIJErjdEmcNpDUdDlK68aj9r3XLbs5rbV4RK2Fuu2W/EzTZgSGFnVBP4UIeAtl0NrMo2xVS69J
mC9EehK21ctOFnljWFruJmOurh1XYY6ZLGAA18mp8w/FAIYG+LuQ0PGJxE6KdWN/EkYZ6+4EbkjJ
9HLdrFpx8OzMuqARrS9yw7NMcTBnQAvgtWqrOuG14N5fuRtRLEEJFQaaMJDUKJ5cjlmPbZkNfT8E
3EzO18jIv05mXh3qvDD82MjmgzNpyIYStrpZKqGrbTo0RhPdqN1pCPekF29sJANEF/cW/1ixQpe/
ZkKHNuzKZQig8+of4ilajvnQ7VXjb9zQlAbR5lTQeNSvpIRrGgxNkqhDkOnFS++Ex8yS/VlCnQgh
2hZJMUv7NOrxToR+Yx9RNYKpDMKTr729mCdlKUtrbIegjfrBjQHkKKL4IXfxudHPO6t6a4Y89cBn
0TCG/7S5AYqKLLwLjSGQFZF81EKpN8+FlA6Ol4owfTHTvvyQhXbtuLHGPe3LmOZh+tM2xS8t0rPj
iDq1m/GMvUR1Mr1S/P7e4A18JsbtHtpMUl4HLTZ2bslbH2j1XV9LqYQH29ZrBD6sn+poDASsmNFw
BlAnw09tamqvbvPT/U9046xR6YSVAB2BNvL2jqzNUSvQTuedmtrBm9sFe7w8/yUi9Uc8CL+rAWXq
Yi/uuzUqElHQUSlQG2T8l/s77c3e6utkDFrT+NgV75bm3yE/ZSFxiDgYcrzDCruxDbiz1pLbG+Nv
mxTaY1pLk6jGoBvM8xRZSIt+KdFlrbODo5Wn8lc4znsXyjqFzVtAo4KcUIettXrRXk7RnmH8ZHI+
BtZq81wXs/0w5OZwjHg5TkKXhxNitNU5SubMLwz7G3GmOCjUOt3CiU8YFu3xwG9sq/UR5Jpb/7pC
zyuRhaFZ0Y3BSB3nCX1UcZqpTJ/Q1VcfpHzZY/DcGg9BV0AdnD/exHUP/FGuWvpJkXqe+UDRF78C
Je9y8n5GWvWNWFT8/ZkB3Ug0Q0luBZ5tNlQhHGEuaTsFfZR+byjhOMt/tTF/jsxmB5q9de5aoydq
b2BSaUKR8W8FGFMeoVR2kj6YTXX+hJ7m575Lv8vNUPtyuixPkZo7ftxq1id4KpWXj137EklLhm1a
ksSukxhpgT1N+dvsTVxGp8mpP3ZM7BhSwXXjNFTdtMqmE+op6nGk6rBz4rf9GibAG0eTbmUWMJVt
/NBVkmW3XTYGqW6lKA5Iff5A6mB/jCJE1ochPUeFaN/niR2dYwuBZkUFdT6aJZkuBr3HOsala6an
4gu6Jqe2SZ1j7xjiXA0lOt+ZIo66hKOknNsfcNuS/NjpyXNgsnkFt5Cf1fljMgygTwexp4NxY3Ww
EqDXYhN9gbfYYngn+FxOW4gxaLK+9gEWJR/ToYs+JfTcDuM4tIUbd9pnqMWzJxZtPJbWPB3UuU39
oR+XQz8DD526QTwioR0+2lxQXkuD6+QYkXkqZyN0SznJ4bw18iHtK31nI1+//Pz+Vbh7FdngzlpD
6D9OTSurWR8axhiESx1CX5VqVJrw9Lh/61+fTUYhgOTR51p03nrnf4xiwymXs5K7QBeS8MtMWd5F
ajUec0vG0nLq1Z1ZXd/3lOMBuKw1QsKZLT9IMTutW5Z4CrCYUzF8t8Z3CFgtq9vxcLCyKvaFsKvn
MTf2ZBhvjYzaFFUUYOTgyzaRVDYgWxzW3ELdVIenRI0+pwuSreNgoAAtq/M7IbRT3U179ezrJ4eG
i7YShKndqBC+L9fRLHoTL7Z2CQZxIgLzUQia3hsmlgPSaa69bk8FbU2dLp+bdTz0Sd4KkcjvX45n
0VSayzRZgrEeT2qSuJqS4+n6vlF0byn35D1uzg4aAGYzhCi8cpejzf36wY1+CVB36P3WacBxOJLG
STccV8H8QgJA6c/NWnUyzWVnN93YvRTSISKt2TVlxM1cJ2ozgBH5tqN6nKeHNA6G9of9Pw1ClgXV
G4GpLYxP1FpelTOKma0ifnRK4Sf5j9H8HQ97CtM3Vo7ZYHfGAqIot9XRgrhmKaPcLQF0n7h9kdNn
o/8sZ7OHQtj9U38jyVlxnkyGr7/ic9XLZYunUDLl3JmDqCV30cAbH5LYTzOvowihe+KrELnbqgAj
DX9n6PWcbfanSe8WSDi7ZuUJXg4dhtUg1GhZAjqtg0eZToweb5B9ZLcYT84UN65kJBTnjLjwZwuB
pLgZkp3UY9ulXJ8+9JEohZl8A2Jr7fJX5HrfTp3FryhVX/safqLy4Zuu6tuuB0L5/pRvreufY21y
j6jrY7vRGatPFh+TloWqjvJo5LHHG7OzsjduOdJkykTUNjkPW4nHRZnUaap0OaDu8o4GgD0S1xn8
U0P0T3xT63Ynor6u5Kxmh+A91kG52DfBHbX3qcqaWQkSI3+QyBo+FVWfuBip7oE1rz8jI2FQa9KL
RLxmC443ccruujFUgg4pW/W93fwazEdZ0M3Cx/7+it2aFJc1NUOiOlo5m0mprdZaTp6oQWmP4qls
7dg1bMzh+1pI3+8Pdf3Ma9CY355C2gzKVhdDNEprRcasBelQ1ge6Pb03LfbehK4vSnBm1NYJ+NZD
v2WFTFZZFvIoq0E/6B9VvDfk1nETY/HaXD/dn9D1i8BQXCnwtMiygANfniwyC9OcE0sNUFF71WRf
kd81i3yMZvmE0MKppWoD232nJHW9YCtkkdSOJAtU7db5G92nMXPEoCFhHyJpSjNDwp5iQAdzZ2ds
wYRcHIy0quHyEBAKb6E1ZbtEeVowvdoUSmAM4scgIPP1pVkfiyp6VfQaDJGEeNNgKZGfKc3icv3E
7rI0L00i/lIg7e33EMAb9DiJbKgEXn5uSn3DqIWyFtRZ6bbFby38cn89bxSw39okawzNJ76yUbGN
qMWTUNGCTpfT1FV6rUPVJEQ1XJ+5v+RObb8kTTKWPnkGeY1mtDlIYhB0wusSqZ8OYy8myYtVo4q9
HNcbfHd7UewcpBvdOqRtyWdgheNRAl/68ks4zRTX6WRqgVV3uptnuXXqs3Z4qiKn8WeIHJ6xsOs1
Lew9pbH/6aV+3tmGN44ZImNsQdpLa0tn87aNRmb1Y9vrQWr/1PpVTutcOsWxCNWdW/fGIUMPaTVh
hR69ChheznUOtWhO+05Hh38G2jJ0uZtbkum2dV6dDLlOD3Uz5UcpF/FpmLRdde/rW4tsgbIsOjRr
3LVV2YqkOm2VYdIDCEtPOhZaqZy+zqI7T3LyFGUIGGgPevIzURL6CChwG4pfF6/D0vv3N+eNcw/s
jLCMcAaqzxacYoXG1FN50AOuaxgiSuFi6vIEkfzT/XFuLSxZ2EqsVQzwmpt4yZEz0aZqbQQOAthO
t5xmTEDGIUKjfmekmzP6Y6TN9akmrV1FdmUEWdsCpvuaFMljJ/+8P53rp5R8EsI1HRh6MES2l9un
rWuayGIyAhTKE98Yp9GbqJEgtIOmQA/DbVb69n9YKiRcgD0bgIOvkK56GXbEibYRTCPl3XG2gH7Y
uX6sRbPni3Rjtei90GkksYWEuW255bFmdvxND6K6fjUd8HSx/M5ofzVoa9//kNfhFkU9aJ6AXugs
klZefsi5TmKnahojwHTpUbIeay3xYxlVeeUfrf1dqsf7w90oaqxFROBK8GaRBNhizoDcDXUvZiMo
jEXu/YHIQWXLK/NJ6Zep9aYmdp4ixHi/2UWJkLmgKXmypBLq/qw3KAKNymw8N4qTyO5gDtni5Ya2
GjpBB0SFyxDxL10tYnD4Vj5WrhQt8rvZsmrT1VIr+ef+bG5kIcyGCJwpEYNTfL78elqomL2WqEaA
45LaJK4Vzm4uZacaErQte6mCiYr80gOSn8fJZeY7q3cjC1jvauqFjM6/bIuFukb0tRZ2AitKPb0K
P4w5HLfuqxanz+KrJT8W/egKccxjdQ/Dd+u5oiK6epSqzB543eXkpyYDcIcyVKBOP5PF8MAN/si6
VyDWtAphnWupZ6pTDf387wM0sioKwADOiae3aLAiW7kHRmMG4QDUJpyi4RAXQjqXg4NBhIqDtt3a
CrYr9YR+Ot2uw/1lv3HDmZRMCQ1XwDXQlsuJN6gYE18NxKIoGvvRVOW+AYDYaxKt28m83uZymWzy
RDEOpk2wi6+gHmG8GNocE62lS3pAttZPne9NEr5kQDZDzZvjDr4mtnjRcDTbT5G+yoyf5/JcG891
9DufT06cuAqy4x1FFNRTKaYcLYFGhfZw/6Pc2g5rFYM6JTBqFJs22yFEo4z/m2uBrnwPm8RvOucX
nUjfVt+tNYe+Ho7tpJ27bE8Q9AYWa+0wvhGOsQTgU12uR7hUkp0SOBHRRmdVi05heGbVvtn15IU5
sLB3cpOf9cw4WZrww/4cJ+IcltOxNeJzHpsf7n+J67dp/TlEmrzq/Ki3cPSPimQCO7WI89mEq3AY
bV96flbnr9WeFcLNUThL1D9odl1XV61sMWLkYAPZiCqvXhDhz9JWP5C8kquA+qUSYv/1074qJgPC
XC3nuMO3tTItteswTFDs7JbxFHZh7aeqWrjFMKfn+x/xOj5cdauI1XHE1ElhN1FEK9em2QrdJIpw
vDrX0KbpvLGonpdJO9pRT95nEl2I1/vDXj+8DKtBCFijX0745mjXsRGDZDPNQCo/ze1rPP2bR9Rb
917dm7P7Y5jNu6FKZT7LkW0GWlodqfP/VsCraGX/ko7QRohEESv0R2mHtbU3uc0J5eCWRU8IEPCu
ZufJCqxHe68lfmNb8gFRsydmheawbSkNcd82lomoa9OuhZvYjJ7iqW4e8rwsfHxaxcGu0c68v2rX
F/K6av836GbVRLyYVpwhUznARvRpE1GOH6pvUROKw/2RbtxyDAV1g7yZGuBVubgU4WyMGfuydH4m
WI9YzpmbyVNz+VyqT1n7OMTnuN7bLzcn+Meo6uUN19SDAYidUbnMAQ0T6w5utIeKWa/Jy6dmndrK
V2bluMM3X7HGQTiOCsOks+Ery3nXsur2JP7vz99serPWQSwN/PmkeG4uPkXKFzPck/XZG2Szx9W8
7UqpX0/WpPitZbpharyr9b9OBfhU4PHo0WJgam8reZGTmgjSOVy+ThQdOqqHXl+Uv6j+Dcf7G+7m
ohBtEGCy7UhZL1c+GuqpUaXYClIDYKWppI1XA9b4H0ZBW3HtNlJ8gIR/OYrdyG22KgkFY6lUD/ao
0AC2id/uz+U610DKloY9kf8KY9Q2GywzF4DGobCDUi7QTi8a2cud3Mbdy+kekdpZ3LFq/smRu9kJ
k28NDGSULur6IDvbqgbOJPMsyZMdhOOCd5lZmEc4hQWGwslymFIrPytC7U5GVlaH+1PeesVR3VrZ
ZUiRERIQGm1FizRtBIEujXZg1J8W+QsuwsciGc9LgSZj8mMCkZspZ92QDoPxOKx1HRqk0N3dVJ9d
p6vOEIwesd8+JXLyaHUrqHG3z7y+2ptzj4fNW8hGbRVlvMvFj4o8ra1E4tyLPP2NhEv9qZfkkMAt
bF50Sa88u9EynzKKfqrNhWIoRiGIccYekoWSb8daf2yU0XihDyp7barbn1NnNMGCmo3fK9I/U7Fk
HxJZGnd27Y1XFE4I+pkkP6RB1uZWrPtat/OZW9FaFC+dDV8u/Wr4GssPS/WvaF4V4/v91bxxGIlI
CIFo1kHO2OKA52R26jksUZQypP6g5NaPUACquz/IDVADuThHffWa5pxsJYWtZqhQiw3NIJ+boHIO
hfVEIV/gY+Jmixs58XGZ/zHD32Uau0X8EkE0CsVTZD5rtN2Ucjwm9vjUkQ61bjYeWvtTb58b9V3V
QQ49ZDEN1cFsd+KmNyOszSbio4AiAXoIK3Arci7ptDZCbsVAXpSKvZ234UfFbJ1PiTBF4U2ZJp/U
3hoKDNh0Driuxk4ENric/+v1BOZlQ59vOSJXlgBriJvqe9g6SeRaaigj9W3lJSjnETmo2MpU4asF
kkmxUYh/p8VYMDkbs0TzlWzR/00BcMS+qiWl7HXE4R1apOEAYa8SfX6QDJRR/TpO+wKcabpa+5Sz
88NoOst2DalogtWPOgPQG6IioOYG2h2iVpechvDcPRIzhh+wQlS+6XEWUoLoVOoXlZEpPXdZKFlu
nytZ6iGL6pxye9S/RovWjq4zGe1nERdy6rZDV37N8YURbtRVEUmL4fQIYUZ15oPdBNARqlLkSU7C
49gVc9f784ge3qM5WOSXbUuR9mD0lZmcUHQy64dOdP0PeZAU9SChaKOfTGNuflTUwr+b0VCURz5R
GHlWXy7jGStZS3PzRTXqA3qq5Ue5p1W0c9++cWb/3A0QdqnK0QYGpU87Y4tSo4umSRIXC7ag6SJc
M4va3A070MqeqqbK5GY9lVQNCaXJlSRatHrs5K+WhDuxGy/O/FQ18H3lxVaP2gDkzVUGZfzltHn0
pSiqbqeXuo1ZIW5gAoPCAi/6yhHcBCZJZzli6SQKe4lcnyoFDValnlLfqYbwKRlVcQhj+W8D5f8/
KMBYikc4QFubBEdulUSuhsQM5uzcf7Er3V+qg9IdRfK35Yp1JCSNedx5iuABbabXyjGMOq0mp3E0
N4zNL07TP1AX+svsgm44VyN5E9zZlU+9iSGKpNZruZApB0kcWMNXQ3TGxpOm7VFArope60hcMTwn
5KIwgTf3fl7W4TIMwgjm9NfUdS9a2pzG4V1SFq4YjJfJ1k5y+V5kzs9s3FOp3L45jA3kDJDpuleY
6WZso3EWaQmJ/MJ5lRtLj3Ra3bI0Hq20dRUongpCff1O4LSu0OVxuhx0s1c08FpZDlEw0OKfcf5Z
wvou+dscap0Yu5/PinYo/7IZI3fMLgMMaAZ9k7qxSP0WTkmEyczO67aNNhgHmSfgpJRBqCFsgRt9
H4eK2ip2oFSlfco7G6I46HEPWppyVHuh+lFuRh7SHx1wGHv51pldfbQH51tmqf3TXIxKMIdESnmL
NPBsCC2QTKwZJZGlD/qAun5olOYxVOI9FeOtWSIsTHSw6AijbofOAnvvMlBKFswR9S4NgySPXC1b
SjeWis9DJB/l8F1onxr9yWktT14VSkLp3Ti3h7KeAdn1Xl34hvTRGqNDGyluCyYktfd+31U1mvIv
ZUJ0GflpYJa2xHXRZpFMPT0MFOV3zCKmzVHp3mcHvYn8Ul7wxaEYpvG2Kd27qt1b2W1wtI4O2A8j
oLVwY2xNHVSB4Y/W5WFQQHlzq0SS3Tg0dyKwm3NEdJPewXoGr5wCJCW2aiSFiTPG5j/NAnCQqufw
txR6mhQkYffJiMajESlHRIfxzd1De2/TSyaJ/YiGNRmVKcTINylMXKk0fwhlA1sv3UgujjJE8g7O
yv1TsjfM5srWzDCO7GGWAjWZXWGcpPqXgm3d/UGuahnrZFbuAi4IZLMEnZf7uctxjshCRwpaOzup
4+AitmuOwA+M7+2AMHjehZ5dCy+f850X94r8uw69OimRCEILgHN9OXSRCgkCSho9hwq6fJYv6daZ
0Q3zNVQE0smtu2jGP7k2fJR68YoD678j+sZCJ0SbHtXSpID9muSePX+4/02ugu+3HwasiwI+H4ce
8eUPiymRZ2ZTRM9Dd0B+BPcOT0MEqKmOufFgwXWHJhSVHwpMxvEJEOg/qtWH1UQIFzZfKc4KqNw+
/ZxWB8f50LdHNS0P9XRO04E6dOsl9aPd6TtmdtdvEukCSSavIt/ySsEEOFqqhWrNb5aOM3huRqL1
1SdIOqaWZ8t8utqGSAVR+v7Xun6X1oFXuRzCCtrX248Vp7oBgzt6dhL1ebRGd0ZMAlPGQ1bED387
1FufFxE2lRI/aKPLdckVK1JyrIafm9C2fWGlx05XlkNU/oDocfzrsZgREF8Il2sleAO0zalcKIW+
5FhjAUugv3eOyvCRXt/KvdzZcNdrh4rKH2NtSuqWmtcNpCaszud8ZbCHo1/Ns+8gRXAsY/tbKunL
MZaz5CGS0+78P0zUIVgDT0x7Zhv4NiHbicpF/iyl7+ToaFbv8jbxnX6vi3UjYgPRuxbLFEgboPo2
9xnV7LZwirR4Jjfz+ggd3/Zzrf9H4eGw0OnNB3eMT00p+UZl7YSl18+SgWfEG11mzam3Ws2aPeWh
IzDH5ZeJj4j6Kk+FkWnv73/JbYWJhAcVfXIe7E0RDd6ygBqkNmxrwkHWGMLkcaJD5wGvrQEUTWrC
5GTtc0EdESf7tg13tuutsVe9ZM4f/j90JDdHA3WscpIwPA0RCxyx/9KbzIsldGqQrMpU7X2t1d/+
frqAiSlrsXdWA6nLIRulVyWn1zCtxV05Wdiz2slKv/Gdj1knoCJ/uT/edYYGZoWOKwQezj8i+5fj
2epcldpkFM/lAPGdsscYR5JfV9NYvrZTlaonJ7OX9gzaKLN/3R/71gZa5a6wkmX3UkG8HFvMVd50
3YJrbQGPcJkF3VNNL/2/H2UFoUIx4kKAMnE5ioq3GZgkGaNxURbcbbLy4tTKvFOOvBE+gV0BWAtX
EdA5b8XlMFExykUmwuKZzqJrGbEnRqhTw1mGQxDH01EyooMw3biwP0phH+T2XmRzI4iG+wO4lyB1
1R3e7lbZosXgGDP2rtA0XNlMxbGximfZKn6qRh8eEV2K3ayyuI4mEXqlvvy0GnFOW3k+hlhInEqR
f0IcrPAykjF3xSh6kVD7g6UV+jGh9fr3Lw/oGErwJOqgvbccxmbB4z5DYudZONIRYaiXiRe+a1/b
XUXmW28BAvccYyhtQDM3e6CRncxp9PXTtEdTeexO0SEZH1NYfQe8ae/vt/XGvUwpDRgW9soPRl8G
HMPlRoBLpfayPBTPah9mX3AODn1cRqfXMXd0dp6h7uy8WyeYbJkzjHSQirri5XhWrzmlWXCK5Py3
42Qu2J+Cx3x8LKM9p+I3B9CruQHfJV0jl73SSzBRvgStLvEdset7nw0I2KiRIp+NyCnexfD1/UFA
Z5MLqT04hcQtjYquD94sPaVmWx01rXDeEemnHoBjzbPGZPDzqJXeF1EE2V7p7PPsCMvvuth4iowm
O9G+fYmaWjroaVmfxlSLHmVtBI4vmuG3bscz6WmVe/htNsisau3DrHYkupVlH6nqhVAnM7Hztt96
FSjBwW7nPiGU3SzwkINnpaSIN6O0/Cb4/xTLoaso2ZEz5Old5M0ymN7/YVPR+l15NCh2buvjhWSH
aju15TNKAU+tMmP0806Py8AS3+8PdL2buMG4j8k14TCyfy93UyZEImENhMU2QROW8IWS+4LLI1us
l2JYPt0f7fpc8qgj9QpHiJIPqj+Xo4ULOaVj1uWzZv47WOeVIVS0bjv+p0f5E1j1D7il3x/xDWN+
uYUZEv0wwA9gZLGxuRwymkQyygpmKEaM+xmQ5VlUbiYlzq//R9qZ7cYNJFn0iwhwX17JWiW5SrIk
2/IL4ZX7vvPr51CDmVaxiCI84260BRitYGZGZkZG3Li3hgxptDPaa3moKVaZOeQc6CHoUGI7K36f
fRWjTHuVIScabKPNx8Y2Ml1p7FyMlONYp/Jb1rj5s+VrxQ8PFEm7EZPEow1Sy7XvFYqeOxUA58qA
lhaM1gBQN+94lfn11nppAS6uS09CTQ9XLtrkw8GpDS+R2TlaE66xki4tGa84an1MIX9mx03ve1XE
0ysDTKEfB3qzP3npsIvRl/Vd8WApEW2e6Yr3X+84Dk1woVCxoRnBnrtcs6HV0RIfvPSkQxmWW7tU
/16Y2R2whMr3txaP6dtOshBVY3DqOqd3ZQJvzqJqM5EDA4Q2kuyiUFOLgB/gWwJA/87rcveVfhez
dRIlMp990OY6MVpMOrRvM+jhfK0H83z7exbHD5kHG4TWL9oLLsc/jrFFnr9IuVKiyFFDqoR+2iKo
2EYpJUQre/JU2L2Qw7VWLE9n2Xy3kJPltYKk4xQHX1puqJKIYsQGNXt10+qCE0V7xRf/+ZnNNBPo
U4hi6rhXLq24Uo9CoDukp046wKZgx+HnllJPl42OIXb0hURb0horgPzr6HMyCnMGdEdAoeYJJ9mK
2lgcRs6eDp4S9czreCXyXJo8qAqn/kc628ltXg6rSD3L9axJPh6SiIzYL/oUr5b+l/a/MqG1ARgA
DZw/qX3DlRRitvTkoYEc0WNRCJ9799kFieSNn2/74XVoMzEkwFk0NVHwhJ/FuLXXF8rQK0yZEm/H
ViXAbRwlHbdyW60xBk5rPvc88GCwcPF8nPbhbPKCoaz9SZA+ErJ713sW81dRtVUPHRdCmx+D+b2y
1ljdllwCdBpOSA8gshozm7QdV6AhEQinkunuKkMbNyHkILvbs7iQHSQxCBkiWwraA2L2y6ENLe2F
ilxlJ8nPUVehavzop4XjDi/pATH4TW5qdrQWQSw5I32dbGGaT7huZ0daq9SRMcr0T6vGfZ68xNpd
Ka5lI5bOqY82ZncDeZy09VsE5KtwgLj2OOY0w8MpDn2cQkPjijcuef5Ha9PXfECDQpNbGkrpIWum
xdsmkp3UyG0l/xJW9UFT1qRWlnwDeA1gIdiyuRtmm1nsmjAUWt53mgZYJKyJ86BnX6vALeww+uMg
D7YIUoDTzcYU91JRj2mUnzw9TbfVaCgF0PdG3g99EhxS6KlWJnFhWIyJ1zENhvSuzFvyRiuM8zRu
8hOSJP7Oo+5tw/bzj3LR1HeoRwEfnt4NJiiG2cbqTTMIBxM9FbWX3XPbQNVk5oKxWdlYCx4x9dLT
xA8zDpZmZgRA7RFKBZOqClnZ7iXv/YdIfFHLjgdu/hhTea6V4Tj9DQfXVoHdxEe+BgUKO0vaHan8
jeurK2mydyDZxUlGlpFsDvk+PopW+Nma8u5stYoxn1qj6d/iIQpCJw/pdN50g5od6kIJRKehLBBu
lCASNm2o6XtVoYVuIzVJodlIwRs/IrARP+rBRRnEK2rZxgvLyhnCQX2CTqykR6G0/K2L3JCxVWu/
652ipIuZ4LOoaZCANPi30MiqtxNoJtcdCp/dn7Ax+34X627XfM5Sve4OZV5Gil3AX1TZRmfJwdYz
2ilzmboRP3qDDp4ih3R3ZeWmI+9qjkixke7G6a/EuuTIyjsr93Wi2EI56kl+dMWErHfViccUVKNj
jLUx2IHvV7JdlXCQtJY4CQt2wYOJqMAKf8t1AMitPXUjAbkBWEfa5PJsQb2JtyiomxPLVNtZrByz
pN4o1l6KFehrvTvIq3cjzV5eFD6NnbsSEF0d1u/mSXbxvAQROyc6DtJYMhsj1k9d5e3SQpd4pwSO
72bBSqR7dWJPhsgaTHqeVN7mvAJFETZhO+b6KTNTwDBwzsQlL4jELmua7uuHzl3ZoysG57RtVmEp
wLwy/USnh93A52nBCVzlG0lTbSP6I1hfVjxriklmnsWFDgIbyDmX7bzsFJiGX3ciuw9geLvlpMru
lUD9Ozb0ddBMgHhjkI3qS1XQsdCmSrbLu07fC5Pyz+0vWVpTUNssKmchdmYuhdy22qKbBZislDaN
tVelLcm6lfVcNgL0hUUlqJ2HFgRoiQ6ppH6qATZWVDipiXPur2zXNSuzV0FikbLx3BQr1V1NUtNI
96q2EgBeOwquTyKcQiH5Dn683IEQvMLtkKnKyaVllF5AWTq40RFuM0eJv0iBueKX7xWZSz9hp9Fe
QhVl2g3zxIcvothTaqF6IoRKHHDAI8zUgyZuk+BJjh4H9U2Uv4ikqEU1dWryVmU77FCy/uSptA/F
azfm0vA/fM78SVTrXq94FZ+jKA+qC82n/lBbX2p514f3XbpSY7mOSIEpEXQAI5jkLpjty8nG96PQ
0AQDCXBRf+ij1LC9HDikSzS3A21anuTE4y7gSnlqtXxwClTPd7f3x1UkwjegwQTHCVVACO1miRlZ
8SOQoYZxirkfqXRtouTbv1ugAsAdDBYNCrBpzj8EjOZEZWWNlXnKRUF1Ijb7RozzNXWYhZUjRQG8
lHwMHE3zI7XKqiZD7JYjtel2gvIHAPCDEHxSjwhfbnim//OxQkaECgrADaBuypzTpw0Qbm2FiGkz
xTtNJoWeoteqZvqaIu31pqfKx8OF/wU5C4b2cvYQYs4lGVEDFIPb+7SqA+rzwZPkWis78SoEBvv/
0c5848sVhQoRO1E32iZMKFHwBTDyNl/Tz1645CdLQE4oPvDTe0nngz8EuLjZTkREKYfCzmwqxRY9
L7YbsMgbN3aFY1uP7gFSYpjN3F7YNU2qcfyk5va2Y17xKPCcVpHR432hKVMQPgtcRYgmBcNzEbwd
BLtDdi1JvvjyNk3UF5d202JvjJsi78+hlj7nff9CfXACvMZRsfIlV9m9qTOMy3IKPTgE500RuleA
iK1k68QbhXqylFbHIja6w6Ck0ZbAu6X51JV2Re0ZR3eQpePtiVgyTyM4zL+siEKa4dLHfL3IQyvF
vNBZUKp61SY3CAPT0EBL3jqOkI3rKdq12sqwrx4O77gqjkASmxMCbXb+VWUmaiGsJafmRxHZIFDc
+161k5WM0+LomNP/sTK7NgM2f+BNVsQn0Wkfm9c2dKiT/CnW6jTTVpzdZcDE/mNoOmo/ODZEP7Wa
jBhSMptU4Zf4z+1lup4uigM8g0lgALGF2ufy94dczLR7aM1JHc5u8E0jKRmMf8z06Gorj6frKVPJ
z0FtA/QNMqY58M4dhAgGsbI/jRZ0ukKDjkrvCO5XUqxFp5L7FBy4s1fCm+sTCKMTcgu9O0Tg500t
Q6f4nebJ/UnSPoMXI/qA5f8x1YeVYG1hGnkLT7bQLIKjcfr3D8tUNSKyWL7Rnwq6L2H7sRszpU0f
aL70LAXFSkD1fohceoVKbotEJwlP6tPzcjv0WW5EqWI4tRtO0zezsHuTM9wpVLtR7Uh34KWx92+v
z83Xci/cxd9B4df7YOf3dv6n/5M/5Xeps/byu3ZVPgpHghaFPN9VWiX3xKZyu3A40aD00IHoyAWE
qdI1qvWlqSZ3ST+PSqXk6j3Xm2EpUJocTlVF93r36Ptg91O7hnv736kDpvf+R2OzG6wxacBAuGU4
GaOPezpiVm4s0fukxMnfVP1RVg+tkD9k+SEQVjxqaTYJOiYOjQn+N28jFgVRbd2oHk6+fgwM4ZhG
tg4C6Z93P1iK/xiZ7f4xzeghFovhRPZ2b6iBHXfDffPg+dtRWFu3ha0I+pr/kg+b+r5nIVtPX6Nl
ROV4UkJAr8GbUsmOKP40lJWgYyEChjeDKADNEdBawEQu92JpsO9SvRlPQkl7hLE3v4k1/WybjBgf
evFtGq/EbdeAEQi1P1qc3XVRJ0dwhGDRaMadqWafm8cRMjaHfBTayX320Jv5Ie1tuV2x/P4InB0E
E7s+WH+od68fifTiNIEod+Pp27dPgb379HSf2d/PgX227MQu7MD+1G8I8W3fKRxve4y20fSD7e9+
/izsypZseqW2j5+/Prxk3xzTbrdvrv3q24Mt2+WeB/Te35LXtoONbD8d2G4bY/O8tT/vHx7u/j7d
+/bf339ve+R7f+OtEc1u1tIye6PqGJFmZ/Z5d3/f7uTtsAVA7Fg75FHugbmcra37oG+s79UDbJua
E5zrJ+fQ2XdA3+2DYq9c9svr+2GWZ5dwGJW9rnvTN53dNNmW+T4hlbUjt69HP8onYHnV+HktxJh+
6WwiUDZSp6ZWeASu4jdY57uhkJCIC0Ny4oGwjfJo5Up+33NzG7BR0McMLI82kdnAaDMVI1fLxJNk
Z85PRIX4D7p+Tmx/ff3h26J9Uj+vrO/CMUBn4H9MTufeh5syCdR27CxMqsqb7kSHeCM4tZ04L98m
h/0OD4dd7ZJvClN8cv6aJ+UIXs/Wtw20jeIOfg49s7lb5N1bt8apuhChXHza7LCXhjAKDIlPE2Nl
qwk5zz5U34OyrohTgm01BCelgjdFFVeO4cU5AZaM0pNC28ccPSVR9ZcGpRRPRts8ttkhTY6V+TNS
m7fbk389wHcRR3pBp+MRHYDLuQd2WQ5l6EknWH+r+sHKWzvJUfzeDHLrpJKyNarfty0uHMb0MisK
kjCckbRXzbZzMqpxLUW6dIKdTR0TO6wkRw7/djEcXum93txFbXeEZvpxxe40lEvPnnqo6dEhCz1R
ZM48W9Eak3ezJp3SB8E8jKpEQh75leEX7Pp0wNbpc6GnW8nY3rZ7HZxMZol/AIxRnJuX5sK44axu
TOkUIgDjRveR8L1GYzk4B8JKBuQ6N3FpaRZxtrlcS2FvsJZ1aDc/RO9FFr+kRbTx71yYOW8Pa3kZ
wcIRDYFaooPt0nPE1qjhMWdc1bAdzxaRApwxrobUaCjBAupChfXb45q9bXZpjMwXBWpKxyrP6kur
gQX3mqam8sk06Om0dn79aCCd6zpN8EMQVyZ0aYy4KLX3SREEjpzZyVSKQTSGZiafEjowu24TVLZK
U2VhbhNu0uKT0EZ2jIzW7TFe7/2p339iLSIxqnCFX44xr319GMNYPhXiJ3CmTVRt0+HFa7qVeHJh
LrEzDY+IiKrx7HAr3FgJCr2UT31eOWb2w0eTMAxy0Hcc+JZ2h+zK7YFdSZqRAbmwOFu9OO3bUTMq
Vi+L7ChG+iOz0/YbwBpBcYq+2LfCRq0s9EENm0yfLfgWvSKbjB/r/lelFfeuta8TuyvQbcLNqsDY
p56+j2XD0RSaXPzd7S9e9ABQnhwXE7EkXne5FlmYyI3eFPIpF3ahS/YgLDfpDkC6VMBsWtiuQZv/
GpfvQu4KFhhCVXIkHJVAoy6t+oOUg2pp8Ttf+41OmdNbwVZUNjlvZPE3j1c0BEq7MaCoT6zD7SFP
v3t2THIl4O2Ux2hwmPejSlrZjU3ZyATlpgaFUJXtRjeOViZ24d5B8o0AFQ40+G6s2b3TlcVoJr6L
J4Tps9uPp2JUnCxoNoKeQo0gspwK2fBq5TBemtmJgZqUHBBIlnO2nrpfdqVApvyUtb+gJu2wMAho
3dsKUbFpB6mt/KkEeXN7ThfNTnxT79sMxJA8W9C2kPOqFKg/0KM9lLtKGDa9nthmf9Slb3mUv+rC
Tg4eoJtciVSXlvOj5dltm9FCERmRp52yvijp/++IXGpUyG4PcGk5uQZgCkHlDW3c2bQqcaCkoetr
p9ClAh/RuF//HYqjgDiC17bb7qkIjf1tk0tbE7jLxB5oEaOB6rmcU3HUqBKzZU9eZYvbeniW4Z0t
wn2XvYqxsevGyJZWYojryeTxSDA3peMnvtnZZA6wIAhouYynWA6VbdME+rESjPJ4e2RLVsCiEBpN
ZI9XO3Dw1VHJ/Hw8ySPx/RAgDQdp/L8KTBGPcI2SMqG4QH/HPPIrXeQfoqIYT7owJjszgKzL7JVg
5TS5vssurcwcP0ssHbAL76QWvfAHA320LZKvRPeyKRwtV+1W5m7BHvcmKSdQIvRKzgGzvTXKsRtF
0skNFf17plnDTmpNwgPN9UsbVFG4srWnEODyuCSOfWc2/e+IdnaQTRKgJc8ygi5gMjRZuLVPwyU8
jkJW1O3KNpu20aUxGPtNJKdpqWabzctBftqDFEW78lQmom0MvNp73uXhZ837M5r3Sriyxa4n89Lc
bFf3hdAlFthwII6ho8WDw4ZzKu21/HdAxqWh6Xj58AKUqTyptScawNeyX3EeP/hBONqNbMuGbwvG
vSBoE3V0c1bdtw4Rttv7bYo6rmZ1qodAZcFTa07kY5i5bkXEuaeE/vnfg3fU3/L4TwRp5G071/ua
zNrU/EX7Nb1Yc9+Mq8AvBLRcT2Pp/Uzoj+Gic5OVG+7aHzFCq+fEVg7WZl5Zl1AU7c0sMU9WnAQO
wF7GRK2Z1qC6+7+M54OpWTSnJ6mp5xBRUT42U9tQ83Qb9HBR/x9m7YOVmRN23hi22cCATDfZ1fWI
7O0aTdySA3ycs5n7QfNfpa3HwiTGJhXy1ElAAjTGi6nH8DKFr7cHtLSrPliblwMnOqBMd5k2SYur
ndW4zcYb6+fB8h6ichhX/GGhMIBDULOGp4K04BXdrDpWZdAqhXkahnQjw4/o1tWnypK2YmhuxvbO
qps9GqhHVW4c8S4aYjtopL2UNd+t0P2Wf45a448VubYy7hWJxw+lQj+Szomi24O7MaA8wwv2A804
mWq3UUtI+vn2hF0vz+THMukoAgtuxNkdMpYBfPOg6eCw7Eews9zt8qbuN6p7TFVz7YxdSO2ZBnci
NUriUh7sM7dW+zi3NJo+CL6/htaBDvQkQ55LsP0SctygGRy3r/8qwqOfyHaTCP9MCEFX8UQOTFBD
qEFB5/IwrIQJci7kyqmFbXZDjVyx1VBcw4YthE90XJjYInaY2PNnsYxXCAI9eoF+KpTcTitEj7e8
+Ywv6NCWL9059cuVY/ba76mDwSZnwmICnfp7+9mHQ97K6Pjy3BKIVIs0hGAWX/OEpJMYvQmF1a6E
vddUSsDyeVrAOkHlnVmcHRtqE0GoFehgDiN5W6QjlX053QP84n1ryT8BT4ZInpuQLLXxMXHZF3Ud
7TVqYW5wVORcgSglLu9UqR3uhlL7edulFwBJdA0ghkPkBXqWePJykc1GoqnO9Y2TZ0r3naA/lLX7
DIOCnVlfZJ5BaLJv9Ko5uFW8g6c4UR805a6SzK3UnuU19Ph73Hp5A05fMzUKg4CfUEKXX9MJfWe5
LjAT+UtPYGFChfBmQZ7u0GqqNT+DX1LnWI9Gc7g9C1cbG+pEYFnMN7crFDGzc7fRI7mCS8w6jW26
HfxvSNs7QvZojC/QX982de3ul7bmp24BjJNyDLYUyPW+uH/Lc59tqo0v7wvTXmsxmpzrYj4nY7Rt
Ue4HeQLq43I+aaJQkzSsMabo2yp7RgXDFhBdj6mtZN/WEuhXG2tmbfr3DxtLkVov5/S2Tqn+tx4q
mw5PGBHeJhXg25N4FVtgCIFTWnqnvn389tKQVOqDEFu+e4r1wS64hmX/u9WssaAtDWfKemGBmcPM
pRW980K0JwL3ZMibyNoAxU/8ezNfCV4WHQJ0LKiqdw7sOeS/ZHhdbGBmBG3wNB7q0vYSJ6Sk1caO
9/zvM0dGD4AVCHFQFTNPF8NGDXMhdHmWlNDrbKT0p5KsnCnT7M+cjiZ1xgPGemrpmr2HZfo/dDH3
hJOmJ9Wm0zLBVjo5Od4eyTtHwZWZCRwiQ5YEjme2PHUYq1Hjx8LJfS0fpRdVoujlNH9Gzx6G3Z3+
WWu3NATDa79id/r8mV0QvmT93tHMEIzM3MLQSiFVROEklg8hFf5B0+wq+o78dVuntupu5BwAnrTi
8tdHFG9Ik4OaBzaNFHN2dnTthEDLFe9Ml7vdjr+turLb5qchfUOqbMXW9alB/YWcLwcGk4uvXI6w
CNswEtLRP3fpnz6QXszmkxg1G9B40Dmqm25NG/kd+Hk5pdgiG8b/GyA8HYCXBpvSr8oR0a6zyvmU
VD8aJxLPaK7RhAWxyvhQa786SCmb5jPdUojS0j0i1Pdwje2DqUz0DdklI4fG3GLDlFRR1gh6FiYf
2CMJnika4707c7VxGHXXCrrgbLoPUe6RINN2QvUnd78hWLpyHlwxzhJxkeHFr+jsZ/vM299ajRKz
i4zHOW2fw/TN7V7H4WGAMNrVq20n4dG/C8EOeH/QkJ7+SsuzDB2n+rXNFaimRtFWEKGpp/4Kbw2R
fb2ziQbx+4mKlxtDnTmGWNNxNSRKeJYC4NJVSuY87l1rZYddaSYwA7g4MjdUOoCYz3Pd4+CS6IUE
5azJbOa63sRidJxekTnkfJ7wWGfFscnFjfHV7TObTIrsg0ABZ5t4lO7ir/RDOwLviyHfDuGufgdz
9/ApaZskWNuX04E5c12Q45N0B8wIcE7N4idQm67hD2J0bnynSp/VrNwVk56D/rORu4ObIPe0cvAt
OCP4Wx6iFJ6ox857G/xUluLRMKNzad355YvUPAbeXV09AMpfOQeuXyDUfaY/gBURsSWQuNyXsIkX
kDy76dnP2h2waTuIBrtkpJ2s2blXnkki4IbuJhq+SG76qejbfx4scwv5ASUoUNt0kVx+QRNERt65
hXYSBMsJBsAWFXRmVD3keG+uIFauJxba3qneRR/V9C6YLaWnD1EpmwH3VqrVuyARAJv0mvzgZhKd
XGqlntVmVSBk2Sism0QAICmupKljf0wCMxJOQS4hB6L6nemklidtxxjkvzhUlVPTzvTl9iV2fcID
giPXCrSC7Xy1w6RMb6Vc7gUyQGY5OmkeaLrD890sOeGzyrWrwbWongZiJW7BeyVrKrwLrgWZKT1P
JBFBASModLmw5KcSVepGvsD1/MzuYxhgAP76DymlAadN2ahtnKQbATpfO00ieGP18kAoK++1Gja0
2/NxHVCaADCRTgCvSBly/kjr/CBNDVOMz77YS9tUkHsHm0AC8mYtflgwRdKU9lhAB+S85z1faUeG
u/St6Fz1irKJJmxpX9LqVvTDGkHgNVcPY4LVCqA1egAcqpPzfQjIMwGQadCEyTlHP7Kmp8wsKhhk
S6e914lVODfk/pV9/MAh0g6btDQOdZzs82pnaJldlv1uSIqfFV3D8speu37pTZo4xBaw3hH6Xs24
pLSx79dJchZdCzFsrnpp3w7Jxs3pg/kulY1jaDsF5cJ6Xxv3cSL884rDemdO7agoQHG+zDY7p6ta
y5mRnF3xTk1V9ly8SdZKQ1ebmwYTyFLhsDEnlfP30P/D/Htqwx5A/Iq4Rr3zVdlpqicLWppGO1OB
3t324euHxMzabEiaKjSNN3jZeTTbo1l0tuge837zGsJ3CoGNdpKVtUjxOgifbEIINT2QWERjZpNw
rGqtvszOFWw1ti+12TaU0yf6TH+U6lDtuKyC+7ANYJhvkmGjDFV4BwEEjMyilW1yNxR++KmwVrde
mney6LBwwX8Hbcns3vJaZaiHdsjOVM7wosCgSbxuDXoewu9+FxfbUV2nxJTZTBeRAFPBcwQSVRJm
BOkzo6UZ6lVX6dk57RBo0ipVPnoqveJFl3iksirvYHoet5cgCBs9Stx7VOzfMskojl1Rm39XnGEK
Sa++hjTKBNqC0nX+eBXNrqPhUc7O2rNxUO7DnLSS3dr9XwUudzs4ZrVN7+UakPa6vjxNAoPXSedR
mnzPhn3w+FyEKN4o1Ozcj9mhkHTbeyqHfFO1lW0hxRjpd42FmNkGwbrbA15c8ul9BF+MiOLW7D6x
ggFik9HLz2JTv1bNEG7dAhYMWRvVfZiKBsSoY/rzts2ro5zBwr7IDicRal71z2oCmDlhHLNzQGaY
JqwQidG8EZySDrDtbVNXkfdkigIzMDxiPx4hlye5Pg4VsZaUnw33uyK/6tbr7d9/FRDMfv9sH0uC
r+lpqOZn2di4X8IaHQu7LJw03uMot01N+2DmmXTHTQ1AvDIpt81WKkYtPXRjIz9Hf/Nj/hhFtrkp
Gqd58dX/p6Vp/T44YyehDxZbSn7WrLNhHrN2U0dOX30engVtI9Ur5++CB16Ma9qRH6wF8qh38TQu
NX7Wgq2kPfk/vORlNQGxsFRT4x8REjf69PelnQIhuUgzB5YKWXs4d7u/BRGT6D1DRepEfbG5vVwL
nndhbhr2h2GZljAQBGJuRFE2fGnWoAxL7gBqDxgNtAUEYcrl77cE00wDUv/nWC5toXrRh7vI/esW
R6lwdPShW7hYbo/oOvYgrcFznhcm6T0o02cmYWpsay/C2WldHvNPAZI88Co9kGz+7b5AJZKZxxAG
grWGn6WZRD0Jxk1SffBhzszKJC1pOMRBzPTeF7ytipjd7ZGtWZj+/cNaVb4IYZyJBToKhW0SeXCO
DSTxb1tZcsD/JgICtUH0NjsriJaAtShYgWtSeonVo1LRI3gIh33TrOypyZfnZwWlcB3CduInUlKX
A9LDeLCiICvOnr7zoZyPn+QktXtjBeS8NG8fzcxWpoX1LquqyQyOUKd3vny4PWVLBmi9orMEDiV0
rKcp/bAwfa0POQ+e4myalSMln9L1WH+aitlUsYNAY5i8IkEbzY6FGLFVjTxVeTaaO6RQ6LXSj90m
IsRXjJ0YPEryoR2cftsfrOo18NWtbIeR3Tlls9GkHWWVZK3pamHxLr5ofnKkYZFUvUGBQ6gPYiRO
vmin/t9W/Od6AHkyaBcYPtwS9HXO/N4TMgI9yajO/S40X+PuIV+rGS4c7hcWZldJmDQ1MiZYULrB
Edu/unkfEM9KoYd0zdNtZ5l+12wlaU7lWU6JEm7EueRUL+pxkSd5fW4QWHHINfq8G8L4EIdgKP7d
FE5JFydkQ5RDZ2FFp7dEjn5Vn8dOclT5kxSSeBj2t40s+AFUFFMkTtWfTTxzfuwO5mjU9TmBHDtK
YMOJoh9GNtwVXb4SBV6nFaaMqTXJGJGtIo86O5vCruKIRYXijFDXvVTtBwPnV58V49mg9TBRw10E
DbgrqIdK0Pd+vMblfD1W+AXIztMECKgTjsvLja5CTY2YSFGd+RDwuH9i+cUVNj2C9bfn9NpHeDeD
zH2nZMXlZ/6ICkcQovhcnSUBKYo0g5Bb3gvZWgbw+qgHmceAyP5NSutzst8apQY5bcf6nKqh3Ukv
WXjUR2dQ0IcYUlo6j7dHtWCODBhto+Dp+TOvw/a1otRdpNQE1PoXodkB0msrR2xeSmcsxLVS7PWe
hpfvP9auKrE9cF8/lOpz8dd7gtTf8HevbRyvRRvTkl9u50szM5eUIKBGM2Soz3r6awjpijXuy+JN
QuzS3QQBoYar2nX4+/ZMLvihgswGuSz+Yk9MY/9w4XRZ1VtCotZndQ+T0OfmYQ08dB22MaoPBmab
GsZOq4lCDEAa5uiOZOsbZZ9tgt3tcSz4+YWZ6TM+jMON4jIpUUU+B4jkqu39lIty85XNtOAIEwab
lzKELHSBz8YixUmeD5lbn+Mc+gzIZjoSoG4Kuv/JNfKV031hZSaRFTQnwaCQ/pkZq1vyvGbQNech
TH+P8C2FgOLKUdpo3dqbeCHQhQztHVYLgmjKTlzOXj2Ieqd6cnP2j94pP7a/xDs0pvf1XfRQ/3W/
tSvzuJCBurQ3O5XExBX6UJSac72rj0QeL+ox39KvdoTf9p/94mJk0yx/8AupE8O8VkQsqa+WV/wc
reh77/07HoXsETgvcuQkuMjVzsw0mh5nhDHNuQs/ueFZU7znUtsKwp1e/tU7qHs8So6WdAjHBFL5
7HPqHW6P872zZ3Z6kLqdKKC5P9Fjm33BKLpwYDdZc7bMGCJguxMV2/fu5Wznao/juBnj1CkNe/Ah
wX6sycHl1sMaLnVyyVvfMDtMZDlzh7FvG24BUrX1Q6PED2ZdHaqyoDtmfBvFNX2ZhW0PE4NOMg1U
DhfB7MzMGrnqQGs3Z3k4+MOfNPftPNutTO3CwXxhZPa4aFP4882ob85xd98aICwlp9cggxE/K/0+
9o6l/jV4vm1zWq2rmQR0i08BCLsK0jM5TPQEHlrcNnAU1DkR90u/utpaeWXRDuTC8EiSjQTqe7k9
Rt3yk1hXmnMQWj86JBRNX/iZhF8HdY1BavGMQTTjf03NzphmNOIO1HRzzneEBfWmNu283GXZruls
P97QHlTWm/5tTfpkIdJja+rK1LIDUBVFl9kQ21AaxZwhWmH2EESf6ibdFhB2UMrZgKfZdiPlcL5B
al3I1vpXMa3OtxdzGtnVYn74gpn/CFVf6gHiqee4LR9DuX7V/LV1XNwHH0zM1rEJTatLgVSd0VrY
VpJvW+2Dqq+M4z0AvzWQ2RImTTHACIkV5RB8r2C4//3Tl+xgK0M0X9gJQKT79hCTPiaL+o2SfHXI
/2Q/097R6Z9A45IacO+Ef1ZxKGsTPLtOFNcPMq/BtQY53bTS1ujW5nfZe6HNpMUNQC+6DZdeJMEP
aCAKh3C7bKsRLea9vymPv+R+17R2+CM6yp9vO83izvxgcPr3DxdXoMB2FOjTmO7iY78TnU5ZedNd
V/2mS+uDidlx3XSBiCayNV0Z6ktcfAo8KF8cBAfz+o7U/VGL9bs0cFT6ouiVOkWm9uDpnq311VHM
qeurra0Kg60h/Gh2K5mWhbDx4ttm0U9cEM91JsMvtnldkJ540p+k6JX+SbvXH4dSXnlRLB4ToH1J
uRgAViRx5tt+FTWVInjtuak/iwPAGCv45AYTQkv+NPafUxL3IznARKz2pSYeej9fI/1YWnHiB2Ct
9HUQtMyehDrcb4Muj91Z6Epb8faV3NlK+UtdU2ZZOismqVbkYWg40uY4wrSCAiiypI4ohTQLqfWf
YzGshF1LkQBijjC/wJQ08fhdeq+CjkopG2F/LsZiG4oPhrzt68e+dzd5v10TUl7yFdqCaTvlkUZJ
bXa+JlYjuLKe9Gchap3OD/ca/bmc6EWd3rehYRewxIvD5vb+XHoLfDQ6O3FLgTJ8nEQ9r7U/frQz
DDBV3/TsyMPttqH3Osfs1CWoRKRsQhMC/Zx5ZtfCqJ/pWDIyzymDyknN8tCI9Qvt8xs3+qmmb2lt
F0F1Dmh9RZV7r0tvefAjE9rvemDuR0jc9DLd9lLs5Iq7KxDYbZ7rAmEdMVmL7BecGIw4yQCQOIZx
9ZKQNN9H04e1SMRDk230b0hEev3WGmIniX/W2+RXQA/8HzjreveXX9jtSmJnmoz5ZH20Pzun4cDu
K0Bn+EIoHwtDeDb7bC3Unpz3ygZ8IyLHJwWqeQbVKAMp1oqiP49cAiiUfjeVk67Vn5Ls7I+mXdHv
lTV/gctvjVFbm+DJmefGIYWfCtbAtcnGXe6suNEaVXG74Rw3VufI5nAQUVClk1xxX4Sg/SkqkFd5
tbAPCrnY+iJ62I0RbvpR6lbmYWGPa5A6ARcn606ef3ZDtQKvnjoJ+RJVfCuyP6LVPKJM7HQCnW/f
RWutQWLh3ALtSJWe2ghpn/nrGwJkTe3qdqD0mDuS1x/UfNsandP7sT36EKN6d0D7hvxHon4tC+tc
/mg89y4O15jLrlshGDJwb+QNpqrkleaImVZm7FXjcK7TcwgXXOPbsnJvtHvT2P4XaVe23DayZL8I
EdiX18JCcAclSpb0grCtFvZ9x9fPgWbmmiyyWdG32y8ddgQTlZWVlZXLOVPr9JqxKoFBBQTy9TLT
y0cOD2xa4a9cCRjWfu/WwvAo+kZQQwdzFU+5vl4XtaDjp+nYFNuuRGxVWkZPZjReHsTe1vaz/qYF
LMSdeyaIug2qB4jn0TJAnTGfmyeAQmbzsQQt6wjm4LADVw6YnmaUCtBcqSPBKJIkmEkJMnhfM1gJ
uTs7gAGMBacNJK3YATqPr0bFWGuKNB+r+AdwTXfNT6hoW8VGZVYDkKL80uR4s5wIxmVqzg06wEQF
n32ef4bJr8fu+dbhAHUQ+WOgnmIfMDJ7fR51aQLDucjPx25EO61azWsgi7Aqgrde9VoIFakJSa6E
oH+Yj2m7KYDcVKLCZTPBsO9JQa86gCOANYNLm7rSwn5QpLqt+aMSB2ahiQQAN19pf/7nCsOoM/YN
PcK4rxe3chHY6jH4QxWu4o/qNG0HUYuIlOmnxzLuJJgw9o5bE+9NzG0Z9LngarRQYiaSP4bdxh9d
kKxF3L6ND6nfoJIrWZIRmKHMGgu+Zwvg00OFGo10Sz78emliGYOox4dU0GBOBJiUia2hUZwRt9/b
JoDEAuwC02ILXuO1lDDRlBSeiT8W+P068Vdo33sGoffPMozsx3q8u6ALUdSCZiNP+TZV+KMgz3Y/
7UFnwFgMS8Ly75fWAP5jqapkSOAntBZWBTGklBHb314cyKF8N8qjcgWbowLrMI5ErVYyfumJSUDm
x1f7QpgZC7nT0bRI+d8xZkxD0lFBVPRZV2o4PXkPqDoDb6KOSBvRyjftPv8oGeJu9YaUlIyUBjCp
0PFD9/loYdMLWJR4DMDL0NarFKzEj/f+Vmv4acQZyGii2wJtqNc7YzQc18RNKh35Gb16aW0PmPDL
0J/1WMytNSOSwoNrKXjjBqMLEGONFG3RzvJxKoGww69bTDfNyiZKWP20dwTBF2DeaMGPwLOE8qEa
l4n9kAjyMW8rJ1Yjr/T1L6nBLEmb/Xi8pjubg0ccCOEAEYtBFbpaivdbnoE2RTvipiQh/1HCkT6W
cMfa0MCGnmiUD1H7BZnA9e60k6zkc1voRw19etmuraZT4wvw2oNBmrjLMQTC/VSiAR0X494AfxDj
A261ie4UeCCMuyy+iK7ARRiDHGc5Mo5hs+86Huwee7VGCi9i9P8y5NC1t3HqgybsQ+PIhbHpRzHp
0esrGus+/fVYo7fR7LIgcH9Cmyin09HlOPFiPfWJcSyN/SRukCggPgB3u/ynEAhrDKQ/PZZ3O++7
mMfyAMeQBmbENGoHC1XJEwDscEclbIF3K7qNsOGLwat1HkPavQkgHOCFYWZ8b8ynOQ1Jw32Wg4RA
BugxaKGN/nlYd/1By1ZcuGJDb0Ut5XXuKJ6qlHBvSkvWfmsG53zT7+s95zxWwB2Fo5sLCDyowoMS
g1a4BHzxpTgeelrBWTP3M+kkt+YqO/JBrDKgBY/Zyn1jSxCEiUaEBAgdwb+65BEuFqgrQ+CLQbWQ
fTwbEwhUuAAp517jvgYwpz9e3X1Zi0/D0wgGJV7LauuuzkJ9UA+drkybqGle9AZsgXVVa06sSClD
mYvzunoVLpAuGBJArzziYrwGrsXVJThx21oBGn5vlR0oBdRVX/fPsuq/qn3CknaTcFlmhZeZEJQm
0c7KU640KEu5bYBSc+i0N1X70VfBVqlJq1WARkfqStZNuWMp9HaFkInYCicU9TXs4/UK09ovkI4B
5EXdz8DBrVoPseWq7n0kntNJMRUDQ2aP9/D2iC7rxKFYBsxQW6L9+JDkQtklrX6oakBAQ6ZbaGqz
KgJecNHbsZU6P96FCdeukiJ/L5ByMAFDVxIlnNXnwqhAC9l46Ebyj746p1bVM+HBbi5pGaU+3GXL
vgPXkG6Z0QbOiIC+ox9irsU0MCDJgi4DTEH2zFCFdGNgEAQUckS2cFeAk7hWf8YJPUhQAyDx77He
17ldAa+6B6Nu+4KRGBI9S1/TGjlFuWVlPG4uUyxxwV3DAxeTwkBkuJbc1IYc9l0JEP44HRyhxuAi
pv50Rox4O6AAMXhKIzzEuwHqpMIdxQhKv05l46DxtfoxBR3uGiGUjTdNnJtfVZvBSU9DYLzNQKio
SOdHSUA4+JrSGacByCRdFGqpG85Fv8pqfWDxeNxTAwh0QOcNrhCkA5d/v3ReQcNn3ULtVM/BvAP3
VUFCcRpWjH2+I0bFDYi5BDQNo9BBqUEtgEPRiD6GzLW23M4I/g0i1An6asAlS9RZLVaJNum2nAzK
QZDQKp2rZWC2Q9bZnB5rdtmJKciWExb2443PQWPnAoS9ZBcXvDbKwzXVWCZ8nGTHTBTTkxyFwirw
0/bkB0JjhhFmHTEZBAxPvZowlwVkjMeKuTlo3+LBdrrwTKL9mFZ/CIzqrgwxhqRlhpX3fGQnsx8h
qVn943ZIFd5GR+SooPgrghrmeqenKkoBBaaHHshhhs80Q4DfR0LtTk3KY3wm7H4+XtrtYxkCF+Uu
YwPLs5V6kSdqrnRpFESe2vyWx/MAjmUAbDrRSymCsC2sHJ8zOZmFQ3ZzQ4LyGC4LRoZpDHhYytKC
EERuVaJHXi7JtStWYuDUcyvbidqUJJpyFgvFTbxByaNu5AGMciWe7Viltq2GJ/CSJhgCUZCjNTOQ
qj3W6fdT/+pChjRENWh6xmwH0A1or9W2YdogE+0NJsjhXMNOrd4CgK+lW6kFnFCAmHOmM6Ao+i7+
zrxOMJXcHFht0YsU6isWaEwe4SymckECf21KnADyyQ4D0l6mICmXg5437gGTIiu/gKX6KwkDnRGH
3NlUhHTaMtmzDBLSx0TsZJmrujT1pGgnzKDsnr2XqWEBDt2z2CsxlDMQqkYG01CWgjghWGEqTMuD
rRBEqyKxi8A3U1S/O0l3S0FnPLtvvBDCucv1UVEImMHSUUu4xONBLq+M2zg9ViOQ9DzUoAhA+dW4
tB9b0r0tvJRIGdLAJa2Mw5l69XTgjNoCmWiw50qnBtf8Y0l39g4ZbTDJI6Wv4fFKKVXjwAIpRmLm
yTUS6n20yqJXKRsOs9hYjyXd2T9cMoAWXYCEEGPRIBV6HRvtLCaFNxUasMsUE3qMRhMUX3EWg+HI
zDFNpMQYimMIXgz++kCgixl9WqhZYNgN7uf6QAx1EYmDNgOyp2k/qtGcZtIgbW84Ymi32VpIK1Lz
KyFKXZWJpner32vZ1E4aaQs0MF6A7PE5BExgmrtZF5jTD8Yab9qVMPGDB+xiqAoqhjTOdR4XrR4n
VeFxgtcoAKltgtXo72Jji4wxcqJASvAU7vdjqd8P8VvN/pG6nJyL+GSaolHLi6Lweji45KV+Vn4l
p/jYb2ULKLVmsUJX9a5w+C1Gd4/TrjzEdrqaPf5JfJpWraOsWUf11t9fqeHbBi8+KFtSB23XFJ7Q
chYHXB5llM2sXgs8iFbm2gTL6PtjHdw6h2uJ1I1Wh2Mc8DMU3zengIebn/d541SRFQ0H8BNi1GL1
WOBNUIIoDb0oOERLwh4wINc6b7My7xGxFB6wgcxe4KxAF90sZzD13JOCywN/cKchE7g8DS4UaTSV
blTFXHqSTxBlcR/M/p3bbNYSbsJeQRKJdBZaGK9F+MGY47keVh7nAz0JRYjeGkCoSiSpkey2wt81
Y8JbxQjq1VQasx+Y98nMJtDK9WON3jmjqGgCxAKz3t+PqusPySc/QtSilF4kD3ivLWynG8ySACKe
BVhxR6vIDqB+DOBs1Ml1au+KEoVapOVKr+gmkvOjV6MPLcbgyOMFLZqjjiXeTugUxn2MlAc9I2LI
WaLMfVZ5ep72ThXyAKruZhaH+B3Lx8ApirLArUNOkJbShHOV1NFUeShbO4o/bABVcYq3XDS9C5z+
c0rnVRUwTttt7RNBxqXQ5aMu7DIcgqkr9KbyJq5YJ/FrVSMrVm8yrid5PRJN6dAIvh5LM+e4l6CO
vMeavbeBGLKFyaKmgB536lj0ojaGWS9Unt8qTje2Zt93dssVjLvyrpglx4LUOIpW9I3lz8hpGaVc
eSGHgm6FPjuu1Z2pVD8fL+eOu0Tn8h851O2kh5EyoN+h8hRtLVY1huHPQg7I9l2RHjGXz2jvWn6N
Nkt9gZpbhlMx70btXdB1WRIqde2NTd6e5CJWX7siMUxUDUFHVYilHQsxC+TunptB0wQeHMuk4C18
lJYi1VrJWe0pcejyLQ53RRThN3KrifQEdC68r7o5X3EpC7vyjnKB942yKhqUUPlUKOUKaFHQS6Ai
ebNSgEdRP/eVXlhjnpwUDLRGra6ZBodK6OMtvT37S3FAhFC8Q5BDWUzr4oAkaELIUq5pvEmr0TEh
pOFro6rx6bGUO8HcQpOKgE5BdgKpXMqT5VXGc1EmY3HZlLhNOKkbpTIiS+KUAFA8fPNUVMP4GnMd
5rfVjnMSvH9dxkcsd+u1QeEjkB8CcR04AFAZu16rmuhtkgpG40l1JRJwnyPnVhs/BcAJr+cJnY1a
v+CH+EpmFmlX2GlQG8jGxv94gHNJISE7idc0ajNo2br+jqIBVD2SJo3XIRNho3mkdec4qxgX/72d
vZRCRRq9XqNoFSG5CAjawcabBaBrU9Paj5V6e0iXteDiXTjPANRASfExzd1EGXQqdNVWav0YUE7q
71gMV0EQKGaodowWn1tfB4EAxIBIdGzjvFwrT6yiTOIMCFT4CdzmofBbFPwCI+u1xvCqt/c8HsQq
3gAiGpeWboRrSchwahhhrFuvqT/78VUC0Wb2UvsMn3pHgVdSltfIxQHMkfkdpapoPaTuwFAChEIS
gqoYKIcA4s3lBGMhucYCrKFtA+EIisIoLeE+BqI8ncGbakz8GZ1Se+ibGcyyrGokyEOZ8RC+8aW0
GGptYlvm81jpaGjXG2BBAQwJvNjDXz5IRMXmpIV/TVOzxqRL8Q9thJZLXbvzUI4pUsW1Z6ivQ7xq
p5cxfn1s94uvuPQl3yIWHSISRamBdmiBjMpw2gSNpyUfYgPyebSTgovdxjgLsLwxXSMrBLzNDG/9
zShNi4XnQLPKgnGAlPe1tVRzVpelP8Fdy058jF7Ed/Uc7fuNv8u/NDPYFMgYgZXebNZpsIlHhkuh
bVXEYAbcFirkSBYtZZ1r6RPYBn3fR1klSonyOx/CdayrViUoliobjNDppvOcFkZ56zINxTALhNYz
UiSRHB5IAaDyyyeMnfUg2yIzl0ybcYR3cuV81FSbE/MmNNuuBkaooil+tPIFo1+m10sxdf2q0XQz
TSJMx6kRCLutsm/42RXVFH0+Uqk2qVnN/fz12E5oJ4JVoAEUO4WuRlRFaNQsvCsDtU3n3pOmPl5x
KP+skincYggpdv2pzll33J0tWg42rlok89DBQB25qCwGKUvTwcNkoLiPspZ7aaZMW6vRENo+1zdw
L+WMxCLf9KaUlJxVlhJwfNW4N/G8E81iFt24LJFr5DhxHUMYQq+MOXFDJyCglwWQUcWUPaIsuPJr
Uwq4SR4BXTx4cecbRBWLrWLUzXs6C/UulWKJjEgT2pVaRGsM7QibGgQljMbI2yO8dH8t5XW0f+GW
pfx7PuRSWRTi4EWDPGyQ9jlwgFJ4k+uytSNuLI5d5L9ogXQQyp6Fx/5dirw+yEsJCZ4f2XS8aunm
91ScUtTRpdGLA7E61qk/OoooTSgfhbOJGIV3EgkjgZ3A9TtjBtmumvWhizbv0s6CcvgZp3F+SFpJ
NOOBAzxnqgxIYIDxTRobjSQD6BvTsIKfLWttA5K8CqhNfXIA/OFgtobsEzyIADJb+Iqp8tOTGs2G
0/N94HK9+lwXVW9i4NPmEB+SIWvBQpXnBePZeed6QDUW8L2Abl5ifLoBLw+SOg35aPRC41dXiFYw
gYw1fAWNlqsnojf66MYSHQSCz/jCx8fyzjG5Ek3dECgSg49mAqtuLioHJfGfa1V4G43k0PSbhEPK
/bG4m/h3MXeU3pe5d1TEgU1/be5NCey7kU9HT4hjsJLJVgxQX3TImqkokYJrTakt1lyJtpVAdhiy
by/7a9mUnct532m1lo9er01gF6swmDOLVp+uOu5n5mumaPjWlAO/Q26S1RA5Gq+baJmWUlbr4z2l
f79ugEaLyRI6dDNifu6rscZ+xx3BFCqPOKDHTN/UfKHjghF83Fs1rih8LDIAKEpTGtcmo5GafsYB
iznUHn1FcJXaqP+5HQHmccnRSHg/YVbmel91KcwMPdZHT82UUx+CeVfGgOCnbAD65YWxj3fUhyKc
jKZO+Cv4zuXfLyLFQgtaFJHUyYvayo1ChdT6azWtZQzmTANHBGPeKI1xzMEhGKLujLVORkgKzW20
3zkav/M6XT3+JDoWh+/GQxVJBxSxkJijdTyNta+UVTR7gS/jddqNDVBz0X4cTbiIH4u63c6lXxLz
FFg8Lm/6dWyAzlPK52z2wOM6kAjBv+0XUm49lnIn6MBVBHcE7Bs0yiMJQOm4V3IuiGrBS4K+tdM0
atclLxek1OVhNUyceJpQuAcodBA4QSVpFmbiNQvourql9HO/ElJf2yVGkTtBmFX7tkiFlcYPmhnW
HdgjQ6GTTgaAfBkB7524EIkSuBYFqV5MWdDYGn2ZTnqvx5I3BZmFjIVsh1ZnfMkdUUtHAfzaZMYE
HIOAwYgsACzmb/Ny7mpSspKJd1zd9acsO3lhpqiLa5yS4VPUjWrmTmh59U+wyzoVK9RZQpnrKxRc
H4ij0ZSxcN7T8CiSMSSDIOWSh+uPZHa1EazY+S1t/G1uJs+PDeOOpUMWXnxwpYC6pccZ5q7gA1WA
rBbxfV6+glC1NljtS7ex4jd5ydJSC/NDc9C15gCR2odNnElenbwAv8+Jp8ZOBxBKhizVLW7pRnUI
5xRwhy9FAUpSJEmV3qqF5KXvKudqdrWa4lVeO8ipcZu5MAdXEUjGApu+c4aRBxUxkISesCUder2+
eIhgpNGseLWibqZqkk1FSQz7H+8U/PDC/rl06eg04rkkDpE8JrXutUJfW1rSpmSq693cRixS+Ts2
Abv7ZrQB5BEi2evlyGKfimMg6l6scJGlaFFryZ2cWUYBWJvHi7qjOUyc8mjYB9Qbxsmoy4yXmjYL
Y033uEpWQWUi6mDrHFnMaHcXtPhyQFCig46WonGN1JYjp3tZI9XrHlFohFuki3+0oDQ5PV7RjSzE
vQs3C/oNkEZBeeNaeRoXlGkZpYbXiHxxSvygkBxOBCc6qTGcx4QSvRWHZhnUdCXAFy9GQcVAEcbf
9FLTOMT6KTFAl2P4H5o0gNp3NXQZkZLZmypHxpy2WlckqP0V/sruOZQlA0a38k3bhw4HjX5spJWA
GIgEE203uoC4txfEc0Ks/b5fV+TX+rwmlUVK8n5QTNPlrBPjYrvxyrTQxSNceGUOLFeGWEBouG4t
K9rUXxt3+/l4T2n/RctYrPhCxghg7hgYC+LZ+vjB8li0s6d/e9ngi98WWi1K/BS/7ezH9TFYx2Rj
ur7NEHPDl0CLoZ6lPSf6DS5Z8fy6V0hBjiNZr357O2Ie3GfXYujrhqqClkYdgtaf61pbNmVrvQnO
x354Oq6ffq9sbnVozXHlmiwzEOlzQEvUr9U46YmaVIsarb3g1OvZ+gjN9XpNStcm6NW0JfMlJs9f
xpqx1Ju3Hi2Y8v2zzE8JXy+Ce6v/McPIB5e5uuUUX15r10IwdXi9Ol/9/9Vt011GLOdMRncdW0/e
7x+TY5rc+6f12OLv7yBACJYx5gUdhTrLejN2c61y4vmttfZOQ45PofW0+k1scMqZPtmcrFdWT/x9
G72QSR3lbhpy34998Zyv+Xl1mHbvOjnY4H06bsyBPD/z5Nl9fbzOmy7nb81eyKSOdpQOowRSP2xf
uN6XvTkT+VPYFJ8wFjewTidWf+N9f3UhkDrvaLyA0mdDPA9mIBPRslzf/IwZ1+rd03AhhDrteFIM
uDYgRDZ5z3/6t0qjjrdWAAUZff/iubRgjct9ch5/TfHOTVfui1m/nFKTJXI5vzcn4GJF1PlG0YCL
WowEnieUsEg3v/02zXyvrU/uxqxL58S0xmUNjwRS5zoxwLcjRoF0ttRP9+tVWDMMj7FFNzNs81TL
fATD2+450pgF/qzeRWsTEtdimcMNdg1l5XQxq04CHq84nOYFy3Sfkf3xeDyvn9T1X55HTPvnT4jd
DMT6TMjjZbLONB1LhlwIYBEBkrdvo7UPTWe99shOJ++BaZqfDCu5eeXS66Q8iNB0zajw2LRwt7U+
PhozICPx1DMqJcR0T5/BL6Zq77rmP4ZJNyzXtVQUPcrf5+3Wwb3aP6dWswotEQ30XxiD3brJ80QC
K14xLwWWBVGepNYLKcVrSjy3zut+H3r7xHWcgKyfZGu101Y7UzBFqzbdT0aEyzgZdFNGkCRqkWQ4
ir/OEQlIy8heMzeR8i5yBC6ifLl69tZoOc5MnlYesW178/zFjFRu+mhoi6H8iqYDOSEfYDHbj+Zk
mIVnBZbLiBH+5hAgSkSqB+A29IDSHKGfQxISCSv6cFJrhlGuPdylGxSVzZN7OjHxxpZr69Z7/ZFI
XQBC047CtEjcpuuPfi3nJgKvfj8R99Qx7pq/CRX+yKL2q466YBRApXXOyKv1IVhn5wme5feKmKn9
8nw6fTLU+V1aerQ4as98WciRVo3hmq1f3dNxJhk4eQnQD0YykzUR12RHRvtn9LZxn4F2+IVu09Py
9HCRZCO4oxg5qvtX05/1UzeFMZSykDRYv5W400CydfZspW+P/ejf2Ol/hNBP2LbK/axvsWbUEMof
Su0Q92Xjvnbk3y3m25QvniO62GntXGAx6GA9m2BiJyzAohs0sf89cn+WQoWWpVwHoCALpfOrdVRj
e7A2G2sgbj8QhqHcj81RiPm/c0dDEmRpHs5lDqWhzIM/b4ONN5YwWBbj3mHuznIcL7QGbI02DksI
2nLP4bPf2T5xg+dTxJMtQ9TfXOV/1kR5fTQAiEkUL8a/f+NNYFqaWFZBPnj7I3tJt8H5VCJYNs30
8G4+xyzfzPArdKVj6PTM55toOXpvzoezPn/7shUhNp6tL7jv8MdimP79e+7Piin/0muAm9EWmZ35
qm4a2TpsEK5w3vYT7J+PZf3N3fNHFuVaiqmr4qSEbW63k7l3OOI461VPVjYekBs8lB+LY3gOeo58
AFzLFBuQZoXoLj61r+4Xa0Us06RnyNEv1okBv6xIIcNmP9iNeS63aY0WHJbvYMqiklFKwYPzW1hO
9t5RwcVuwv863Jn1hmLdpxLlQabWV0v1e5feAKu82n/8Imfi/Xh/H6yfeIAzdom5LCqqNKY8C9Vk
MXoBIZ6Ot6EZWalpMeIq8X5g9R/jo3tgOiNMc/77Innbl+uPXxzBGx8BHdHsFdEJig0vQHg1J4KQ
geH274peZovRxAyyLbrcp0jwxyC6l/BAaOz5ZG0Zv7/cgTdX9sXvL37lwkGq0ihlzZQiMDfwAlEI
MNv4z2nN2qklD/JIDOUcZfhg4GRhGa8IhrX9wV4e14/P7A3W8Pf1dbEUKrTq9chvEgNLAUyiAyex
dyJAf+qRlZzjfbgqrdH7lxIpBziChz3Is3zZHHHVWm8GMRIymnjRuKzr5WYSmF4d5QCjrtVA8Z1J
59qprWWnxl2dWi/P7umLlVX9boV5tFtU4KTPQTbIMjTZQY6Fgpq6s3F8T6xFMYzvOyVzYXwo78qz
rGJN4Pdqzs9fAwl+MbaIYXh0Gl4pc23A4PlieLJZvfQkncxKd5jefDknD1T27aoul5JUgx4HkDOt
tm/q6iPbcCPJD65bsZR2P3j6Y+ffYdyFKEOvMzTRYHf2+5gnpY2oAqiSuHKZeT+W8ijnkPpclXU6
JFX2m3V0nJE85dvfKbER4ZrbVxaE4f3r42JllJeYG8wV9CWUKJGMvCG9uX560kyvJd7u3U1N3WRu
23IhPdo2ymck1Ty2fgqJ0avKrUbTdt2Tcc5+JOS/uxsvFkc5iyINghggjIuzQMSrEaxuvXqSlyqM
bW7gMRi3lnA3iLkQSHmMqvCjiVMhkF+pH9v90VmjhfHQ/Dbdr9Ppv9DkMt0HZApw+y74QostXVgl
+th9Bf3fCGeyxJ0djcinpUFV3LSZpf9gnOpbx3EtjIpnBvRj9kJS4VRv35C+QmJnvVoZJ9RM8B/j
hryTib4WRgU1BtdXGfrTIAwpTjLv6pCE1prYh6ZbSkIscYvJXZvktTgqqMEQMbBEBohr6l1rTaa4
qUhhVpa230WmeFZGvGFMxv3Mkkkd9EDOpySOaulsCLsstwtZIAP/XBkMMUxVUgc8zKMsHQWszXrD
y2gAJ7LdgO0+t59dd+aYYe+t/7pWJXW6hZgzhKHDsrZve14l+U9+h4P22BZZpkgd67zuo2DIO/jI
wXLeQlP2+M5sTUYu5871f70U6jBP9VigKwpLGcwtbybYo4Bk5gROZ3RsIuBgWeFiZY+skAoBND1u
Va6BPEs67utzwpF5j3wY00sxLI9+BU0zeJZr8XuLsr/qF5bB3frAK7XRTa8lQoxZrbA7YP5+gxHg
ACNy+v3WW7KdhU+sAY5lsx9ojX7/YEpEnMtFa/vX6GfooNmT5dQZ+0KjYfZB0gD9BwuaTm/b+Ix5
UJVz0tcSiYUtw7LvBNTXyqO8AqdEWjbrkPW6tziyJ/66R0+X+TwQVsr8TvHtWhTlGLRQbFXdh+I4
g8Qt6bwQcljZoDv5yWsplD8Is0IGOB2kvO7futePyTYAu7nprFpdHo7PtqmS95SQA/e+3W+5435r
mdURdWNUfv7tfUm36QMsdtBApQ3fFKmkW/2VrNHnZbvsPgyWxVCeI+FTvZsnXMyDiZrgEK/RN6mZ
uUos02IcN4YvpNutOvDJNS3oi88K2WLYgei76XfyzHJNjENG94DODaAihmExS4XsLX1lkI+P45ms
VmC9DMnrY/fOOgQyFWrktR8mPI99ehsDGx2wOwvQ4QDytZfu2z277rEcqgcuhB6naERQoYUFdLi3
jmG12aGaqpkWoDysjpXAu1MguDoP8mI6FzEbX4kNny6axKXifyDkLohzXKOsE6yj9Q69QczbknWP
yZRP0Tq/DaoBy7Pgjo97ku2HtckMfVkmQrmToKl0v50hpTMx9T0RJL3ajBDuRVnBU6LQwHLLjEhD
pjxLM01G2kuwkvn4qp8qlKo6ZirozsPveruoUKMOi9YfhmYJ6N+sGRmv0fJX+yS0H5s8S3mUw5hz
MWgHY/GSGZm3OePXWa6enonNyrDm+x6ryF4LleibqDQbfS1HpHCMd4N1hzE2hkaIy5tmMpT6W2e9
xb8CUuWzEwlgLV1WwZll2vR0T6ynGmaBIcraI7gVLIffA2fjHTcZKyn4DVj0wEnQCErdVEeYmoco
FT0Db2oN5heDHFHlagiIy/jnhVdhVeH4fjGfQyynQTd+V7naSBPYy84Syhx7R7TRzwXeIivba7ax
Qj+jKZIXszNLK98znDHjfqE5QsQ86ZJsucrS1pZn88yZKbrgZ9ZriLmTlPsQfISkXQ0503LQQgvP
r9RBzhIhFmNFd1JtV2eapmgTANifSWMpoWPnFYi4pHtSDvMHkm0BSm/MhNudEt+1OMqFiP2I1+zy
AENTxL78pZMlmNsyq9yLu3tkn5QL0TU5y3gFYgbz9U07OpZoD52NYtRs2y6AlR47rDuZjutVUY+V
WgTmuLo8mV/RRI7YYy4JvxpMaxTspHZNEhPX1SwWlA/LH9MjVkEqZ/0kLsoMe1L6pgmOYOsrcFjR
8X2HDAoeCTNd6DGkUitJMcb1kEwIjjsz5Ql3khuTFVQtYcztjv2RQYU5vSF0U9gOi/Pajj9spDjI
F6uOcjMzogPjGlAs/1kIlUmp9KweZx9C3pYu0MZcZyaajg7oONrkK/e/fL/8EUeFN1oySHwzIQrY
7t/22d5sLPMZaUSG6hZn8EhzVESjqrmkzhUW9VryxA+YAehtivJaaZQz6ltRT4Qav5+Q171kCYcD
3mAus0Pr/pH9o6zl3y9iwaroQSg7fhsAeCucebt38B+aTNtPw8wPVUSGnQk6Q2LqjvnF4mP9m6jg
j3jKMU1a5st1B/HO0UEHtN1ZzOwya6MopxTllRrKyrLCN1zQaEQ+ns9oegtWNprg0Va6+TKsL4Zx
3He4gI8CxD+O7w3yBpfIQ9tqM55EIYl3ySF95/+Sj906t5OC+M+AlVsznOGdiAcj0kA6BGYFBocM
apmjkhmB38/8efKb2UZuO3gPkhYUlHHJo8Y3R+Ku0I3JjQwxsApMyR4QI9WMkYM7usZQkaoug3ML
6RJ10tEnJizT3Py5bE5xGhApt/Xix+OV3nkpLS0kC6mEAdpsGgFMAyQ3XzSVeB6TM/BRSdSx4CS+
sWiosw0ROuY4eBXort+x0MWh0BVMGAB2SERYn5C3dI2s/UdQm8cUNcbgcFwL2yfOXOXu7odKBqsk
WKnodLtmd7Bf+tUzw5juLhh4aqAcl+ATbhBRC5CpY6wSzcMhUgZSZSmNTB7r9F48ovCY+FwgwMBE
TuOfpxmwmII2QHTXmm+zFYOzUSNDiflugkTtBj30Y2ypBxYI0h17ASogUJyBpqxpkkLd4IGOKeSu
FiFWxnRy7/ZjY3bMCP1OKgRzs5j/wQCfwd8wobRjnwZVYcADHKuP/oe/4zabLykmimcx1MiSRF0K
CUDd5zKEpNrZaiQ+G3YiWInlbjuim7XzWNq95wAmRBYWSMw6CqD7vfbdRVrJCBDg2cBVQfZVbvci
mQMkRiR0yTz1poxJi2Y+cPtRJf3qBSUui2Ga9zL76FgBWzPQqrFH9AZOwTjWss8hZN6Ih1+j20Yk
chGga/wqW5uRk5vWfBxYr7s7dyOkAt8UI7SYbrp5cil8O098Jp8xPRYbbjeoJr9LGjN+KleGuusm
s9OI+I9pLhDHQNcYV4OtLshdlL75Ick4DVAfZyTG7X4LSrc1yLZ+nFi+/LvPiPI/gJrAcBxwSQFi
R8+sZVys5mMlQZA1TaZV/eSX/oL6NSVHdR2gqZIj2c8e/yfthdD8EUeoE0kbYGkSV9eI4LHu0HuR
9tUHUZdLLBh5m3KicW7s4LBPnWjTmB+AcCDaAdTzPeAzi5CcWJ2Jy68+UgOlb38IfSUARsw5xXjg
U7LDQXpmmNKdGPtiYSodYwudDLAEEM+cJ2CHh1aUbsetvI6U18dH9Z5/vZJDxdl6ZwB/OYCcbbzu
7Mkw+8ExDjJpzqad5pYpVWQTF4wH0qKfv9cf2Keu/UPcylnQYSTyDJmzbXSkB2rl/5B2XT3OG0v2
FxFgDq/dDMoaaaQZzbwQE5lz5q/fw3lYSxRXvNdr2B9gG1CxQ1VXOHXK/ihb4Eil08wKHx8WuDZu
hYFjQxKzVB7uLL9qPgS9KYhvRlSSyW4lUEO+JPpsmnZO6Mjeuk3IYIg5thXjbxmjpbuYOjM2fUIZ
QYKkCTLG/IHFRRx3UYKyjgmTxtZOGNRFYiveRK3eWz11zsy+XNavklWcfUSeEkget05A5dgMAkw+
oNWyP6bvGLNRkiA8OZJl/zze8/vVY+gii7kkMsyEDLq72y1ny9aJEte1T32my8WmVKJlIoIhvwZM
OAxNRZ7Zivv7BHkYmIGxpqAaQt/4rbw2ZvkyyQL7dGGN08kFcQe5zD3W8nBkt5f2VsgoIpAB+dRS
DBI7vVz2P6a5VukauS6T07maRIvE2pr6eos2hP0SPa3Owt0/va1Whrv72O12wip6QjR+8IHOW608
k65Wz/RjLnnzV8579InDuVy5h47XO7INLpeTDoT956eG7HmtJ4AzbzNysnYrgKb61YqjvbEAVACz
3ea8tfv3D3sk4TVSh2kgmL95+wG950h8nts2qoG9CcogadEvmre0I+Ei2TNvcxiWySP5R9w44RGB
biboc80+iSqmOsoXKZsJGybM482Cxr30ILgok6aGhNyMlxhY+J4RFjwLGdWou3PeUtK+5HSOHfEP
HD0+R7DuYXikBKKcu7E4XpaqbZzE4tAVm4DaQaR7j5hHYgF3tMF1OgMxM3d5JhDN8CHgiwIED2wn
/Pnbs3OK0PYLEEGdEFRwOgClgOdkYKHefTQkMSoDnErk+eOxofhDqo5WeiN0pLly7NqcWEJorkNr
CoK2JO/H1pfm9rL+1vTv72ShN/UCA+9Wq1VM6UGOCAZlHv77Z/B28SPlVjG4hSkzfIeIRJCZrELd
OzgH+2lJuktsyK/iJ3N6vPQJG3mz8pGuDoMZOz+rxFPskfdUIPIyd8w5L3hCH2+EjPTR8fkiTDAK
96Rr+3f559iHpLVQRDs8Xsu9s3Kze2OslVvESpvztXhSLXd/fBJWzPdjAXOXc9xt0nmpYrMaJPR7
9r1EIkjQ0VGwtIiob9pVcwkJPTcz1myigwLLkgUe0z7AuY2ReLcaEXRRwvRhh91Dqzh6GBzjVGxP
hBmaBddHS6EWlegzu8Ykrpj8HubIQiZg3rfyRxrJiC34/8DHDuWIAEAcqjhmRk9wXrbLgD69Dj3W
u/Ozu3INZM1nznQiOXorfaSa8NBizw+w+vrifcgraGa7AOASRt14et0kyx2IGtw5GMKU6bvZ85Ei
ItbH/x72fGhA1c29tDgtZQZ9cEfFMAAqWf12n8OOO7o+W8Wa1Jar8x6ppNAVMtIZkA04hoNS4Ev4
vCT9wTCipw9x4yMFTbV/g4e43eeRjoqCUiu9glMuDDPWTzB+lggI5psyd58nYmJIQgoOVPjIqIBE
5fY+y5rnxw5GTZxqqM8nt15aIdmAiMBAPcLTOzKHPprg+bgVOHK9E89RSq6HwLW+fUcpEHfoqOpH
WbcAMQW3qxVTJCBmqz2TpvVqnSO9TQBXALgfYoEv2aYmJy7DHb/5Vk7rQ/g+ND3NFUSmHK+bnR1p
qgJ6QkVrIbGia90MFplVL9rXhGrHH6CHrBKVpo/zOd8G2GVteZD2ylI1QkPczRj8afW5WvpIafnS
lTg3wocEQLxsTRC72wSNIZa32WyEVUpWiQ5kEfsf1GGnXKWbPRhpbubLESdhcijA2S/As6GvIrEw
31cl7OIw23814fHfCBupqmgLdQvy0mGd/lMdn6qESiDOYTEXaS8HM+HqRNL89h6PVJRnBCZJ00Fa
T+sYdpB9flsVgDkehqqo/vitm9vI8SBeyZUYx7Z7aM0W4YVKalTY0NEz9POAMWTGzE9g3G/WpnK3
RkHNVYxUyGH01G22AssLIRa6idDMhrZjGhuerixn1ndfELiVODJDiRsEXoDRrEBlvWzfTStYLmYk
TPoj/2iBOrI7RV9GathAQqqb0sIh3M4wdiuEO/B85pKd0+/klbCRtfEEKRcwZRZWVVdXBeGpfvrz
D55U3WKscBGZGKyipzO3ZNo5uRI7MjmuFvk8F0BsRNbbLZpJ4A+ZS1Un5ItsGh2h3mrhmN+LuWac
OROjjkxMiKlsYZdA8MtlDZfENDlYmOTMGMT62hiIKlfPjB7TkPp07q4O53YXLVyteWRi/DIsQFQL
0Zjq9yRTjqBjAY/JBjBJ48Ogz0j1HdR/EQJem5oxIWLUYRZ7MAhlh5YqnO0poselZZvWjgeqaubq
zi1xZGp8Nwg1sYKpWa/lhuYoEA+V6H/THnGjhNqohl9KoBN2VV48uW/uM/8to4bKvDVkfZi7qH/w
xweHpo0MTKtxjMwGAu6Lu5H2IOA1ttvqJd9w+ucyo21Jjke8j5sdj1b8nUzgzm8MxXqzMSV5YP4I
Pv9/OzxOm/lOw/XVoK+8wREcJwmotUHXrmuIx8eiJqBJt5s8skNlDNb0tsImQ0MZwn6Yy5YQjHnC
dT23Fno0D79zKjJjXLWRNaqB9wrZWELMkprhXip37BJ4hgVldE1v1s/g3XF07Y3ZgLD98WL/kJKP
znlkkHzfkfKwxGKDnOgKYSkGSh1NJCcrK7MJ8L3ALQ/1IKBkoUdrff28eKZvb69wTXr6tgPE6PEH
TSBlb3d/ZKhcMcvdlMUrIG8z45NB5LLkrNqgyJ5U5PuxsDkPcFwZUdkUIz0K7Hvwm5DKQMLNBBfW
0rO4iPBfb0O7orJBMkNf0A/kg2EoH3/AsLuPdn/kEMluUMWdL+JR/fwK4pmznUAW3W7lyCoVQiI0
ToOz9aG2BPxsxu7DeLyAmWCBG1c8WvBTtmwPyyc5azMjQU8wuJCirYRB2ZAhTWUhCCuPPjEybcGS
+DyjOsMO3e0g2HVlsD9iIMx42AVrVw5GQmhQ1ngjfYpfYI2akTDpllxJ4G9drbwTSmACICFwD3y0
qSu9Y0AyT14e7+S0A3klZ2R2mNpWXKHHXWQp6o+G9fT6ytEBfAlfdS5gn74aV8JGBicqQSA/hFun
EpNi0r36W0dnDlOP29goTt26AqCWnbmOg+I+OqmRpdHUro4LDvvo/V6K8CVhVpU6c1TTsfLVskbG
I3f9wuYiFZVcchlosAb+iuP5PJAkzRzX3L0bOTVsWzpy0WED116s9xgE2Ku6Puulzt29kX2I+cAP
XU4Z3MULeo1aloSfrQF6DE//bRYayIxeZvGI0zIxvBYc/8OQ+pHVYH0NT5HoSujZ0sM9DCEeot9m
jSBm8T1b8B+U5/5S/K+wceNWLtVM0gS+hKhC3+qhisygSii4K2YlTT6x2j+SuFs1ztSO4x3HkxBd
oBFJI8lllsdxOuK8kjEyFV0O0mKJt/9SGO+1SwCesHiyAjlRaM3cvwnWChj3K1kjc5H0Jad2NmRp
i60uAJdl8svWiN521VyruDCtuf9s3chYABISZyzPwALikIbS1Pt+WxnpUi+oeToej5ZGU2Njbd6q
zQ4sFqvfXzAEzvaZTID7blc8MiCtZruOneNiamY8dJHbS7Na8us5EOEE1+itnJERCTyxqnzbgQKs
ax0j6RCgDSwd8Rr5INSOVvQ5poeDPke0Ne35XJ3oyKRwTR3aQof1vVy2F8Wstv1hdx6uD52Njqas
1wDzwegrjFq5m0lZV3Um2E0onYoVyqEJkTukR5gXbyle4GjB2fxe64+ft+GOjBUdUycVcDgiN4r5
ybfq57BZmueRIJ1EOSG85JF2DsYz2KWxBEGTgRJE/Q1M2qPrIcWOnSjssCaSciQn9IP7mXvDJt2d
ayGju1FXbsiodSKhP53o78VHsGPpZR39bi8ecFJI9ejd5j+gv50yk9diR1dDFBPZTvtB7LbUXW9o
/C/Q9WyfSlLoFsigjJKucCm/Hx/aZJbkWu7o/RGTqmcwaG8wmgrW+0eWBE7JjXEGr92cUzJ1Ka+F
jR+eRC3LPEqlU19RNdtF9qr/cENL0+cYKSY17R9Jd05rWUi1zfPDdl6AhRZeg82qPoN9cG5Fk2m6
a0GjR6fGgFK3GgQFqASBQdhEPh3svtYTuhgwIWaey2j4wf9bCYDju1UzX1RLsRoOLCBgIgTKm/5+
z7NQzG7g6PHJtbQOCwSsEJPrF9VSUO5WAONK1+7R8Ymuz+3kX9Pno4WN3qDedypJ4CERufrLVkKq
+sIs2Iz0mi5/UX3xMnDVdiv8Yx3QaXs+r4yevsYhQNkU9DZz3zP51F+f7MjaYBBBW3cCvgdVJzMy
Eqs91sZCaGbDgqkTxRhx8DahAqRhQMDtiebgg6vaqIEgJiZb7cKDTtZ0UB94nlP2KcfvWtLoUEWw
xmt+BUn9M9xnJqQKwWwlWBrAQGFOh0Q2wWWaMTFTWn8tdXSwGo8pX23WSidfI12gRxZbInXWP6He
M7Bh8cj+fs/VW4bfHF8mDA5WAUyWwOs+RjrVFfpH806STpcLB7qlBIBHwhHXlDQ9XWS5bhNDQib2
QKtFZIMvtLNmFj33AaNDrUUbbiIvSifgMe2PKDX5U71gXepEHyJLga9N0EnQZZbgzUiefMCulz46
ZD9vGQZDBqVTXOjZCyq07JtGN5sKqWe4GkSxXikLXKR76GdnSU25kdeiRyeNhKwjhy5Ep1+80eYn
kV/KgLpXNnBwjc6/qW+aRll7HQAtHq4S9JTN7PrUBVcGVDEOncPwkNHaWS3GwntXQSIapF777Uty
dA5uSM7n5tVFXfP7sbxJJMC1vNGCowj9HJUCeZhhBv/c5ais18RGI2D6Cjgz8t+duQEvs7aRwFya
GK7VofVrIfyLzjYNkEPM1eNlSRu8sFsb4jRsMJD3KacQfUusSFzl0JjSqhxqK92i+TwcxJ4AuDOn
ZxO6fSN35D5EueLa6G5TEI6DlxqkGZcMLa2nzx66dhSX4ukrBvPvqn9fldsFs/xVZnvF5r5g5FNk
JQ96Px5f4CykV7Qhf6Kn9fByEVeXdbH6dsxuMXPoU2mcoTMA40klTGFGz87tXncpeDUiwMROTfDk
nXgdBZ1uHZlDGudQrF1Lent8y/64OkbG7EbgaIldGHtOWDO4ZcB2cxF16b7VvQVbG8w5Wn6snu3d
88og7stffQmgAUAGShBWB+ghmPmU4dEbfYrIIx2BkboYk4Y5gbdrLxJFbbWmYE6qYwZtRETlpH7m
jJV7TxL6lLh01QhvSa8QqfmNEjOoDn6je1pLPDYlKf+RpVvJz4kPExiCCXQR+JvGI1G8r1Vat0sm
rCivnnJm5/ZGBtrfn2gOLzoVVl8v4a8ucgXG7NKkK1M5Z07cc/ErlEtec0H5W2lbmzPSA7PMbFpX
p8f7NuUm3ggduYldL3ONGmXMiWH1HL6T6X8znCGte7gzJiXqnnJb9nRmgWU5zKExp8LqG+Gjtyh0
I8UNNaw4rgA2fg5CVneeZOHYpXqSYdAWc+TjmbT3RAMAVOSfizKmjMgENRNbNWVOEk+zwrRVyvFE
q37q9Scog4WfLF9WXzb5UjCMVoRNzHxu7jGYuaviyDj3IYPONx57Poyi5OnPcT+UJlOjZQy0kWIe
xWLmkId9vFGOYdC0gJYrdAyh+2oMt1MrlWXYvLVPjkrNbbJLn0XDNxWFhKgX7gxaG0D00Gg/o5R/
N/aR3NHlylPVl1wecgtuWb7ma2eAlhwLKiyQSNFPWxYFtdAkVmFap1g3Lcfy4T777vI5NDQZ4M3Y
Cqnw9Hg37hPQf7uBbhtsBMiZxmZSYpNWlm3ePmUvmDmoFgGpP1F8+swiPdeeGXYYADfj+9zf9JHM
kXlS69KOXVEA0Fr5EtbaQaKr8xzl1X1J6VbIXUYzAXcoOu/sE5Jk0QKPnkIu61SvXUN+Ciw026hP
im1IHWFBC2TiBUaR7xc0Enz/X9/w4UsArcf4QYysxb/cWmMt6zDoK5axXMFGwX//uR8Ipf1Cj210
2Kzcduam3WffRwJH+8tmUu5GtWSf2nxRlgBb19/VVtn2Rr7bRSeYbNNDdpBfzMi997Nu5Y5nbcR1
GtvYcfu0Dn7Xl2CXYKqeG5Pg3TZfA28AywFlMEQv2tPhOTw8H2bu8qRm/7PRykjD1BDTEoVCtU+J
RNiClCwpDeYQPcGrgcF+LOy+f2RYLPpVRQ7DHzhlDOSonEorWdFlTmvRsg/+U7yxjY74BjBNVFyB
Jhw4UwzFcKwe/UBvUT3U59HL9fz7+Dvu/ZzRd4x8Sg4ddUnCMTboBKwgw7hOg9/QQPd0z/z1jTIj
v2vZeCzzvpF2JHN0o1WX4ThedZiTHiZglG03Zvh1Mr2AnJZb0ryLAvmQzQW/XnWvh8UiNJSPj07/
OMPLnfNsh6s8NqoKhrMC7s8N8cTo9dCczCkwzpwBv5L54iAJ2J/qvXuJdiINVqrVbBuOrEKjQCgp
LrRV+e6vcrrKOKLPdbVNWrXrTxllIjqhzRm7wqcU4UIqX1uWSsK6eXY44rfotmeWjw+BG5Y2Wjqm
FKJ7GNMrOQmNDrdmJVWbEuOHoOXwU6od7KjRYtAFalIuCkTfj4XdRWwaxgzhtVQwcBtCxw5lxCpR
osm4ZFJJO/DTxWtGRS/UTjs9lnOf6PwThA5JjLYTcKqjRWHIYpVnig+HhOjRsXqvA6RX5b30+8Hr
oVGfF0j5K7NkAvdZpFuxY9BgHSgJUp4Bg/yqHmAvRZ9sMlM24bTPjViaMhwajzGWGsYKY876mBIs
aBst8RPIqgdsx6FemMKiOQfvp8FeEIB5MPrLeBZfkz3qVYDVfEJtmnVF5/DFU0//zYcItxcoUTOl
SmJ8SCYTcedrK9k2eNqqh0r5KmlUkbSZmWtwnz0c9vlq7SN1DdKObfsAIl/W21ZPv03z/X27Xq8X
Kdjsin0MLZbpvvs5FRmpzkZ04oasQPaG5zmeT9JOahDKaaIkCCg1/Zm5qxiD45IABRiJOYWOUaXg
r1qzzj4tiauZlWapIZXbnfemtbSprUIzZ676YCTv9BdPCNKlAE2g//h2+zFPUXSrqoERVYi9jdGj
5FHH1xuTB6fvdzLMBJmjOJ9cMI4A8yvBgiD8mZSrBcc+EwRJpTCnhNvX2Fo2mRuUed9qgp+XtGEw
vYr8hiSPrCCX2k7bVZV75tUdQAY08pdCcEiZiyyC/DY2GRoZMugAbOclFt7UtdBTbHCXriR+LflG
r9kz3uakvqGfXBHQWQ5Kgj+Tc7VojKDOEw+YjnPPHNxy2WYHsTm37WuB7F6KWeqUz174riRCcal5
3e8Vo+5J/+I3H4pCa/QoK06iCz1Jwx+moZ7m0T4xG3mrCHoNjKFXzvmLd/m54YQ0CaO60ZuKucQj
N8ZRUlsMvdo5C6ZiYxZCeBEVOIxlTPqKiAlVBSPOrcyhHUK06Cl0ZlyKP4d0fDNBqCDJmCMMgogx
5lApm6gIM8k9RzFqeE8qGPh1+HHxsvkoRb356ME8rRcvfbrlsrcyBVGGDGZ55TNJKKArfubrkhmB
pcBUS1oJQ25TNBLmoz9m50ijnENY+ShqxDPqzmAlI1JMVqCcZW80lWpmGyzl17Sn/c5bVjZBBzqn
6cnKlU0bHerfNhIRp3JrU4wc8jF5lSGVp7sfDWZ/2d+PVXTSXGmCJqqANA23euRbuUVlS6wtu2fG
p+4+I/6Fp+rKpaFughGeQoF0A3jEmDztRT1cBLqRHleB+aF8LJSlpJemtmic2fTOxCOJIbssWEyG
mA1cJiPDHfGuqDidCB3rt1xKvJ6mT5XCEil3Flm2rbdeRJmQJM9qosfMQrKf85bUx1KmlTinXfcm
Bd/CYwoh3GBk8cducIcqV9x3vncu0ZmcLjtODz9wwtmP5Jtd0JI0OOUO5TmdkVaDH9SQwq9Jh5KC
4xl8aDJLTaJxYHD1a8PMeYd3WBOMBh7+gi7Bb0E1+tbERqmfBUkTeWd3yVxcM7GfCn/B/hYIvXd2
RlI0VSckYL76nyh499mt5qNZgF3w/zUIevgOcZiujqnwCAJH/nLStnJeNrl3Drsn7RnqI22iM8oM
VXdgKg8sPmb+IyMD3+usamXPSj3z7k5EZiCaQYWFG545TEYbbYTHRH3OuYx/zgAwqGnR00ShyU9h
vyYG062bDIwim5rk1Q7uKpMf28TMHKNRSfLp7ANpazNw+8zC3/vHMqfSTBLi3om//brhjl1Z6Lx1
i14Yvq5Eu65LfQ8PE0xwv9WSo82SutQf6/VEgKzgRUAFQsAk5YFD5lZglvdVV/ZudPb5TYp5GB+s
bVS+nrHrZGvbJkyMd2LzBScQ95z4tMdE5zkEw32CEzPMWQHYeIlFBYwbu4F2nPtsLQTxubJiTLt5
st8A8YJ11ZvXahme2bnh8BOKeiNvdAUiOS1b24e8mP3V8NwBOfl4V+/9mWFBInx3eFKyNG4baaOY
Uxwtjs9gr3QwEPi3+fwPutPuY/xbKaO7wtnoqpSdPD7X6rI6tGvBLNfaCslqJ18kurhmqhndGe7C
7WMInk9NVTAEAYgWfpxUAN6jZATBTc52/lu6Zlu+1Mnm8c5NhI63MkauYOINs3EzyEiXl5InrL+W
T4zFrvMOVanHsqZOSURwBXOtiJIyRrjbWuTwZV0mZ/gSVWcg2xWDd7wwuBdmtpNw6qyuZY3ULK0z
P5T6IjkrX00Ou0PYtetuAv+FKffypahoUZthYjxe4ESeFY4n/FsZnf94lf6YKK6siV9lQqx5Snp2
a1r3cCCUSxAva8bE2GFX2NSFHgUG+yT8ZmFPkM8ug5NTLZiDo20Y6d3jfMJzJHMWKuBYDZF8nY9o
GC8U5VIyL1Wx7AtDLZa1h2zLqoNngha9Dn6iT5Pq2Z7Lld7fPuQo8XgNagV3ehwPp7FQu17TZGfX
0yXpPYm3YjUTiNxbX4hADgEZBJlHxD24o1f7FcaFzdhan53B9k3a9jkHzMA7so206JbxQT4+Pp77
koOmguBNkMEuBb8BmYtbcUDDCR3LFtkZydC6IgpH66WbW261k5eFnh+5o4TGbC0I4G9+y5nFzCnb
YOhuFRofAG3WkL2DvzKmvfD9qIk4r8V6W4DtQInmIP0P5HBD6q1dUO2pWqTizItzz+k1rPpK6Min
V9qGBXoTQrftiT9/mp/+c9jr4ZoD48yqRGOHaVDFAsnJs7Skfr14vOlTR6wN0QT0HnPHxkqfFrUt
cE2ZnaVeT23StKoVtEAVa5oef3gllQqWPpb4x8R8t8syj0WD0YQDb+DtMYeaUNpZ1WFGky60ZoK6
YhxzhOMN9Td7qUBVlBHNiBlqs3oYG5xnVglpRNofgbMh3rqTaYzK20fmI4fLdzo8sxCtRjmGBrk0
D2nv0OKp/YlT2gIyUi1TsN96tOq3rbvIo4X8yRe0ZhZZaqSITWaZs+5nDyCQHEjnsDAFJG3jS8S1
vKf2tZSfXYGwZUjD/NWPqJOZedBRoXn3Eou1XzTXDN466diKutg8Cz8oMkkSSPtprIHBzRRUQ4sW
Pso7BQDX+bIGjIrXWYSiKIUpC63VXWVdcXqimfiPEvLZjw/pr/ludEg3qxjdSi4LU5mV5PyMlnZP
0xUAjpStAFauflP89p9AS6AEZFvxD2aBO2+9uvR9k1Msu6OKuih8GvQrnrU6vZN1v1w0saX1TyG7
ERkjSc3cpu5REvbJk/LuHYXU8IRXp8FESRSWO8PZi1+lbSjJBjMS7deWWeeWIK9k7aAgqPvJfCuP
dMZ7CTSrCPYBZ/bMwg5MXqL5LkHMne46PzWCOqOiS3oLjRIufsVdMRLxZSpA/KbIDDY3uZp2zZP7
Wbl6pvFI5eDvpwbYV1ea2c773s7RpRjewytL6pWFIOeqmJ/5lb/cMpd9ZUUZCZFLs1gd5J0ukeHa
kv4nxcheRK9GbOWWZ86V/6Xh2MbHKqNpAN4liFC4v2jg6juymnFBTKbmZ2Hf/CpfyS7blUvX5EAC
4ZyijRlj1sy+o70Z7ByibCXL32GCKtLz55C8UrBdYiQRixlk6DVk6Qtm+Z4XksWb3t6fiR4nUpAq
d/2lo8CoyxMhKBglP7NKQePid2jXlp/jo2ThVAPTnZN37/3cyhull7O0FYTcwc5w+9wsUK8ZJtb2
oAVRdde0l7bJ7cR9iNnF1YwFnijT3EgelyOFmJUj2AzcjUPw4qxr6di/idtGpUVB5Oqt75bwOxLd
D1aJhKvBPz9WdX7i1bveaWGk6k0g27j+2GltwVPPoS2SzkADXRxoAvFM1OR0YZmsYyq92bRYJUay
FpYDOOXxd/wfd1MGmSyawUDMNzoBCZXQJoqG71hnH/KhoO061vPe5GVEn2uoCzvMewyXaUyqX/Y1
fWozPUOiZVd+sz7VvpRFFEVEWmVWUht+QGzCFETLKANmo8ocbk2wb04MZzX9xqalHun1zuFJ9ekf
ahiRVaDbysyaJtx3nK0iAFMANAWv/JWir/SNa7pQixSvOHeN7rZwHn/lRKNqHC4qfsOyGfUzZpcr
/3XUDKnwoZBTUDUkX0YnqrJ1JHmSjbssGnZIqpe2dYny7q6d+lmeY3SdqDYN0hSkqVUEzcqf7bta
YybygOQwfnF2kd0pftySN+VymyevAAaJ6aL3v6TaI6VgeZhYUNE45Gc8iknVvfqAUS7Odyu3YZOg
OIvBMgRIFG73sgyWarFuZ6zERNrvdq0jqyT3ce4KKtbKrrbM3j/1JvuxB3WQTKNFObSyIeNXDm37
9LUClU+0RKxGQhrT0vhISWb+hssFJifgqaKOORdVTUQENwcxUiB0DApdJA4fFyy5dBH5IpHb42Mt
ncjiw2dDehEBAXpT7rRUjmWkPUvn70b7xVsmnUJpIe2jAPyrylnu1lllMampgEmIAWJim5XI0xpl
+9aCF7GzWG//+IMmMjbDBymI6fA5qNgMmb7r66c6YVfLOH0FT3jl7lqzgd8Hr6nEDFBm02OEj8RS
VQOIhzD2U0il73AVzwE4p+4gQkuwMoJ1E570KPkAtLKcZlKJOwjO/iozbfelT77sAgADu52JU6Zk
oY9WUZRhXLA4zl1maRA0jeyWZ+Cxyy84Mgwy3EgWov6AzPfM9vITHoM6IFMBUlHg1I5iQFcp6jbp
s/IsNGuVu6i/DDiHFQXkPyRwLEEqqOoYWRGs+GAmvTIVD3LXokd6zclplHpxWp7zL+4zEAQqdLoo
0aRUQR7l0YJUop48y5LV7grRozFQBkm+VucC7YkSMBBhV1swUvokbhIMNS7KMyYLL0/+swQz96ZY
zyqSxXtF52dUbNKgXssb6XEtpk7KcpBnsysMGwz4bYYZs6mPisuhbJZqRbmAsBxV6oVy0uoZazrp
eWmcMODu/x6Q0YlrQm8nTFmV5ypCQSVdp6IhZtRut2kpGbnm04JDG0BGbPk0c9eGXx57p9eSRwfe
xZXMFWgxOvtFQ6oYTrES0ag3HBaVwJ+g0PvyI86+ou65qNa8tnS616ik7dvjz7hngBlKgfCQBdgU
lhX+HKYrixJwbiuFCjaggxP8BBZ0Uedjmm07n2jn9P1X3R0k1HA8k6NnaRmtVcM3KlIspCU/pwLD
iu92BGU2EZnggbVy0M6rT3EDrxKyBCa9Dt67bZ0ZSDOqQ2akazBMs/9gknUgLhWXehdurzZ6ki4e
b8af93f3BWAdRYJAxeuujM6EH8au80VUnLlLYkhPDRKCJR8SkTVYb404BRCnwgJeuGjNbg1uEcsO
UZL3f0pEW6s8Rx3Mu2Dg7tZ1qNRSxbMAH6ybw+OvnLKIyOn970eONDS1M17zJWxTnpAuox5e12id
pSjTOhRe42Nh961Vw/3QeBXNKSyu6zjvK3ER5psWOZ5ACoIsmSx79Asg0NS7S3Dqlq6B1N9MvWpS
M65Eju5BpcQB2KuK4lwGyCYicHXtXezrvjITDEwUEG/XNgQLVxcur/wEs8f/1qaBaiTdVGiLE3Rk
7Q30RSzBXLoRQHQWGjEopR/v6+QhDojev5Z2EEPeig7jsFbSqi7O6orbN05I8x5S/GofKjMP6PAY
393pK0kj/5jrm1QLXUgqYxDJNzEjmU6RvT5ezkQZZ9jKf9YzOjNH8LlaBJnaGSm1M/Mp//rZIgaG
Q9jIMWGTpbst7Jlk4oQHCK56keNkTpN4zOW43cKq8RxRqSXQU5eu4cM2BumbJMzckb+AdLR9N1JG
JqGyW9UDSVZxblYdFY3qJxu4sFO9WmRGqYdPzlr4bJGU4yhr1tTDnwJtlrXBLlv0wba74HkOIT9x
dXBrQOg7VMtU9ODdrlvLJWRufaY4h82rp2DUdn2o0ZbqmQJi6KZu/802X4kb3Z/Gc8OsZ+zinMU/
VYLhKupnGngz6jB5liIagobjlDGJ4HZN8MD9vsRo3nOl0cD+jQR0UwRzgOApIZyq4mVhOST4pdFR
plxbMZ3vV2fHNhwRE3NLkJ3PtZVNXhjAftDOhfILr47fECaXRQaeYnXO9XDZ6pwu/rjgIO3Rlpqj
TdJQlx6Nluo+WCJkdI9gGQe9IRX2gFYY4oLXc/L7WDcnkD+A+CPPzyLVgCrvOA+mNbaqZUlSnbmY
ZFZ25j7ZSncMjRZmiRyXQpGURsOxyILGQ5c2azReKaZI1zUaw1qSrcO5h37qBl9/0Oi0laDXqliM
q7PCHT2ZJv/D2Xc1N44k3f4iRMCb14IjaCRRJCi1XhBqI3jv8eu/A83dbbKIS8TO7GzMRHQME+Wy
sjJPnpPsmH4bxqGhRsQXfQI4GtIZVqoSXui30ztvyxDbuMjjimtcugAgYKRpM24ZCDT6ITNwQ6V2
XdW6uxSFdnCHOd3ztFFex+cR3dBIridmSrq9UWy5Q7VyjS/45Rvb8269unw8oVS7mMWqDCiqT9yh
GfKVu3vez7TrgmTSDKOCeomiUD55nMS6SKe2dYUUQLPh0BQ7r90k9YvoWStbbHYC16a0GYeDHkbU
OIDiw7/cDibsOFVpRb93/d5o3gFnAiTLBrAiA/njAY2c494HG42q98YGhcXHxu/yTqg/iOjbADJp
ljNSaNTqNOTiVCRld84j533CEWt+es8g++73+cptQG/cb0syqoQQZUEOiFb57JLWy5OIb89tQvg+
3RY9ewgiKIkFzTEaHSBnVyaW3iT/GARZ4QybQfMe5bLkkOWjplLbM8MjH4y+wU6sV/z7ookZN47y
PjA5NCgHUuJJFmthd05SVHr5AM0v/6Nz/x4Emg8BP5I0FMKpJ56sBUyWhlV35ibZYrSXUoiJ75cr
47grO8xmACHB0sx9jqwm3O7BVm65bprNVIZsV3vVVrfqtr+oW3/DGZnBmIoZQtOmdDhds3OneGqd
YMOTHv5uZUPSF838JUDLiayIshhYv6kBc5NaTwiWujMKLeEGLyoVdAQkZSCXtAvYDbvnc6f9me9q
VD/+d9OqhrwMRCyQmMF3UJPAJpFaafFwllFJCM3xkEMdPnpqX2PxJNVnsXU6/iDzL1JmRk9g2lux
T7scjHwWEUJ6VMAlDu0iyrxWBGWUl8M5DAO9ZIB7VF1Uo2rRqZWVl6swr+etz5ltCWjsAI4D+FBq
vdVeZHrfb2FLYQmuVi06it1BRLGOQU8z/DmqX0qXGhFecLJip2Kgd81vrzZloSJj9RbU27i49PUu
Qa+7sIs5O89MLyJFo8vcFjDcE9ds5dzkYqAdS3Ht7rl3mbefT62UVHk9UymYqkZxePTAcgQVP/81
1r6SmGgCSTQ9+fg3u4MDqFYEmAIblNqYYSB6cRB0wzlWjabe1KbQ7opdt+VFs3jLudMIniTN6eIn
6UcLdOC/sQ6VGTyuEYlodOCKXv9GYadmOLfVqzi0eoX+49EjOM7EA+xR4AhfbDK1Qh7GYSKTy/W8
v3DqsPId88Te7hsNvdC4EuElEG2K1B6VgZjBw3Jgz2wRM3rBiylizTFbcQLz6+PGChAcAFqD8Z9F
nwiqkLcnocx5ZhzQkn1O1JgIyWEcrZ594SLz8aTe9eritMEOavDfduDFb+1gG3lxiD8+D8/aKa9I
vR2cWkc5+OztVYZUPum26X7/o3fGXbANuRXffncjfptXcPECSDWnTG/Nd0oHZb0c5qW9PxzC3izC
Hx2HciI3A3KnldHelQ+/RysiioV/lUQgOG/Nja084DUCc1xxLrmNUm7qzEwF6DBFJKwVvZmKTQAR
5TotDlHbfoZl/Qn9Kz0a7XLNzS+uMHCTsoyNhIc8NfPCFGc5N3/LUIG8eEjsKTpUzEssrI56nkR6
LwEeKcg8+uzg3qlJnqRSROE05M5SbYrjMTuLma4yr+krP9f3A7xhqtHw2+eB4QhATEYcpysh+9Iy
oxEJ2BkeuQrQCdzOu6x6hdIXCXdO+q9Js5vkyLcwyYJ9PjlLJbsS9txlJed1xryqaAqBzoB8d43l
YxYPnsKCaBB8KOSyg4LNx/Ozc3Y6UFPv31oDYG9yCtBEuTleHh+ppXW9tk3NdirUvOYH88kdntr6
Uu1KgP6byX5s5Q6f9z1EVQKsDcHdXGO6ndI2SsO+UTLufMDYwA4p2njnQN6OWLlug+zftmMwRDtn
jsTmRMBm5wom/v6cu+5H8rVKIXT3cP3ngxBDgdUHS02jozrFi5JS9tiz0YFSOdfPH4eP9/dDrE96
a/V2aSRPlb3bnE5PT0ewbb09no+7wsNsHj4MqqSaCunDu67ZHmDkIa65s1KbtZuCriGRK11A/j3K
SsgdCoRHBHnsph+pkm21lxXzS2dMASIPlyLI2u44uNKx8xFaVtxZQEozAby72lRBArzSUes+hj5F
o7I78JLZSBArjA2hP5fprIT2+DNmn0Gf9Jk7lod3E0QAA243hYK2pDgQB+7My1aemGWPqvZnceFj
q+vdEMHMY3PfJXnaHqD4cGJooUQ1j/JhVSupdRFz3FnOn2IOKqj2NGi4jZ+gD9/06ACYpI2QGINn
aZ5RF250EaF4J8f2IJ+FlMj+Xpb0AeJD0WSynQ59uLT6CWxX4uTDYaozMqZmsSb8d1czmrcKgkss
FjwS3u/87SyNQwNmjwpHB7FC8D7tQhTFxA0Hhq3TF5gQH8/RwsZQUAkE9hk5cO6OQAW4tzhhoEl7
Ft6BTAcH9Z/Hv7+w5De/Ty3BJPtlJoQNONR/I/0hoVfX6XaqZG8em7mLzOca6t9h0PGIhtJK1I0Y
xgfeIMZotCvnd2WaaGBNqox+WTL4fc7wDO3A/Xj8+XeFOqz5zfdTa95IY8fKHX5/5odU8P/+Sdx2
DglCPV+xtXAB3JiiHhaa0BdKocGUd/gZmtIhOj4ey9pUzQHqVeanCD1JGOff578CC7X61T6bNQPz
n18ZCMe4baV5S8UE/Whk2qtoNzLaPfruv2begXVWuJVN/E3ZemVx8oKsB3ZNhPxQDZU3jTxzBC8w
gEN+AUtnjtbwtPlaA1EtBCU36zRv+SujaFEUqjTFMCFeIevM50Z9/f14pZYuJfgYpJeQHsSLiX5j
xoxcx8MsnnVgD9mJ0/NtR9qXCCJyu36l6rVwQG9MUbsiCsNBEbMRUm4/4p1iiiHhd2tEq2s2qI2h
dchWBAJssKVe6yR4atcmbL6gqAtFxesKDwJ0vuBNTp2dIFHYhkm4eesBUacDNGCDonYka3buXs9z
C9mVHWq2oATBiwyu0bOPsrX46fiOYMcvgNA+rbE8zL/0aETUnDFx4VVZiBGBjd9beYoursfVKKgY
EA8kKY8j/HZaE2Bj+/1qPmhtnqgzIuZSVdSzntIZuq6vgI6LloC+gux17TAueICbBZkP69VhlAFr
r6YAhnb+q/Uz1gWzN1aCo4XzfmNi/oQrE76EboWIAbe/vD34O8/ozN5hV67JBd9/bYMGWEVgR5Uj
UCGew9fWTi6asSbLuWgAITaohhBjK3SYq0Q+7wFYhXCCcIYP4PNjj7X289QDGZpFRS6m+Pn6K3rJ
7WmENPpjC0vRF7Bnf0dA3cSqx/GNBwcwN+znBLvqdSB/tpp92iQrC742GMqZKGOedQMynWdDQvak
1fPzylAWTwcEZlF5RD/IXZImidOgaznw2YPDNSch+VMb/Kqu28JtPCe//2uEWpImG8su6WEkMApT
+5/TiLMjvPp1ajVYpZTKscWv53gp87oFuh0JIlVrUfBdgR/x140dai38KOziOgO/uwFV4OMlcySL
23D9Khnyoh+5Gg/l2PtJ6OG0MJ45dkmhCH8ubGNl2Rfd7pUNyqVjPdg8jDCWywVpeSA/EK9Ay7vx
Cb8/Ho9rUNU7bB89d/M+v3Jcmhw23oDb/RxunIPyqrsnaCTt3p+Mvfv1eGiLLvJqZJS7z6ei6sNY
Q2h5TCzR2U/gcFsbztrsUZ5eDOI8UhuMJnJqEu63X8fHY1gK9W+2GuXnR7QlQ0YXy3PY+U+Zcz6/
NuB7ICtmljeaBvIzUEPywOHfLsoUq1nVSNKsTJqhO/IPGmPcfI1lb8kIJ6GshkserHI0uq4Dy0ik
5gGIdXXVHk0OLyOwAJBqJY5YcpTXZuhDU6DDbGyhiKDa4QZvddtfAR4v7atrA9SJ8WpfYZoJBoCC
+Spd/v1XtB3XjuWSN742Qh0TL++bcWBhhE2gx1gT4Zg78jO39Y16k/+Le/7aFnVQohJcR/IAW7zN
7b1N7qyF88tLghqggloYkBeU1wfvEVidB+h7TBr6SInoRBNiopWTsrS9QHwhIYOIDI723Z535Vga
uYviyhMEvIDeBaN6y3bIxuiFjpwovNgOsqiXf2MRORcV2HOk3+l8/8T6Y5NDVuEckvxA/G0+2MO2
e9I3QB4eJeM3Y7X68Ly2WncaGLMHBVPPf81SW2PMvchjIlWAFoUhsSQ6ZWh9A7ud8XUEv9vXFzoP
8b96owKbKoHTbC26/c7G0q+A6w+g9gsLTdROyfEBmOnJwhV4uTRGfFBM8vLy+so9nb4CMzC/Nr8f
zzc/X993dmeICrpm564T6mRnndenbBHN1yEso7cydWVw5hagZt4+6SaH5fbOEep1wBCT1VEvvea+
QSr/zzp17KWOD6OGh/XLBdZ3FhfrniM7vv1jiza5EzhvQyOz1wBui7HGtVlqtaFqwTVyDbMeaMHU
39kWgqWzgsvjuV08PFdTSy3pEBYi61ewwsrG88xCOhA8I7lgJYhdzCFcj4a6L5W6aZmkg516C07E
nBz61/YgJQawVcffKz5UXLqcr41Rt1rcxA0jJTAmHuZEWZ8QYeO9aK8/wTD20ZvRm2cgXJ87vgeM
uNul8kvOzRzMhR4WEHFqCPOS/QEFqG+cvrbup4tSw8rFK82h4t2eRv0VZWAUeCSZco2N18tSrPb/
hHjv74mjIEmlENWe+UCHzbwUZ8cRX0YOEHRWj1OT/PoVg6wcMsDVpjAbwC1rIzJVbP/t5vfXnNDy
rUz/Kuyvr9+rPm/Z+SD5D0iDBEQHDcIReD/JxxRJoNrkj8V+gBjOObcDK3irHKu2a+I73q/MFvRt
+Ax+RSM30LLtPN6sdzjsbw949RHULoqGNI+nBB8hPCd7Ac2sySk9xK52KGHNt4Jd+bJGrTj7lrt1
AkgBNUd0u+GJdBshlb1SCUU5IaVbdIU+E0PpCKSKlWO4GO4JnMAiBoMcFegAb80UvZqjia+EctQ7
ml+dyelFwDMMgKvMlZ23GIhfm6IcC98zgpwquXgGRG1ypLfMCXSutLWPLyUCCJMnoNn5Ui3fkFeo
j5bip2vDlK/pVBCyClMhnqt9aOL06TIaBtYc2j0QDgpcuKR4gNM0Flgo6o1W1VEI7JEynYu6JNL4
FjWnMbJLUbLfhgTQZK4iYrZWsloYGtqFUP8GAA//pKG72SCOUdd07HmnSWZte79AG5Q/rzF0L9xE
N1Yov5aITdHxeLedI+nL/2RavYPKy2Qlw+/xdwO6CiVYrTLdX7047XMvCliLJYlXqBMXp12iCHiO
ngvIjXiJYGnTpQ5Qa0e7nZ/pRVedALauRd2T3IC3Vs77/YBvrVMDLpqyHcqO689sZ0zofigbwfLy
kBSiUzSiLiubKuZ3oGRasXt/gcCuKoHKTAAbIytSAUefjK06qjlgSaOVdFtGqcmUT0BtFqYYPwXj
V6VZkQ/6sGEnSdDs0JRXQHntJte97nfTrtxnC6EAPgckgHNHMXCs33fJVYQr+j6vxFo1nJVftXic
qmM5bXLmo/uSO9AunHCHtps1esgFN3FrlJqDUETcy4mAZjFsY6pcbVYt6YZ9qUCcMtqM4zvTgCbI
UfP+Z26M0XPPgZaQCcmUfY7iocnclTWZL8RbR3z7PZSHZMuuD7H7h/NUGmO2U2JcjLkpZ2j2PPrc
y0j4KDdWcVLfseW9WZDUgD4BKSa69XJK+rzkun44s1ve1xXxVakH2+cluy4+IvWHoFilnD5FCTj5
Txr6EYf8UNROPDlCdxASPS1fBq4nTXAWRlsWn9WwXAmt5nE/+kBqnboALW01CwRg1AvvhcYEdtgG
Oybjp5XTeNcIDGQstuHfqaBWQInHgAGd53D2q0vsnRTwPSMLij78uLAY+aygeXA0BMCeMAXptip1
3jsw9WvEHavkxPEW6/9Y2RNL3kkBjA8NEyiGo2Ht9taUwqlQBZ8bzloSqoOZpUWs+2IsfmqjOlmZ
VP5pgA1/rqTSM1lu2DERUJIoY3/2iZquJCHvoSPwGJghFi0PqLuAYPT2Y5IyTPOh8SZXegaflueZ
6nbKSXJK9t1memdKu76ojmxwu1TV5UN9iER7GAyoKXi+raJtGNofhXkJrBR9dMd283iq7i6o+ePQ
zAeYqKCAroby434+sAp4RFnXKwEo6buyQFNZLJOiCBgCIYICKsEteh8GpjQfW753JLMnxSLN5HYA
WHy/7q68F9ik4qznetbFtcEfJ/V1qHnyOf5UtlVsa5wVivrwNdh9oQuB3jyF5yBcCTzujsj8BWhk
FECQDX9OF2ZFvqziGABZN5GS3pi6FM6i5NDy4XXBWog6H7eb4whbAtLo+AcAuYAQ3e4CVirbYKhz
1jUA1oKyzntrftTvKP+tNSnfw8MoS9Tmr1s0owlsyrrozjAkvHtBsY9/a83B8DeyrRFRZ/USrXxW
2JEteEklGy3j7Xk0vv7FCl+PmYoow0TJ5EbClwDENX/EgSOO/UKAQDT2WxAc6StV4ruWlZld9Nog
FUkWjV82mfCPwQYVGKPriFHq8/g604fWPZgT12KCpU10bZM6QVHt84LfYmF3B+vnT+3JRkpOB0fX
Go39/VOZGhwV9IS9Ah9bzoY6CyrGBVLYOjpoD8baQ2Bpq84ZMyTPeOApaepYKUoLtUPCxc2JH+of
QWVWb9NrjAYIcP6MJGiN39Gfx1tlyQ2BcJqFGwCdxB2JbhJ5OV/VA+taEqNzrwwIz478msjGmhFq
pWS+wylMYCRxNDLsNZwKnc1AavN4LHc8FPMuvB4MtVCJwtQDz8GnlqKVvyU/REe9RNpxJgcuFTPZ
5cDohHoC4QXVDBQirp2CuxTCbB/8htBuFTSU7igH0OdaJaRjz7moRjUeidEFiUdjYqnvT64eCyue
bWm3AISqIH8PkVrEoreOTS5LVe09cXSZnHPyeselq4DXpSN2bYIaUKnIqTQxwuhOJy8ml/jzwwIS
1Kl2HZlQ/kiIBsZD8K08mZvNEaSovx8v6H2eERN6bZ/yY+DhR+NkhCGqrlSh6c34OIdQkVQN8Dv2
WxmW4VxAxN8TiMUgx/LY/NoEU04N8UmfJqo0ugUwt6qcb1qmTlZszCOgb6frEVJHoy5wLPtKGV0e
2ZK6MVnWUYvSqr3y/Hgwi4aQqZXRl6ygQZk6GxCdkcRJiCaXC9xIIFrzlU+WKK7syXvoJlYMNWVk
FQAlgE4EtWJhEiIlpHqjexEI7gHufdTfq3fjHcir8wBmM/ATvfY/Qt0E3AMkBePu5NYv+prLXtq3
119BrVwZK2lURczoKsUxkA6MvAOt3/8+n9cmqIVLQi4t0wwLJ7JgqVZmXsGRVO1+4oUVS/epqHlO
JRF9IXMq6q4m2ID9IQeadXIjR3pPN9yuakj0M3VScLuLJPz5eGCLYfOVORoLIpW9GkAFYnQ7kNDq
kIIIjMGwMsMBAlzR90DQmO4P7/ntFwI20/w8QWxtVWnkLs9wO2S6cxOs4H4qTsHk8uOhVDoSFEdW
NXz0T/UthwfDZ9iazGq/930jB7wNklUISfGs0tAzeutS0aTsxzGnTm76JF/8UuesdqtUu9yKJscD
MA0M5L2u7WN0aq31Id2/a2EbkPtZ9Gxug6KhsEqSJHJUtqzb+Z8Df8qTN2AlcU6JOH2mYWNP4EkE
x0+Alrkm7JwI1I+lmhHlvZVIDZ4BNdyUnpE2n6AqNiT/S5omwq60ai055JmGFiE7XndoaaS8yDTJ
YAAVh8kVD4d30LN/7HAvDL8GC++VBLFKXhnZ01xL1k++cbw83pn3mURM0ZX17z+/eriMPpRp6myc
3KHetq89UBLKG8tYg3AMawOnb400+z7PA4O4XGUJTYt4RSqUN8ty9GF3nDy53kBGJdIHXzO9EFJS
UDRnSCcGB3Rwb9EPwps8gOcrw13wYjLaMNBhC1kWEdvxdjdGMovEQcNMbrutzffBMvLRThhThwDe
CQQu0EJ9bHBxda8NUm5zgljAoEo+6w4lyCQEnzSoDHXgP4+N4WcbQ5UNjCAZehG7Xz4QlMUTwz0z
giHjfSPbvQgFS1ODCMaggQRrxQnOpql7ErKAaK9iwUYPFgMqEpHzjGmYtMGnceRDRevkZx2v5AsW
TQD8Nq85uMzoLtGq8SKt6nAAU8KgOr7R3OGSuCtTvBAKy7h8/2uEWtM4CdpG5mFEgiY4j36WcJva
cKzyTMZgFXsgmPbQL9F93sCGamy4gPIUbNlddgAL7+bx1yzvbzTWIIXE48Km3ayAEgoPRRPW9RXx
F/jLTL52qj42meRL9M5yb0XMnza0FCTMMslYMb4QLQO7PDfWoK8EzIzUkip5NkTCVLJuPzBkaN/B
vtqyOiuTONm2w0SQGiBBxll5MBGmuCTRy8oHLC34zOyBZDo6qyBCc3u+2mRK1SzAWnjRqZXfi+Io
2+1F9fUgsFCqPAnDSESQL4+opoHGNjOa9llg1hz/7DLpnQ3QpaAoaKwBCQh/+xV40xRymMisC5JN
gX0pL5VmhE4dGGJlgGL+8ZjnOb03hnyTMHeBooB2a0xBC7jYJz7ncuj/DHGOBJG09co7aN7Dj4xQ
l8RYlvwQdTCi1fYgX0D/DzWjtHt/PJTF2wDu4D9joS9MsAvXQFsz2D8jFHi0H013SSNw2B9V6ZAM
ZgcaYW4lvF2cPh5NwgL4e0WQhdxOXz4oHJMAT+wKvKk9df7Kz3/XLu9m7u/v00Nq4rIbWjbnXcH3
5ZHUrBgekQQveMtn5SQjoT9lIzQBsumT66v0xEDUUiR+52elEeGpOBBR63AziX4YalY/FokZSR5o
H3sN728za2NtPwh5jRss4mqwSTUtXjQTh1iesCo6fkjhQXrDTHsm/j2kSfsRQK6qJ0M14UZASmmC
YE6fdIKeTQ1oBDJ/jOcW157LbE7q+kYv8MrIycTgJaxnRSo9sx2CEzTDJuIl5zJVNEawvtUE7KhN
bhfjFFiRPEkJ8aSSea/6ahisf7NPriaVKuzXXZ5qKcAbLprLkX8AR62NxHg36dC5yezHxu6r8rg9
kFz9zw75fh9dhSjgkR9Lpos4t9pzhgWaczSdTVa4Uf9YvN48T688aZ7GvWqxRrBrzyBOX+mJvS8K
UF8wu92rL2hZcZSlct6j7IvKmAwkWupnSdiXiVlMLz5rDsVGzVQjqSy2fEffpdHJmSF6xxF86E1n
ZuqLhl7/x/OydO1dT8v81L76qCCX+DKX4RIS6DOAOXHSE++NB4v1YzNLHv3aDHWljDU6rccCZnyI
fQp7JTA7zRaQakrrlaO6GK6jHjl3HoPD5o7XQ5vkLks4LLREJDBsIa27Cy+dA1JxeNQIHG1gWt8E
hN8k2+jY/wSpeDmnnFezoHdVuO/l/vsd1MzGRZDlrJdybtoZzUsDfsydus8mYupq9fZ4du/RHrMt
RP7Y4Yj973px2SAZWqDfOZcdTdn2kw1Y8HKgR4/++9b7VT9DFyxdw6ouxijXRqk19aYyHUc552aZ
KBDzk0yep7gCAaihPnduVVhJbD4e6OIFJoCSS+GgLYMA/Ha38n7gSWpTcEh78ds8M1pAbNZ6YBZP
xJUNKvjw/QJsABxsMILOHuXMZDM3n/VKxnElrl28tFCKw3WFBxv4V25HgzXLpBpkPq6agBnypwQh
xXwlrJjvvbt76xt8OefrIFVya6LJp14Y8F5089wEHzjqSpG/L2TCvkiDE66hjtasUVM3Bn6bCDms
VZ49gPMY8CbkQeJGPxX/4tWBjjGASv8Z17yIV24LtCCxz3ewpCZoPCZZ8FJGZtf9jNYADku7Abzd
ygxeBTpXpobEV6MfNIib3PAr9gnIu0PCRT9ydiCc/G/uw2tb1KBypMb6rK14d3pmEU1AWJzhfgm9
omugNnmutsX/SqOHEBbx9d/Bzet5NYtyG0rKqMFgLHZom98I0nvy5/GJXdoSVybonJU6cV0ueDDR
6mJqTvuPbpddVM4IVhIgi97o2hAVTBT90I2SD0NSOTkMROqD6eLxPamguxhCmOhpEE8tIKiQBw1l
5/EgFyPea+PUU0Edcr9L8ox3A207eQYWD73sHNLgxww4yZUzvTpUKpDwtKGuOx5DrSsLMhl54vjF
C1Nvi32Yv04siCQbK2w3dbHifRevGZRRZHC3IQWHPojb/SLWYpnySc27aaBPc3rHUBXDFzdV8Tyc
E0vKnKEBY2FhJKgBWFO/9jCdr0zam0GQFAw5Mh4XoLS8tc/XOePhjCIT1+hVc4KMzWgMumQK+ZaL
bFbegzgKojHaixauvJyW0ufQKvhrmjoqDD9WTYMXqyv9suKNZE0Ojme1ZyDpmViQZ/VAggxGUeCd
laO4gfpmAkoonoVKBE8Ym7FFyLi3AfIGj3fe0oX497PuaCgiqU77WWfHReGAIP8KlefHBpbOL9T+
NBFc6rMaLBXF+AzEP7y+4tweqVUbqn99QYZA98/Iuq4EyEvlXMB8WairIQ0DABG1vGMuNYkvDohF
De6nZzw1gOsyxtFbZdNdGhQuD5TnQLsGgUfqAA1jlcR+z3EuoCd93G08LTcGvjb7LjaqqiRh85IU
ayz4942Q8LYqZhGYR1zqUFq73b0F+Gm6sVDx+t6kZAqetNGsX6SLR9IXMz7twFa9Etsv1Sdk5K7B
vY+yJ0o+lMVOELppjDXOjcmu2h96O1Ggs6D7hvj6eJcsegaMDhwbs9qFRKfoyqECUVjpcW44fvTM
H0Zxev+3XDuZWdhVpPOBwbJmVenhj6jfldzKQBfX88o6NU5GrEfNy2fr8q7NbfGz9N9i1an8Zwlp
4TX9p6UXBqgrkReadcEQbFNx2wDmKEUeQ94d7XjSofCBhsByehcgyOWB6zxGosisDlm8SX9BTOkk
JmaOjBnoxyWHY4zB/8p8ID2mH4/XYME5ArMzg+RRDYFINXUB1hOUq3OVG10Nr/ipDC0tWau7Lp3Q
GxvUPdeOaSfzGWyAucPqmdQSGXEvg+wYqMrqEPmHAdrrUBsr8t7Ky2cOQMjHg1z9AuroZtXIt1OM
wnc+mmHd2dWEl3otmgOiM47ZNR5EgkqB5F5D6n6wRC11ynoFJLU409CHghaPIuItQm038CzXQzuw
ozsK4PrxFJ2JopXFvBMeQmgGop2/Nqi4U1XyQiknzPRoj3a0D5zAqc2P774TH2xPwyuyS474LJMf
29Pcw/R4mpcKDjAPWkzUjL/P9a2vilqJG5IBFfb3w8dPH5ItECC3m02s26jsu7h30UNRbwL7uKbC
Nc8ddcVfG6YLfWMDoIasAVjQTnYtPyntZ5+9J/LKy2vNCnVW1HzK+67CLmpSiD5rZftSpyrUeJBz
Y9s1Utb/z2SCbZbTAAkBLv12MovgP5PZQlnpcHjO0AUSgqTrlWA2f6ikdUrrdPxdrCzi0jbFAwmw
JNAngrF49ppX0T0oC0GCI6Eox8nb2H/lwaz+eJfcc5Jhk15ZoIN7ThiiClktVGVJj47Vg2x3wPI9
n7E50ZJ50Q7aYdAb8ivV5+6hkGQGbw7ooTijrvLnjTDbxpZ0Ds0Ngg4ZVWh+P/6+Oybr+RBdfx+1
zEzSSH4W4vuAtkN+EVm/xIqs3IZc8YvnpLptPrmRGVuVnVoJZM0yvScMOoMQdDz+kqWb+OZLqC2Q
qr0G3MM0uQAcijq0Aj8yIz9MUOOzHlta3GzXY6YcpKxUXF1qKATPVHhouIaefGSpTmCACQ+7zUeR
8oQosd9l9hr/wncwSB/ea9vzjrzacTG8SarJ37Y/IPiEZxcgjoGTEoQdBIs+kJdfrTWrJTSbP/u3
Ao3N4OTL9OSAnt3dKkxo8bJABQftrqjcC+hxuf0eyA0JghdMI+aiOufxJj+qRl89icIp5TholGSt
SiA8qTiP12DpOQimvr92qXdSJkut2iSwy9spkDb1H08jemptVg74qh3qIurCXuj9GHZiiL+xW0Oa
iO72a2CvJfAFEONQ20YtEIV8mk8SKqghX8o9CzPSr+fnc2k7PtSWjemSZ7gHNt7Tymtr8bhcW6QG
NvlI43M9LJbFSyZBWEPU+wTpRCjLdPvgoElP3hpsaHEyEdEBjw4OSajcUjcuiGLkUhyAhTx0BlJ/
H2Fs+44mkzbW1bWH9Bwh0gfl2hb10gmRF1b5eMSzrSWH916FRooyHQxT6lYsCbOLu7OEEfEqTgGk
bCl3oIIxVyt7DiBrVtVbu1T2Gk4ht00dm7z6oNyyakv/yg6qTxL7uEPHtPgEGpu8hitcW9WlCwkc
neiPggIsJMmouDmqpynjRIz6EL37R0Xntnpjz5ycXzj8vx+fwTup2dn3XxujfH+vJF7vV/Ny7ibr
54f10do9KL4tbN3XV02H/tnu5fzHfDM/S/2tsgc30TeQlDX80/p7cwmFjWZQBDboeZubMimH0A9q
nGgMagFNJ2a7MU6NSktUrPkkmzWg9VuJB5+EBmr6Z5aBtqTmjcouzuT8EsoZ60gozdkROylPXR4m
+M+K3hYmUXmu8RcJW19b8WCLtwgIuYHpEMBpgc++9ZzMFAYFVDzmvILh2WgFEftZczjaGLgbNeeY
//xijM1Oclr0Qa7BXeaTRu9Z0KALCio4gHvQaOsyK9Sgz5GBrydz4n4K3HlkrAAN/KP+eJOsGaLu
BzWCcIiHZL/bKe6H2KKnuTsWmNBijfZ4MZy/HhI1n5Es5BgS0ihKRoz3mZ4WkgC9Wf2AIKNkIqci
oS3hRd1BkI8hvzeXx+NcSj2AB5jH2xx1k/vlTKtO85MU5osKIhXKQRL+iFABbcNQF5kvj6l0ltHF
rkTFkdRQr/DNWJzOjz9icU8hP8DxAsrWQM9STr3JCg/k1g3nZr4d7yaifb7Vlt1ARsw2Tf/H03Z7
VMBLsAMV9GPLSxeYNp89FLBBOI89dbub1ZQRlKkCerDdxuSAtEtvgukK/G9IMB2Fl5ashHtLy60h
6YK0yzzp4AO8NTjEaiKG83zvhIDkA3mrvjI0eRTkiaAUkumaUUIzVnAum83joc4joY4O2DTmhwYy
+5A5otx9OcD/CBXPuhBT0rKP0v/V9PuEJZAJV4TIQFfgytzOI3lkkDpCEp9J6oBEmxv94vKDwkFM
ATTijwe1cEzx0ObAcoantQyHdDubKc8ycl7CRtodxg60reFkZM0KZc1Sj8KNFWp7inJeF0EIK1Ot
+9vn8BhvWBOsa79A74wufXmDO3GT9he2WO0znyfpbhJFBSk6UIPzuCZuBxjKgRhqHbytCmpcXz1p
3D5PzTQ2gSwph/b/yPuy5daNbMtfcfgdvpiHjls3ohMJEJxJUSQlvSA0Yp5nfH0v6LhsEmIQXe7H
rnqwZZ2DnXPu3HvttWjOZKT9VGTSMXpYHJO3++N7o+s4HDhAvQaybg4xrZH9VOSiui95gEf5vfI+
QDECY8YpG/YJ1dkWUAiFYRv97r7ZG4CIa7Ojee1FCH2oCczG+V7uHAgJAlW31ky1sfKaqB4qRRVT
o2hC5L5KDyziHBIVV/VJC2iWT3gnw/RezwEaAzppaKdISKSro51TO00R4C3Lw/2bQ2hpOZW0Gf7+
ve+PxhghdKEJqx6dZUroS8xFKF4gtKhL/TLOD6LM6Gyx1lC43c2Tfl3WE0fSjQjtdf9Gg40gRFtH
Q/8gHpGc210hPdpQdY4eAvu1fw3krdLoygckAgkArPcn+oZrfW17tLVSpauFTELfQ5Du5GZdpIRJ
du05K6wcQGlDLKZSCYMD/WO0xcEHRCU4SnFHznzFl10gZYi1C0EZAq4J1WdwhlQhKiiVRhYPgc2z
h6rwaprVfS9B586VoKGRB7JMxIwFtrCOwLprtpnqLfsoSFPSuU37FvRN95qwUf+RKE4WGfcH6udB
h3G6aPXoWdB3XghdLiCEcihys4VsCQBuB+5SagvdV8MJa8OMj8YIVQsDcHcAe0LTE7+/eK1zXJmq
Caqljp50FrO56j9GlXm/Qz+vI6iVgwUF2GUZApTjSqgqVBsh7uoBAxMBzhjqXVbMGTegSnoCT3gT
RnqSTIVAfp6mCHcBvQpdWgl1GeMsoaJV4NISRYBEgtyfuVH42tYuM+E63vApYAUcJGD4xnnBjrm0
4kaMHNtz+aNcAN8fLoqceOK6cnmgZG2zrjOfFHlP1cr0oqc8nFXRPgIxveS/T2Grbm1tPOwECaJd
iEijjOh6Ip0iqOSgjvijvYbMhZ5RyZh7i3RZUANqwJAhJcLj/Xm9kYJG7wfIN8qWcGmMQwKMq3YV
KyFV1+0TUiA2HOki5Tatvgmo9A/8N0ShUZGNDCTUSzCx1x3Eo0lRvCYEiCDETQQYY/rBvvJ6BP1E
FRIWLqmeZPzHh+bszyY6emsF49EGFDAHBlbUCV+b9jqZsRk4H0c3IchjdQSEefNyqWyguBAvS2Px
mc2Buz/i6Ti/b/rGEYaj4C/L37fnxfZEXWYUOnwqHLk60Jl0xjYkagDdNPqQ2u7EWXDjhYqs64W1
kQvC8H2TMAz6yX6lNNsIdO4sIh3loPY2N0TUh4E/F9nrwCXZVD7t5la6tM1fj3Gp9mJkB7Cd7tqS
VLOYQiUTRXc66xo6A6ayJcZXj87/IORz3enRnV/Cg68CBYaVlAavoh5upXYl6ewjHIzQn3Awbt2C
iCsJCk7coVpMGS2luERwTdVaIFTaZVvrtUY+HMlMNQpwdOO+9sUUJObWAX9hcCx0x/ec1rt1jWsX
CP6OtDzh4ceuUOMuLZrVq31ehHiDTL3ep6yOVhIC3W2ZtbDaRis21otqVsn/qGfgjZAH/TAJsaTr
FcM0fAVNJgF4G/5UMuJc4HpaQilQ4o+ZQFRmHrHqCxd/FbYZ8ibvW4xtNVM6dTeOBiiDDlBT3KIc
OJSuGxGC2DRlvVg4Nno7D9+quWNiPKd8p2Hxj27pSyvjSUyTNkQBIqwMDG3iS0urGfeSPSVzpPGn
Avg33q247/FwHercIbo1fqJ3Ja6ZUP7uEo0ssRy0vdsH9fG9eVffjzzROCIv+XW/RcWvawopER/i
qdfejXPvqg0j160teilIJLQhQP2NpnveTljYoKZ7m6ZsuuEpXJkaLSMvZH2lGrq77Yn8MXNm5EyE
xVdiaNaknNmNbYESEoCmhqEdwrHXq4XJO9tvB1tryfiYXCW3v443HERZAFT8hixcXBYVLzuJJiTC
MTfjR9A6R9aDNysoaxrJM5YJvX81cTceMwM97V/mhuZcmMsDRQUQd5gjkpvFVzMDsBrXIbutVofK
qiclO29uAshIKQjNSywAs9f2ICOapUFcCUc78kmzqAWDV9f+m7cHhwsRd3X+wParIk6m+nlzLUI3
BnWVA837N33iRT8rH8G0Jmj4I33iFz2eKr6+cUl7bA4Dx+QUXucGyGyIUeEWEFn8jxOH9XphrlSD
qnPLFMASyOCwNNB0u4KeOGSzeCEwnFClsR1iDFZp6pEmTYgr7DkFDpjbGHV35MKl2y/ChNeLxCoB
AklXAU8V99Bwupjr8ovg4nlJ2fojRB4lnHKVbg0WhyyDNqS5EeUebVw3BWq6kSr+eKLQxq2teaBD
KRGHI154GcpPH/glLcDbqINR5/56vEHwgoG7MD3ayH6TSUHk4M7p9vweyT5aUnCBUo1IHhHObG4Y
z4i96RDJeH6ebeq1FU9Wtt9yiYeHADQCof3D42lwPXmtg6oujcf1LhAfURwQnHGk1FEQum/+wVv+
ytRopGXbA064h6kTpU/iIoMEMkO4NQsHzbLECbTLt6Lr+AYCNQHkXnkZpXDjtzSib4qTB7hapafi
lT0py5bWj8ImMB4VfbbiwCHjEnefHw8H4XjMCTHOsbUiiOce9o45sSNvRGmky7aMJlppOyEWGBVw
bFSagpPJlERMtzgVsbi1lMEfh9J+YOegpDd6GtdSBgovtReOpfTgaySKZ47RwjWMDS843l+7tzxv
0GD+bWt0MXRMy9tdwuLopiiO0Q6i3r95RwYiOKv4VSWLhZXqX/qE1VuxtyuroxO1Rraj8BteOA4p
gI6A1HohL+pHItOdsVrlhDdf+153LUkvPu53+NZVBUIbRAUgkoVw9GhsPbuM+yqQ8dJQ9bp2SHPw
m+f7Jm6tEigBIqAJmUmoP46vp97jPL5A58IOoFwtJ0K18qOFO+HR36gpG54tYNNAXHqIMo1WI186
qhIx6EqDcrLu5JxRO7wrwMhQW4REq3csUDyJ32vyyRhvQkHcbsZNjKZ8azgv2zDyQgtJdB3OU4Vj
IiUMypqCIpRmsdBrZy1zs2MZJN2jw0nKp2xrckWTyka5uMi4yrp1etQCalldRkbZdDGHCpGsAyld
ABeDyGnAvvERxOlJUiOpRAa5LkkXHMbFdvftGIW3nB8iTuVI8Xsoi1FoynakGDlTvfUoOdl0bpXW
pAE9/zPw+NW859oqo5HGSEeFL+THJI3DHZ/kNUIWJZ9metyBzEkXYllwjAKIJgf/7nbPfqLkiJVy
aWoxYgTHrFQ0AM5dX10HkhBaaaj0lpvKzgcvIeerV6KU6GFcxtCUiupyocY8Mw/TWPFIyKVKDQ3X
sIpRLx+yjRHnqMMk4BIAdDp281c2bHKWyE1T2ToqdYO3CENVEMQl2JrcX6U3b4y/pw7smdc3Bkga
UdmpYPn4j5kKkLN00DrwrSWEmbtL29Ac03EnAnI3MoGXSxbO4rXNTpWLLkbK9eiuZN09bH3q7LkZ
B2KI0Ahn0sRGvJHzgzlkkFFBjd3+o2IAJamx5sc2VqfhrmhtrteBlQGYBAlLaQsKtNck1cWMyqGu
M8mMTtwWt3sLtVUc4ohAoiTwureS6Nmd3EbiUaxpzez7ZB+cRBQK5YSdY00pAhiLinXVbropbNzw
5fGlCQHWf1se3yBOwkdpL3niUXviUx2SvvmMT1ZJPSvq3YQ7cPMEgG8BunucqdIY4oGa0Ch32ljE
g/tJ69ZVDdDARPbi9kl3YUO8Hsgo7XhPYmEjN9dLsIuANMilD5+26axqnRgL6/BlKfOTOvn+vdk5
QCbBoYrcGLQLrg0zQs90nNOLx6UHM/c34OAm/Ziji2+PPLYKoWNFGL7dHQ0Q1AMAeP/7tzf4hYGR
n6ZIrS9rKQyovmXPXAALn5IaKT0R6TwlheL4PqlkcLOumnLCafv2Nu/1bXQ1ZUqEBQgybmy89fpl
awKtRZoMeB/QDa5W2XyzWfCEHsBj7dCpa/GW9zTAXP89Z6Nd1zp+6jsuKw5lB+vu6wXvESIaKBCa
P4TLWfp1fo4eN4sjECR7CzGEf7Tp/zY/RqUyXMoKjY+u10/cajs8AEBir+jd9lAC/TjzJ1bRzUMG
Dzb4/XieAmQ/Guq2TwqO83CkDpoL606PJFoa3eMCRDsf9hSh462xvTQ2GlutbXyn7ySEEUQjWCh6
+GD959qZA6kVMBoadMIhyieN9kVcB05pV6GIUIWZLlkT+iAfVjX1ZrsVQ8CTHlcQyJEl8IFf7+wa
+0KVFJyQXq7bX+ZbRgZdHfKmLbfz59pwH9ScbnQhIMf6GNDD/a15y0ME0A8VTSyI6NGCa+OhUkVC
VvPi0Zffsu61Sx4j5rXjjftWbgBiMZIXZkZ9ZAQhDuVCwOn1NJyarl7vfCCmMvL26BAX+0EkZMXs
VdKs9FKXIYcLVGpHGKpRkHdVyDjcb9DN1QNsCNCpkClDjuy626nLZyzfKeKRfWG2YTOTq3nCU1RQ
yLt/YkgeZM7xbMT0XhtS+IzTEtWVjiVVZVN4Y20rjo06sFLt676lb4nI8UkHWgdFGvi+UeE88qIY
x2HSKIKpBFqiCmEOvdkLejh/WZugPz+gaPfTGYJTIeH24ZcRk+ARXJrRDlXJHgW33/F+e25lM5Bv
BhGSIiDQB2LZ667bEaNxjoulRdeNvs5XUPDQfD0/h8toJS1cWa/0qR37rac+HoNLm6PrWZVslylD
2ISjgejHoFIGRt32YGKZkdk7WRllphvWwMG6p6eJDt/ayCg6AnwFaCfAZ0fHRVGKA9MBzlvmkIaa
KYRPqvsggCeojQ0Qn/ltqqvZDO4Xg9U9FYS/ecdeWh/dsaJX94modkPX1zTfaWeFRekvUX39C/R3
1kRfh8X0Y6ARDhxwwoPGzmige9VuOcaTxWOEcphyns2cXI9dhQZ+jbpwlbY+Ld33+0Zv3uVwRf4y
OvKBKq+LixTuLXz205MN5UGFrLcFmX82u93unKxWgg5FJUs/TR0XNxwkcAYAHwD/HURr8mgXB5lv
+3IRSUf+CyQlDcK8FGQ1LTO738Gh/aNBvTIz2jGJ6IRB2aY4LKQ+nfW+ijFlPF/vbGQg7pu6FW0B
tBueLHgEwa47frI7cpBKfZ1JR8QiyUCZ+jDbzXTogpMD8KwTW2NYDVcdw+UGa9gX7ICv+oa5X8Rz
g57NmlBymmOshg51K3Ssatxq4pb5SRs+mFFYAMqR/cfBPtqADSLxUu6o9bHdBhuOCla0Rlj8E3xd
M0+X1ufSEGlBtXo/0T3tx24YGR7tPcmTfDDHu83RkTd2vmQO5VyI5h6kblRSl68K/xF1uqvLKxTd
JGbgmm/aaygaEZ7n2jNfFKSk0UNGvXV27Kp54J3BTxHyerhyZ7lNihrVGQUt4DYbzmOyTUK9XmlH
zj+rke7SyCF5uG3TmQRxYiimFVZ6kLNdzpUkR4EaQ3wrfs3AgVJopsPjnStaKcp8Fx5AoP4q4mjD
00gPkKMkMRB+kmo0AuAofEmCTTtU768zKSIoDEKyvWTOYDNBXEA03LX45heTpe3DVvqxVC7mcORE
araHZLSq1EcJBf2nItOFEnzIKw5sfmiMspcYo3AN9eH+dvjhD3xPIHJSHBLh0DYcHWdq4Ha1Mkwg
Z7pbBbEq24FAxv+bjdHpVUNf1s5T2FiKM1S/pUt+ak/fXoZ/92K0/ts27dTMwTYDWz2NtyWgCqcA
S4RkS/v1fmd+Ym1GIzZa8k2XxVLNDbYIigWlxBJCQ9pvbJISTs/MZsnpB21KMOHmNAECgzcwnDfw
uWPxXJwjUSdnRckGMFoWlVnZYUg6LmiNpJnnERBHbdmeYpedYqz6iQsdOotkBmqdcYwBSzWym/iR
EteYOt9/YXvUq/GohtlA3XrAExcsEUA52c7kD49fpZ/sNlcpdAWIWO3uD/qPWMqoGaMxB26yi9nY
b4Zsf2wySIPn6LJteMjnZNtIEcz79r6zpT8240W/R5vRl5JebEuMt5iZpUskDZIBnj/PRVq+JxJR
eigIQP/X0eWd6hnRPFCs5J37rBvq4oltsB8cUITJ+X6rJmdj5LwXrlclihcOSy8JraB6kDjdfXPS
R02PEihGVk+NtwowJDEpZBowS6+bOC5+5tkwEwrYGeDqQbkDydXrBRHzUVFFqdQcC3npyYgR7+Kd
JuhlgiP3WbJjyLFJMQnnmQRxBZSM+ER74LxzK5idipPdaFH8IiGW2xDBnwnNWhbn0iTO5tZROtyD
A4MlnPBx9L9DdkzkYxmNzIm88FtMoLyPxblczpx2FnqLQHoptJ0kHCYm6NZ1DwqEgSlDUFi8fK5H
R8CrsmDksoV8x4rzHoq+1fsW/NOZt/OFl1ZmQemzyHmTs32D8dA47SWvJpCv46cAihwhUKCiVg/C
Xiyet6O1GzC2UkgViqyexNkTVogKpbJnPCxnySyC3o0OpFpnBSbKQNb2A5BVVF7HgJIMKpjSxME8
HA8X2+hHU0bjwQBSBjR/zx5ZwNqFoCEBuwGY244m+jx+A4wNcaPzUQAFQx0wMJSD4dDjPlp7p2Yp
AbedIeWSWUIGcylUJchyXroqnjgtRqfTD+OjUILj9bWYFCx7LJPH5NWODj278GrL4yhXmjIzEVwb
XQU/rA2L/+Iq4FhGLZkO0xsgmSM/ek0D3ZyKRvk2CqZqOybHdbTd7VBj20RCGWY8Zw2nMDPWiqHX
CsIdXy9x+luS0U7Sa3zP1njZAG8BYgVOBlfK94P/sote3ik9j9lEOhSybdBnMX3waUMuAuhL7m2K
4eZmLwdKIxwVUN4BzPN6SCufBSsqoPhHXzSkUJdKy59rgpV1OziRbvhVaLMcNy5nv0+cF7fmEtcr
i7Ah2GiA37023AeZ4tsdys+EyrVPctU1s5ZHRi2JHZ4Ikdu9dF4dnRhV8Occq3RWxHQowwuT56jP
vwIuamaFIib7EFi4bZ/wwC2x0mva+VN6urc2MhLhqGQSeFn8oRvcRqybhDYa6hVmhdvQ5WYJFdRY
vz8g43DZ9+IePA0gSOQBKzVyR+vaLhqkM0AImlPkiXR/B5bOXbSXDf+jmZXguWcMyVgppjeXZg2N
5qyZIVUGctN9QLU5VAvgr3smM3GOfb/Txivysl3jFZJwPFST0S6F/5Sj0KrNsoAuI8I6jvOiQLOM
CrH+5+n5X+/t/3I+k92v7xf/89/4+T1Ju9wDkdzox//531VR5q+h9xr/Rqr887X6Lfn67VC+ll5R
eu/Ffw8f++sv/8/1j/jWn7boa/l69YMRl17Z7avPvHv4LKqw/G4FWjX8yf/bX/72+f2Vxy79/Nfv
70kVl8PXHC+Jf//zV/OPf/0OihzwSKuop9Y4EevnWw71vy7t/fmHN68RvrNJ8q8kDH6bF+Fr/DH5
oc/XovzX73j8/qGBXoMfZB+GmDU2WvP5129QeoAo7ECMIw6/iZO8dP/1O8Or+EvISKogWpEB4xxW
Y5FUv36n/QGJDIRuNcQJcAypv/+7xVfz9vc8/hZX0S7x4rJAl8fXIAI3+NJAaiVA9GwsDBmqjio2
duaeq0WXD1q0T/1UCmL0AkJV5bWJ0U1bckKZcz1MUPXovNZP4bZWYKmh4Bu9v0eHpX61Fa4tjdEb
oaIkgabCUmLk1m4KgPrz7B8+rw25TIRyETEZHYlOXMWB6DbuudFzKHBt+rNtso/pxpu4tL8j3T/6
cWFodNSIXKv6Kd+65xh0HOBV7kEPkkMn8Q1R+RogUGlRooLC3lWIjlfzjuYbwQAtsUxVM4A0XWJG
mskpxv3BHb8uf83jRatGB03ot47chx2UgsFGU+qBZSafmlGZJbQ98tf2VL+0IpGnqpPHAaQfZocV
fHHjurnNi5kCs+yCo/ljO+9XPhQ1zsWxXnILRGJ2Ra37EokXC+XxH3QZlR1DmgAaTYDHX9tmMsaX
Rb90z9x7jKK/nCQviV49qy6B+i0KL7eB6cGNg/P4dt/y8OHxCrg0PNzOF53WQKCYs9yw1DpDAXlU
TvrT+9TN+dO5wIK+tDLamYVQu1Clqt2znEPiiqTPbEa4iOCZBoMiysChic7o9RQgeAwl/Z5SBIyQ
YOMl6FR8t+uid7WXwGfiNPcM1s08LkrTcbreaFQtJanEQ/GuEVgdz/59JPkoy2rnAvjASZTLqG0B
lbpeeUoG/vIKleEuhDpDTtxoZRDQoFUOPpO/oHITMRbVNyI7suGWtTOgbL6STnEtJYHwKVczHggi
eRrExbnv+sLg+tSh96dwnHr90cvRcRFzrtK1LO+e+RmzLXfgH3vwdG4DpfJT98Y9A7o04X6Pkc8/
LI7Ojdh3OlRU9O5ZOIiqDqEVcLobkQH29S3j6uqTyk8cuD+dou8V9PdMjs4EuwvzOs8495wZ0Wtm
gSEeRB5Ga4Yr6J+jRkYz6l1PQhpBKJrDaxMlUo6hAVsXWB7INQCwA09XOC+scIafgy1DeYCL7k/E
D092aCPqspDww8nNf8/TxWrr1Zp14xJtzFf9UttE1H+5b+CbqnC8W1VuSNWyEMcEjP56t3YlarDE
3PPOEel0eYb64HXwkDzkHyVwFCSDY/jegNz7qD73S5d22/IMQSvG8F7KZVetS9WU592OP4DCgiA4
fHaobbQ+9ESJMmdM7tDuMotViP3p6xo4CKQPxHoCztizNNtVH8HOJsCdLyF7TyKeOLvXZjI1+80B
cq+Ho7UcuhnHli7jAkRYGe68RiQT7KJmBn5XkIyyRvPAgkt54R7UOcB4ndnrNkEE2xTfZJLr7gtL
bPwTmiQG8l50Kl0/Tpx8L/zLCRgt/K7r+ljkbPc80NF1C9bVi1NgVbPaKhOqQJG1nLULbsGu3IWw
01aT9JnfRej3xme0D+I6bdjaxgoISLoSF+5zSKHtrOfLZhfoj4rlDwTrNACZywLJDn1YFNki08tF
sXbNfNnu47fd63u7Dw0PdTq+/gRRcCo8q+DJom5L/HVy5h+KZcOSdN0sp4gLx0i4X+OH6l34oQNi
dFwK6/KBB6Sv651LgNPjec5TPGzfJZOjA0GXYuBMTg350BvV1vso9fLoTIqPDivoxwjCrQUJBjxl
NOV6D/GuwwD/53tn78Sf+E/mQfyQQUm7iCMj6CmA1CiBbibFkob4xz2rI+eiLxygNOPIO/tmupUs
huyKFWh/Fs1yKl35852GYwiyvX91cORL5KmSajYDUwhSlyRa40Sw8VaMDXuDg3Oq0G0cJv41pRfm
Rh5EJmhJALEc7yzO7EVLUU2/scHw165aKKwym/YNIO5ndg4FLJqTZl4cUPdMvamw8I/406jTIw9D
6aKwVyJ0GpsSFEep1c/CN3frQnjVWSBUY6RrFOT4a3vD4uyc3T+XxxVjv8ZAGuqAgXgYGG6u11Qc
xi0X2RiDygATMvW3IfWWIXUpg+Lc9Kt5zmhFkR0BG7JDc9AfqjrkKO83ApmIW2tMRtyTB54HikGj
AGBXaU6KPJN3fpq/ReCdezqs306mtwGmiGLFQe0D8Ju3+fpNIcsC8FMOmT+DB6BwliLzu5uLqCXe
8jqrR4uIPMmzl4L4ZjR7xBnimg9GoFsrl5oDvgtqezukUwc6vbeTYx4isrXnuIV1cwlelxxJZYGs
HZgoyMt+rZjLZPaCQiEUmGF7EVMBVac4Y8m+peGqNdfbmjZGgeJaPST6rKO7T3P3/PBudFvEbXkD
AiVI9YMkgkCRiixrKi+2AH69PLoAWn4hKUHWpxcKbr0TSIvJe047fbsGvBuUe1ZCHkMC+4QzBfJk
2nPGiL4HgDOB/KX4aoGv9uRz+zLgRfYJtFEPm458rF96dIEuGWo8bEHRtwLjFJHm1NwvTqjDI2v0
5wPV7ubR+nBMFY0L9ZRYYHi39Y8n2zi92GDQSPSdhOsr1A9IlkBOa4uxHFZHu3zDfDjgIozQZ0R0
yFwi+zV00+h6XpLHWUteutnLUv9oqYD/hIrHDsOL+k6Ku1xDy4vZFvhTDT6XhkI3fdajh8G6JA8y
ZrXbyfjKUI2OfWfi+yVB+TJyusO/vCN6ZMxUorcLAZU5xmIz5MjnO7MlzxZKjA+CPqv1eUF2yCdj
3a7Om8My1DdkB/ZuT19ZCw1EqBk1FquF8bBCcYZGnzKytCpyyI05QlMwosPTIrqN5fX1CnSxDo90
YP6ZPYtExIrbOQYg6QTH+7oiG7CpWhAxx+TywAVtDjyxDJd89KaEARUW7y6dNSazEBZDQQbZHDsa
ANIDIFk0kzFwxgP+AcVsZ5g7n5zA3EKRzkbqMyWrT6hAQtjEXhoLTh9a9pnoJmWHSm5d3m5WMIR2
6qm+3nrU+DLoYvY5ODrG5mNd6YvK0MgRBxpLmp0RG7PPXvetzFhXi32ngyOvNmvKmSW1AmKtBbSf
X5ywuzssq/X2saZmp3dGTo+n9VYiT5aCHVFTdcbODGsQoj6tl3u0PKDwyAxwIiF2t6yM7SmgJKFf
Ajk8fWAlD9tIIV8RNazjSTd2i4F4djN7xvBF5OtkPTUEo9tRf/OKohWVbEBw+QzaDmNhlPuODvQH
tcEgWukSf2kT3O34P1hX4cSZFgY7XbgAwOKrw/cq8DJJIDhDg47GEa1Deb+tH/ZPb2ClasE8gOEl
2HlmQfL544nFjMmzAbgPPs3wyBKUImzyRawvCuv+ASfevLkvzrdRjoFnVNkD9753VnC8PDHLp56+
rQusmhNmChsWnKprUR9wton+9jgrkZN8R9ggm59Vshp819rITEE//DOvUFMFPHF51A2PCyRT3+Yk
hsk9RA6+cwSebs/SuRMgKeGbJQJQzVa21ITEBlSnsODuj8s4Jfrr9rkwP7qBNVdzZTEuBp+Q378k
m3au4BwEua6wsS15K5vpIthO8W3ceuwgkA46CGEo2xr3mXUDFG4IjXcuci81XMneabyPxwaXvcbI
x5G4TxPdaXNlKsp3axVAcBLMXnjPS7I6egNFkZo0HAPDoC+bs1/ql/jcPPFPeJGka2XHPP7Jxfz/
WQQaNRgXq2qIcF9FnB+RTXm9DDR///lfgWUGOaE/kIdiFXA3IjgFbYl/R5bxK+0PePEaePUQKkZ2
BMvk36FlTvpj+NNwh5DIgEbpkKT9K7Qs/oG0loQaUVWGqAKAb/9JbHkUARlCS/C7EFlHTTTIbn7Q
0CiB50uu10rHFlw+K7FMoKTmRwyNfdl5kMK2tviAjR9FTyhA4x1oiSXGfDvvcnD+ZWyd06rs8VJ2
ubyfiAkMfv3ffj9aBolUKHVA3Ag6lni2j/zSqE1Zx/GY8mizbk7tEqLFmZxxu0yuwbjMiKF5MW27
X1++DLNf+4B/2sN0IPGNGIQyjky7tdhA7cCpj04RV0bYpDWJ/GJKamAUof5lZkhpoA4dqTuw0lw7
vK6dBhyK3+pjqgSBETNaAsStqzIz29WaB7XqoTzjq+Uq4mWBlgoCp0yWV/8RIgaNABQI+x9ZUmQ7
oJgxesl5gS8WtqYmJ0ZiOqvgeeapy7qQqpFanbucLY1EjaodpN3YfS7aAr0/1D8HQQWPOXRHkBRD
jBGH4fUgMKIEuYGEA+qo1JCRTKJIr/hW3QlsyW0SSalpJfn8UsiKduO34lMFJqaJs//HdAOWhJqL
74QK+Cq+w2YXIae4RMK/CJ3ylPO8rWsRX9AyB0Xe/Z4OHblaxIMV7F+kaAHnxpl/3dG2RWk557bl
KZOFfM57ADGwbiVB0wK1lvdNjUKLw6QiCC4AVIzO8MCOjy75Pq0bLhG77tRxhUQLvww2TGILczZQ
tUXNS6i7TFKXe9JK5klucnkWgkrO8hg8vmzH5sGGBO6OiTtnWM3X/UeODOWtgLNAnx5AsOv+i0qU
+VGVNydZYF4qEE4auR1bfivt2xDJcS+d0lT/OeAa9jBKdpGwk0HSNdpePLiAajkNu1PS+qVRaVBB
dHgISruRN5X4/2FKG4p2sHyHeggggocVdrGCykzqCilM6lMITBOJPFGhvVa7RisWvH5/bq9dBkwt
TIGVUwUPmopSl7EMW5xmfuraTXWqmDgyW0VjFnYlo+4ll6SHpJNZg1Ny1C4kkWDct3yrk6D8HEhH
wGAFDq3rTvpl5aZikLenCFFbiysrhspFEpqi1E1xSP048NFJxGYh3TNksKDfc22qddzY03q+Pdmi
vVKK4ImrnRCFbp5A3EJ4u9+vHwsTxnB/IuA8ZI0wqNfGoLyqhMALVKegTaHEhEKfWA98BSDgLkpX
vcdEywrkkhMH3w2rQ1IStz5Ob+kHx0Pe90EXKy576oPIfgua+F3wcm8GfnTGYqpCoErHCF/3e/rj
oIODgYgWQOtAdAEnMtoRaIVY11rGnmrHqQGdswMdDmZo/cdWUC0/qDzBowDMdBRBiesGFful3Z/k
wtXg1BYlUYXWnrijR8Ux3xsB4wYiNXgrqDIe112B6ECoU6mG9nCqriOwxqQOlKXLdBd61arODU54
LhWJaL7lhqeWdQyf7ay27IjswH1oT/c7fWNzDJ4CuDTgj4EzcLQ5MsFNmTCJ5JOaC6TwAtInLeX7
KYTYzV4DZTCk4wBqAjDxerF2gdL0dVfKJ9elvDdvoO689NbqoRENYY9B4OfZOwiJnQ8tJrY2cfbc
6uSl8dFOSTgl1KK8kE+xtharlaJsHHciK/bTBPicBxYEgC9AiPAd+744SWshjtmQ8cuz0LLhLOzz
yIwCBZKCoRT8x+sUixQbH34lkKi/IoEXppgmEkU3qLRT1siNEfBQVpYzFJHfXxjDE+H63gP1OB60
4MKSoJsFAsvrGeMUPwcgn9VOqlonAVBgSfnpoJgd3PC+4ifUTvgBXZr02aIJw2iWlqX7lYFRoCQO
1/qKnmSi+MxWkTYAx2QwXiaMGH9EUgzmHmTK+ojYops5OpjhPUTDpVCxIdoUhI2uCv+HuTNrshPX
tvUv4oTo4eVGXFaXre10k07XC+FWAoGQQEISv/6M5XP33pm48qwonm5EPTkqtUBoqptjfkP720Sq
+d0INpWvikzvGz8mw96aYCBXtFEYK1OiobxDYrn8VQxNf2mi+3PSwfuD051FMNPGMrmay9OQK7rA
evJRTN1wkH0d70YJbPb/3s0vr67PswHqP9HDqMPBQQbJvZe9LFBPNkbFVD76GnMnr0MoAGo95NFN
VDb2mqnE6ztjyfKurTlXh3Dq+guF0n8uWiBYgsgfYW8TJvH6lLIERT65JqCPqY3Ka+fMtI8I51eB
HcSBM/6PTym4nsa1xW+0PtyV1pL6IYFrbjhq/khGinTAAgJw1iOv/k87Fr+C5iHZJwD3rGtrIxfW
ro3gRMawUtOKxjI9tl7VV9zO6TtB5/GWClFfx8pFlYfl7YUJ4c8Pi98/H0txM4Qj8O8J8VmUjj5N
kJQQ/BG5sOaN1POXQInothmwyclQILm3zuWsiofgCYbY9EL0rvJA53F1/nlkgkiMXy/WdWuuswUo
JVn72LGksiQ4YXkdb3NK1MHFXn5sGW2qDEC2OxNj35CppYPcExKH//0r/BlEGXhQcYYNNJZWaM1e
Du+olkkqA3wFENuWk2s0LtzNMJ02/ApMWcBwOdsKrlXnFmYpSuUYUYMCyGXqnLuRpI0uOGb97btg
vj3bMaAu/PeJ8NkX7SwqQdKC88dMB2FlLZN7FIdcquaM/u5noB+ANwiJzju81Yps6lnX80zaRx9w
aIH4MN0HKXRZEwV7xjT9u4VJCw6hT8rPg1XsvoOF/Kest+Q7KadmN9S1O8Si/pXnbv6Vw8wLZbAW
vJgqWIT/FfIgOiUuRgFHCjnjoWvOtQA1D3f1HKpL3Nq/iQJsTKGmOb/N+bi++v6O4uqyNu1jvygA
gIFh3rkaly1TEKKCxkfJLqiHb72IHuTszYUpYKU8+h0E4IGU2DCCWovd1moJG/qpayTO3Y+iG9MD
+q6tdCDDa4ie9JFLGKb62OVXVhmoaFObvhnm2r+Hnrs5Ul6zDbGACm3gSHF7mSbrvshw81PaXsAU
rCP59USa4WhZIi7Ewp+zOZYT7A1+/w6u2FZ75bnM3ajnpXlcCst3NXfs2JQUJYl9v1wvQ+ou/N7f
dDJEnbDVAQAamhTchLz8xEiKjhiu4/RY2vmLzFPI11iUVjbM/PXi4uwp1PPTnEx0Pw8WKm5DSOWg
tLqNx+GSOfoftzK4hyHYgWGbeRbPQ/r18mFY0+dd64V+pLisVxWp9XSDgxLUSeXEThj102d0nDhm
FOzqSjL6yBp1kea7DuHzU2AtBxf1TNJHKL98ChXgO/M41+crAyiVOqU/Y3tKry0ZzMESA08wQWGI
O/bi6FPefdMm9h/rIPopSmhsvX7v07G8cGH2G4Lz7CIDa8H5fgWIY+CqYSWxrsoPB1uIvqjnpxyr
/R01sn3KpknbqoZoN6rGvOhnALunEIko69N7WnTqKVM+0ajrXiCT8F3cvVHC1H+xUJMJJ84uvc9y
FiOtZecJiOSsy6BFonP4sU+c11Xg2fBWQ8+Jgm1UUjxFtDSuWrQVH1U5hKQK4rR7N9kpfMB1W9/i
/qZJPkaTjF0Vp4oEu3Gg6i/adOz7gBX1Y9cPbQyn0elcdodjmq+IXFpdAXul3s82EH8JeI48ekCG
0yo1A0MWE/5n7S7MWvY1InppdwXj5e0AEOn9OIz0+9zHAqtSGg3f4gUUjCFk8Q+dA1xRtbyPvsVz
ATxHlLnkW1hS9ZAsRI+VFClFKk0SbGbBbqZ3jY7Zd1lChlAJi815nJplrlRZjh+DafAON7GyXHYp
WyCSG5hsvxDR1/9zNPhH6Yr75vs4TMMv/VIL/1Jl/3/eyp/igx5//tT3X+X6/3yhqf//Q0R/3uC8
rpn/vyM9S/HF1+dZjPOf/L8kRhr/F6wnz7fV2IUg3/AfeXyA9EYKrCm8IVH7i/rx807pX0mMKPwv
bKTOrBlCkLYi50qyfyUx0vS/CLYbYEFi+sN2Fvei/0Ag/3LGCHDxhDwIVqjV/ihRZoBrL+tANjWf
l9J/w3XOs454dykn8J+WVwcL1NwTnRi0jNIB0DgRdWNRbWt6NeM3i9eJcsCx+jJ/R+LgXRfGlxDI
r3RIskqZSJNHouY1PxAbL/coX0NBtu+yCzuD11pf7a1qIKyxJSj4IZyPZEh3tBkvnOdea3m18Awt
aZ0vQn5YnJjBySXgRHBfftjU4+sjU1SPixX50B2kHfNdk7TLPguSz9saP19tPNvXQvSe2yRz/GB6
nl1Rob9a3Ldv7Jdzfz1rfCkmZO1z4HvjSUFrutw1I/2fSe9FkdDrWa9/j/D1BUUqnCs00YD2lady
QgnRtshZn1nw2aTEoY0fsOOO3kypMN/jtiHuwhHttZGyCsy6mPOibUx3MD6+xg78I0/zjU2vAjNX
FldCnegObWHc7dCa8L4ugn+0jf13d8eryEx1nhicavmBRd+VROE3TbfNJ7/pu8/GSJ1ltcvbCB+y
FSioLjrAOftuY+OrwGzmiU/JkPNDI9XbOprpVSodOW4KnXi10SNxMcgplN1h9L77jks/ej21uETZ
1voqMJMu4W6YJ9AVnha5iy+dzV4ZgOu0YY0Dm2/g83ywkxTVGKp2lyzhtniPV0cuEReZwjEZqG7X
nkaKg2o/u61PvlotZw6/HtWM3WHO6VR1rql3tjBqY3evApOJrl6oxeJQlB0mlKLZgQU9bhyGq9Bc
cPqydFo61Nk0/T5J4UTtc+CTNo2UNdQsi4zplwGty/ZuMsDKXsiBvjJUfsMQnkUmjnuiBX0SevFo
vu/rrq1GIS+4zr3W9iows3hhpFyAIkXN4vXA+/4rG9L4QtHEa42vAlNlxTQ5G7eHNsv4X2NGJl6V
03gprfFa86vIXHrSqCbJ2kM9NUfU+CdXPgwunaxfa/z87886vRu8CSlBx0Rdh2v2VPCrOdMb14i1
WrkNE6JF29f7cZQVAaAimn9sG4Sr6MxAvGtZo9vDZBIcDk3yI64vAYNf65NVbAqc24KOgTRSwBQA
uhqcQNtLxPPX2l6FZlinuVpi1R4Af0+qZpyu+ryX+02d8rum5NnH1HOu/TjiwbmFm1Ccgu7U8odt
ba92s3PBRB+lePAWzZJYfJr6/t22plfBKRycaQuBpsdc59c6zm/I6PJtq+b6apyjujMZJzTeM/jV
pPsx2fjUq7B0UzKNPdazg0cSCfxBpKfy9pL86ZVhss4HTe0wepIxDBMVJLsJcNdDVvpP2/p7tWx2
dSAFN317yNou6U51WPr0Sz7AAnjb7u33Ld6zcYiaZS2Z7toDQ1FtEXxm4yVk0Gv9sgpNnwfG1TFa
HgJ/o6kMq35aPm7rllVoypS1Zs4Xdmh7+y0IzF2dSrVts7xOew0kN84xFD7Pscvet8R9SlL6z3IG
/94srxE0tVBNE5emOdCQ3UOjhHMPsdO2VZmsgrOMNJzam57hNPhzpNeF2HagOis9ny88U8w6NVO0
W1soEspg74C62vQh12o5oTscKUPODlYcbNtVJTIb21o+D8tnAzuiSYi0XscOpClQLiHEFxxoLwnT
XhnbZBWWEDrisXXKDo3m4lAEE7Dt4Mxse/LVeikC3FM1IRqXzZeSQUbNyLbt4FpsERDZtjROGEaf
K8ClCktcF4TDP8qH/Wdsr4KStCSVtkDrNZV3CKCHSA+XSn7/vsMBqHz5NfVoaWACBKWjX7Eo86o2
8Nvb0t9/WFV0RRNa059HSgdOTAHd5ITs1KbYATHj5YPbuemjiKLxXKOYJQXpftvWB5XsL1s2aYSz
A5BhiBu9S0sCM8CMX6obfK2/VysmkECJZjP6uy+QBml7GCfRMrCbxmG6lhe2rQtaH0TsEHmYnxJL
2510zXza9j1XwZnOs5ldgdYHYt903P5US3BJ/Ppav6xis63Heo4YpsIxKJIKpaQoD53qTSvPH5qP
hBZ2Vixjh0wBylmg5nkX9optCs80P7/SswlRlxnVutcIIVmbU83h/xJb0D23dfoq+KORGko8OqYI
JER47zL5tKnhYhX5Y18smtKcHeImQK2mBat1tkWxsfXiZafALVG2nA2Ys/wCKVMNi/FNm/DfbJ/n
3U0HKyxXaLlV7d6PV91yiTfzyhhcZxHhlldaZMkQm8EAv5n4mzO4H9vW26u4h4zCd8F51eRw5d4z
n4qdcZegdK89+GoESlXE3TBMCExTumpeUCgHNenGJ19FPZu6rGeBQuP6rvGnft60qYIY+uUIySNw
kebFAHQ7+DvZdffLfNjW16sNMhmLxRUlAhIUg7P0YdP2AdU5Lx9YJNZMbBqxNyncdRbqW+Q595ue
eG3rWSotCsagA4+X7Ka397FvLqijXhkaay1252NiXYLFTLG2fY/M8acz7mjjzLdagx08YHju8AmH
LvkwFvdS1dumj3y1Bjt4I+sxwTKZwEnKHATbNujWRSxhlwTjOCEMwyT87sOlWpZ428YYkpCX46MH
UXwi7jzshmA8LNFQw4n7kgf4a99xFS0xiLN+UAKNUyG/5oUM71i6BNO2IM9XIdOV2Ti3JZo3agFH
m7mTpsGlOovXnn0VOJJqUqgB+9eUj+rzUsOA5hjnBpbEm6InW61klBAetFRi79C1DzwEV6PwV9ua
Xi1jw5yzbp4wwvs+hDzci13T822363BnfjlgBlSl5aM9h09/yhP/1jt5gVL6So//Jts825L4NoYN
VITwiUVxxcWiTiR2/8zz/l/HEeTQXz4273k7oTIJ3kU6kv6Y08XDrKw1buNgXKekCSYV5RaZHbVx
BhRy5a46lrt3mz5psvqkTfG7jkRkR2uKbNfOunjqE3OJiftKz68rJ8Z+YY6bLjsKf7aA5ix+Nyut
t+191mlpaF1KHek2Ow48QoEz4eCNROkl3usrz/6bePFs1Iyk9zgd48OiUnK55Z350aooeb+p29cY
ZyMXGUcW7upJ+DHN4YPgtmkMfutJnm8IgSaPLCCNOPQwoBrietplZX9JYvZan6wmxlwNQOg4NN7Z
4Yo190vQbDtNZatZsSsijStkLBe8mN51RQBEBvOX6s1eeex0NSXmfgE+VJj8MJd6voMCUNwp5PC2
bbDSVQhlRFLe6yU7Nu0IwsqciGtvVbqx9dW0yEUI2NuosyOdZX8qR71c15peosi81jOrnUWeS+1C
3WAFqu0MGh31B6i23cZnX8+NQbF4W47ZkZeTuRrpEh4drle2nWPX1W7k7PMzCpUdCyP7N2VKgb/x
KFncFKFr8a5I68bXNc2OjM8EXKapOwUsvDTcz/37H1Hkv1eNtfBKYIMhUnAXj307tN/zxaHAYoqX
alCqPYayybYtfetqr4yjclaievmY12N4i10TGGUNrffb+mgVtINnkbN+wFtA1PoAU734mnflJVPu
V8Zmsho9gQhiRXIsTX1rALCQKBK4JzoNNq4e5599Nr+TqU4CH6D5IgqHowoKIIkAit22hVyrg/LQ
gz7QYNWGRP5BBQ6O4XNht529/pAIgSRQthTLKm/65iaeUndVk2zrhmM1yaPmuy8FRVyliVMf00FE
v9jQ5Bs7ZjVmmhnVU46iY5w2/b4m+XBlsOvbtvldq4RKMsX5cI7avvD66IC/r8ZsybYtUmulUB97
3jNbp0dqDOTcBZx05oLwbdeVaw5rAr1eOyaY6XXLo+M0xxoevP3GAbnWCjUWF/KGBXj2VLm9Jhbl
uVm6TbQGwfbLYMq4UlOb9xgz6RxdYVtQ7JbI8+OmeWYtGXKLyqbCEARTM5m3LKV0v8ThJZrcK/PM
WjPUo3gIQiebHUcr3qsgTW6MSLJtR6bflNhns4zhXMjIztmR6OEHn2R5HeuLdPjXnnwVqbQvOkaW
Ij2aLs32NObmxIJgmxb2D8+b2Khm4ZnLjvB+YX+ppItPbS6bTSk5lOi8HDE8ace46+PsGGqgO/o6
yW8CHwPGu2nIrKVDggWlBKIDZwNl/K4uYl91ueu3heq6zqPOtO9CUabHqO2BrBM+2xVLW2+bZtaV
OnMtZRtHCNWE98GHGkLTfSiL8hIX8pVRsyZqFLlJ3BxjSI5Ibd+2onE70rt5267sd33ZswEfdaXu
HUc0qSbKKtJzuAEULLkQTuf55G/2TWv5UNFGzdCnUXY0bJpQgqGmW566+ZoPqthvGznRy4GJqsh+
qSWmMrh3+icZkvGh7EvfXBiYr73BKmYb0KyQmccbjOUg3ox1J3a4xMLgV7l0F37jtS+8WmPhxF5g
0GTpMZYuuy5ZQJ+wjNvvmzporSkScyNC/Jces8I0VzJs8tME8vC27l8TAfq8BcphTtLjshTtyY1J
fyzn7BIG4ZWe+QNuQvHgWPbSY0GbHIeROj9BF9BtuwFeK4tQa29w0MHQYUmQHQAxaQ4Qc19Cmbz2
7Ks1NmUkUDpZ0qPPmD0IASeSmKtLsILXWj//+7O4BTCCZdOCk2Aw0f5qaGD/t6Ry2bbZDle3wexc
xwLnrBz1ZpgroVYsrlAttjFVtVYXhbq2DW2x6yO6lz+chDeWpcJ/3DbeVxGrU47SVIldn0YN+yEK
bHk16ibftmNdl/XORGHiC7DbbvUMflTQ5uNPCfP6bQrAPyBgLs9Gm3q0P3nUu1bFkuenek6CjXPN
WmrkAsmFAFrgCDkG6gzJ1Nyh3m6+MN+fbzn+Zr5fa42gop2b7Dwqp5jPcMxCjmxXlkP5to+beF/z
aakMkomX6tdfCYK1BGlGhqKNcp4fYyRs91MyyjcA/rXvNg2ktQoJh7alEDUuiminVBW1CduFIXL7
21pfBXDmbOaIxCbZQ5DwCav6WEG5kXzY1voqgFMMGJ847KcmYudb5P30cRn1NnlguqYlFGU4ckfT
7JhBIRPuBCoMQV1vxrjelulaS5JCpMU7iqnnqPpoeTRFnfway2LjJTpZrbcJJFpyjtA65PvloYjk
U5N2fr+l52HT8XJi5iK285zmaHx27sMMBPxbVDP/M/rQvy6igFV62XofDRHPATc9TlGo382BD3d5
3w2bDm7w33nZOpCOAQvElB9LbYf6ui7C4YNGFASbxjyA6i/bD1A6JkkEI5h0NGUF373uGAAPtWnQ
oHL5ZeutSkyRyKE8TlMbv+m7ntyVE8+ftn3XVbwmHKbBjBXlsZhQrReYvPxER2k3XfwBQvDy2SeC
esvQxOUxT1R7LT3rKyrdvGkmA7/tZeuiHhZTBFl5rIHhqkga998ZjYef23pmteB6FDSUs4nQ71ng
H6E2033VQhn6flvzq2hFxTgvm9yXx4BHSu/Tpcv4rqxLv+l2DgzSl52TEjE5Vgz1EYYN4f3AdVkR
Ml7Cyv39EgW+y6r12FgdgRxz7FJYvihi6/2Qtpdcul9rfRWwQ5OWA1gL8JDnOqhMT4IrqbtyW8+v
JUXNFDcdSqHrc7Kxu7WaxTfQpuht4VqswrXvUA9H+VgfmcTGGw4m8RstTLJNegZI28uOb1hd9gWb
6yOQnuQQxEH7tRe9/rZpUBareB3jyVMTieDYWGgVs7mNjumMJNu21lfxmrtyqHEbEhxZ2Yefsnjo
9tKy6ce21lfxukgO+3XdB8e69+5girA+WTBqNn7WVbj2IhjbqezqI526bheMnr/LYx5/3/Tsa62R
dwN350zSEXCJ6J6FgfqI8/8lV7VXwmmtN1oI6zVcJYPjrGb3FDnKb+qcLJtuoQANfDkikxz+adzI
+iiWJTpa2b5p6n44beuY1dJa9zZU02DrY54G8hB6V1duYZeIla91zCpW6zkTMuBzcEzmVMLcnbQn
G43btEdgG7zsGFhFGpouaXDUoqPLteqk+hDXmdw4B6+1TbTXSAfSGLZFOY+hJrFWhrvINGRbQOWr
cG3B/Q1Vgufvic72uJ+uP8dJ02wLqLW6iadGgF2Cqcb4Ud0y79vrhAJTvW3crMIV63SU+yLFLOxN
dx2hGO+RZ7a/dNw8D78/D4TJWt0kJY6BfrDBsQAEmO5q48gJJXTmyBWo8OABZvmy2/QmaxIWlMxF
B45McPQTHEYHGkeoXhouAbdeiYC13KkZMtI1dMGUHLv4hiQ0qUZcAGzb/q0lTw2EWmXQU3qabGqT
G0CLsk8Dbl3GbRv7teqJlaAEuYKokzZhfUQ+yF61cto4O6ylNzqIkqHPwWkbOO32xs9cAAzaLL+2
fdjVWpsY8NpDVM6f8tKNew3U6r5nvD1sa30dvMwHWRP14CsZ7C5h22tPqk23lY0l2WqtBeI8qEEt
qk+pFzPDJUKQ/UzmkW66jQKr5uXMSVDRwCau6RWPAiL2UiDnngFevHHUr5U486SGoS7A4MhlQqo5
ms2dlpxuG5VrJc4CYnqTkGi8moxOgr3sqASphAFztenTpqsFlxsR99wU6srydNzJAl9VAIaybeCk
2cu+V8Bxk5rT9Eq2QIpAnABP5VjbTXfTSbpacQduLMalC64aJT97m4qfXW6nL9s6ZrXgjsXc2r7p
5fUcJ91fadjKH1KLS8pQQGb/ftZfi3G4IZFPIiOvmdcxvU1xFVWHp1zDhkDc+YiZoET10NSSW1kM
eXLPrQ2KE3wKfP3TRjE5Z/8EgLKsItMgwftlwRLo+yDJxSx2AfdxfsyzgLXflLC+r4C7dz4GP6zP
ohs2GC77XbzUJTm2zRzzb4GLJYrOliSz4Zf8/Cdwg4yBhX2fOT92N6Ium/4+Z3krblJaSPrFCKMM
3EeHyY0fiFKmkzvutU7aCi9R029BZENaV5xEQ/sjsIG2y84BV0Y/1Z5ZNVdJEjAMusGP9dshTFp3
12u3AGE+hXOh92HS8/q9nEHAuB+QFF7gogNBavs+V4aHc2UdJS7fewm222M3jh07oeRAyOuyMEVa
UT3387CfCVi6eH9mFnW9jMkZnksCpp4i2cXiTTGEpWp2dkwyfTeUc6T6nbWuKH70iQzVm5yBmvbU
626OyH4OQXSH5QU4Ofm4EzC/o3hZXXBvrme0qdR+UkUSfls6kjJV2UK1DawhAb2GTxoE0VE+VGWE
reKIq516lgda23p4cwbspQ8jTSe0UMD8Bri/Dgnm1B8oULfp23YSvH1TRsvcXZU4m0i8UJ0MHp7h
Ic6dS1E03UPrenAs91jghwX0X59O95OJO9XBDRYihg8L+Hq62+kyz6iqUrdQecXACQ++9MADT6Jq
IJ0DQXV2vXAD7kBcauFDXkg7mT1Ee/Fod6j383F869tuxrUaCb1eqtqJPG1PQFZ1dNoBJRekyLSI
os7gmwpGtvw6x5O1n0wTFeyTqlMFKHchAdNpdkkWOZAYgpjG7DozQ5r91UxR1/7SJA8W2P3QYIlE
NWcB/myXsbl1cArAW4Un39cT/AJaoBfAvQtFjt89iBJaMMSEHUzxi0yUxW3VtKpG4aMqjAiegkXD
RmI3siVevsPB2wc/YK/d9XsUUWg4s4Ep1x9iaZUTt8Lzc4DlSjN1QLH6ULo9E8NcutukGeJwPLYk
z7Q4BCXTsL5NTcxqsc+Lprc/I9w3mPdFT30DF4lB19mOG/olc+OQH9pJF6oiI8EwH1Xe6O/hhD76
odopkhSd14f+RoBnl9+hQn6K3hfAsaIQHOfG7qHPsubGhpzAI6jskh+DBU56B37Y8j1apnYfJz4H
Uyiky8eEh5b+oLBITk40L1m+gNvrmKrvHejT/M5q7hNrdi6pS06fDMOg4vfJwsqouQEqxzXdzvJy
ZJ8nzA4J/LlbsPcBHK8zO9x0Z+NatYfej7Zqn3Q+s5+zgEzLzyCu6fhpmnNZghDKcENNKhMnenlg
sPuc+L7DyhCKXWdz3i4VZo/AqWogyGHK4wyRwBhd5WQGPuuEOspsqkFCrJ36hdow6W1FgXvREvp0
UF+KSie+iOYqN22rvjRCQxpxBCvRdeUOeCI+D9UkSkPLagkSBatk4sHPegKS35fvx0jY7EvsA01B
gJ37McGz2dkmvzo9xsNDw6ZCPbmhH8K+SlwizZsaIFz31dK57cCB8+AVnro6nUfgrZQEhqoiBsYS
4dHSDLxYTIljzKM7PodkDqsuESqe92NRxxApdFEwhU/OWE8OecKz5JcJcAiDse5ASxgq5BxZhCMc
cabxjZpbIwaYPLsZTm7IsuQfGLAP5Bs+q7F1VbgibfoKS4Mt3xmhoxxSrgGCF/xNLpz91saAM2I0
t46EYxVQ4SJz4krqQAFXJDP6NmNxoPaRThdyTZpEY73Is7mADZWy9Q/Pu5k98Lyz5u1QqzQ6oW9o
8r0rkj5EgWGRFvQTFnrTwqmr4D2dYdHQC3tdKACqHUTbhYVNI5JPSLDvdDKLyO5y0xn6KSnDQV+R
MZrs09TZRMAQL20Yt4dOO6XtTloATh+MwjxzP7WsO1N/SBPuAEEmfE+7pYTl6jQM4UPOEm0q0fkm
ghFAYl33OahNtgwP2Nu3SGGMKAhu5a3P5ZIfbDhJd4s0YpCSKorEBO9Z2YeJr2rcjXVF1ZPB99/g
eZQ0sCovmcXlJFNjIuHgzoAb4kA/UPa2zc2IKRug4OQryGad6PfL3OrQVijsGWVWiQhtfJ6KvJze
As3dDuLESMt4cRLhPBbw6qBh0NxGgyCTf2uLmUdiV04+ost9vCz4VpUKdTdCnaA9qcl+iIK+7fci
w8cVOyXPh+tKL3EgH6QuphwupX7xkTosFpd8otJjSkXxtlOWfqmDIcWWAFjbyP0M8e5LXcGppp1/
JNaWULw5IEtt1QVO6KskKmy8owGpraoAKrTFe2JCFCYAANvMZYW0EI70v5oabgTqKJGWKj9hBiRR
U81JUwZHYIyNgbtyJmfeVkKwyH/zapHjbR1xT25alS/2o+iWab5PiB802WnFmzTG3mLBJABrXsTj
wj45O2GA7KJJ5+G4gx2Wbga4jEe9e8Ss3sJLJvd5RKs26iGCoG0Zs59t2Ynx41iYeKCnZIhZEe5U
l6nyLiWqoNnOmIHP064J5dBceeEaUu7LORQSqNEAs9N7G+QzpuQkUYl4F2c2M9d16XT2sBBOZgog
SpOCgRppTcW0G9EnBWzbaAwJCbakxu44o3A1quCkEncfSjFgKa+GlKX6r8DZmf6E310ySRR79Nb4
akaqv/1ScgkMTRXYro0/h3PZxqxS44ADTFXDDioYKscAqAoP0yIkR7x5bAjTau4S396m2Txm75H5
jcsPzZKqTuNLRKHCJWymGoHrL9hssSpbKJc3RVKnYJovJhXf86iRka8SETugfrtyDLPvTUqxDFRR
k3XNZ+ppPQL9XgTY+1ROghF73U+src9QWEinH6dONQQWorDuDtCBmdYYWrVvcnpKG+xjo10DJmiL
eXBOgxDFCwDMGOygAC6mVdN3sr5mzEzoQe5deIc9R1I8xh3mxqNcwjOjTCzgzz3B8oPzo1ORHXmV
TH1cf+mXcpge8CgpJrnadP3ZdnmYondZnxRBVUL2F1Z5LwzsQUuuQ9g1A+xXvx/qxI3Xoeu66Lgk
+D7YcM9D+UnnzI2oeJyo/1Iv+chN5VkQ92D3MjIk98GCmHggvoWyrZKqXPhQNTRLuwZTbKdLvL4f
aJti1ZhFL7AlSZqEH+JyovnPiQO9BttIkpb4//sW2durtMcq9XnxdZ7fuLYY0icK4n7yfRnQYQ98
1On8lsHMZ37joJphN9BZ5ajlw/HZFjdaTKP+FcpFzAcCZ4TUVLMJ2XBVz3Frns5obv8hhuKRnaG+
sRmqAXXK/pE3E1dXyMcyG1YFDGOGx5EgZ/pj6YtQhAegqF1mK2D/c/uRlyrChn6mVqbXXrW2ya96
2naoO21YYHq4UkiT/gzNf1N3ZstxG+m2fpX9AAcdmIdbAFWFIilqomRJNwhbLWMeE/PT7w/svU+z
UNVEUBHn4tjdjo62w1mZyPzH9a+VpQb+NYuKryNGhPOhIpcYnMEkhXwF3nPT3E8LIsN/yiADP86k
WsaD1Ust081dL3+Yqp7JilUHx/mSJEk6FB4ZUmu8kzIny76rUFel7zOKEOqxTXmHf0ai4U16mRE6
BqNHiqMxoKnov4awkpyPM/QDE8nTKMlGUMqwAJ1pQtvdU5WrXfzX7LQ228fUZ/N7ayzzgteWz135
DnHrtHfVKB7Lb9pEGAlBsWnJ57SO6uahleNJOw19kmVPhlHHReYO2awWQV7rVYMVENrXHqhX/R4O
+iE7Ib8lwR0/yKUtPcV1E6m/srwb+xOer5ncEnSe4uIWLW6lgtSCL3dDKj+0eh86X8u6zHVstm3U
vpL0dv1lKnXqkZzywiMQi9UxMtabhGQfJTF2lJ77LCzTw2A0UuYP9tBZn6RITOpdO0Q62uYLKiMM
mk1O/qjlS7ZEbrFgfZ4mZ54MryrbvsLbRKFwFzMV/b0sj7H5CZLAYoAHvbTyLjrYit3rnyjDGeKY
TkOGJRx1aOKO+oJiz6kWhW0d5FoMkfCZUNbHAywQcflA8GkNd5YdKeahEH0UHVONF3pXLKUZHgx9
SUl2rURpHsIhk1em075Ksvuk0MccoIkyZt1Znrve9lXy3fxxANklzn280GM1UVaBi7znF5qBVUaJ
+TgZqEo8FDItEd8wpbTmxzLjhPJpZC/yfdiaWfUzMgtbfOstpVHeKzlRNAkcczjm+6gWWXtoRdcO
D+aomvVZD5sOm6/0g3xO9FaZHhhPhd7CNdNOd35kVVJPRztZhvIp4xXD6pAuSnNqNZKa9ybM3jWh
lZ1a8UDFSHWKd3lWqsvjYHLQZe710iSr6dmYI11afLCCSYkIqjRbDpSeqilp7u8VOTaFPaNoFKlK
9eg84RGhhimqBogNfeMfv/fv35T2GjXkXQ1tfM4nubmnvS4/ZmX1e9MFaCdSWnmB71OLrreIk5az
UcXChfK8eZrtOvz4W799O6RqGUvblFo1nhszUe7UOE//WCPmnUbXMzT5RtV/O6UajUobzXOSnfMq
h7v8oMPpnrqK3oZnA6AT81kwRUZ+Z6oS134uAEnKEHb/SpyMXCutIuMx4SJ1FEwJvZbJ02unnV1J
b2cNR2QzY+frfWHzD4haj8ITuo0oVqRZrVpungOgfSc5VinuoiFRYq61oCcmL3O+RxO71vhubXBT
WQSJPXdROo1nxyJ9OA6t002BCJXx7wpBx8zPYGjZa9D8h87Ddmx2ajJNGsQszsgmTNJdnlSOZPha
osiV71QLZRjXCBfd8KkmSHbvxaBLZhf8nSIZlMQWeXbxGKM4KEYntccpD0UbOAXijQ/mEEqZV6Nv
OvYHHYFIp6cg0OaleEzU3CQg67q6tzuomIWo2/egEcf+EaaYmORBxHZzt4LXKsm3woys+pCkUp8Z
h3yqUstX23gesZjYHfWUmZE6nYaoVcanAj56RXJzcyjiyQ3zELYvslny9/nUoKRCIaZZIhF7cjg3
la+OUBodikiaxHCn25MzPBY26mbZYzaKsUz85yfx/4IUf/jVdn3767/gxBf/dezLf/5JUF7+f0CP
v96h/0yP78VJ/uslNf76j/8PNb5p/gNVRvisNbQt/y3tKzv/0AGj6fqqIGQoay38f1nxFesf/B30
riG+X3WYV+a8/8uKb/7DUExYqFC90JG4gzHtDaz4l4+RkgqqGET36AgjkqVqW7C4ZuVaKinTcq/Q
IqIIaVdm/rFr7Tz8opbUOL7EUVr99eJkPvzrqb9kE98oJ5myKiO5qaCIhaowujXb14mQcFSEUW7f
We77yP30x8Pj5497E5Wc0Asrc73Gxto486DXppHZd5n77Qdq9giU7/SWnwHd/zZk10tsYEqzWRfN
4rCEOHz89u7pQ+p/WLzvsru3lY3kyvVC615f+LVGb3Mw5Sx077iK/xT7bIZMf6cH/Dx28Mp+tu4z
VGNFTis+SxaOfl2drIK6yRIfTbWmW4COqFb4sLk51meF8qKMlIlEWEjN1euyxdX0u6xw3L7e0xja
+ZLb+V59/t9jXo7v3zve6bF1nX/Zr//Ib7+3xCbsaWbZGMKcnRfuj9h76txH1d073rX59OJ0ufHo
aq4av5ajmDKCt5cfsY7CZSocqzvRvBkPEuJHvpmggNJEkvXh9Qd22UJChoOlkENDQRS1STR6Nn2w
WgpVap1Nd6LuXj1Fhn1XLlMajBLYnNEZO7fLmj26hI0hQY5RQSLa5kEjdYk52TScqRqnTNIZRdAI
RRwXeTRdY+hbH86+8q4gcj+9vsfnccuX57kuSIVkNSZ0+vTnOOrFowglqCpaldyqKZioU2nXHPSy
Nb3KyCy/r8fGR8wvPHXpqjTaNda9YbR1IJTR9jJEZpCf6sY/UZdpa69TlN4L69L28ySZErdPpsWX
pjD9JJEBuMIonHcWE7eABZMqAMFqn8CZdoeEevaZUmVxL6UIB6JXpPmMFDZHQxW2N1twX5iZpvC/
CnjDh8I4vn4Gl9ENJltHvNh6Fo+WVZsk/vJKVR0sykXvREetjuWjk6/ZG7X/t64C8Bq181VJFXlh
czsRPEuGFmby0jCTU6jeaITDsZX6PZTF9nmojiID73JMVdeRLt6i15cWpCo1SP3YdU77tbZLojYE
wz73pqXsRIU3llJsFRAmXhk3u21xq1lYgI8N9eMcWaWfsfKXmdThgCp0/+n1L3RrKYfiGRJpyD8q
26ZuVczoZiLqdVyUyDg0rZH6+lLGR1LDtw01cRkcjQdhIS/J56JPtUmtUrVc6jCJzSPdPOOw0KTz
u3xXP3xrWlbVM5kZIIWrQHiyBaCGok9ENzp9YIWK+ndZK0vstbme/J2HDmZtEVb92RGDk+9Y6NWX
vnztOnEOKkEGZIsOqNZnKdUXr11WY5nBsCE8RVFU6a455O03ZtHG7FjKSfJHZ1jt94RYiyqlItQ9
/7A1blg3QjGgIhDloxu4HdEpCpXhB13kAT025FQX6rdGMInKol/RZvIndXCiPRLs7UnrmNL1yREB
IoXo6JvvaRdTW3SlZJ4GGGkCrG70rQZk5onW0ujvLtUhSuiRvH5ftxZFN3QFp8EfGBae5MZzGEW4
wKBuVwHzvpEby0b1DuLFZAextX0Vz6ug3ImutqmjH7rxFYqpRDMPsAqaThT3ShFWrpkb6AWK6W3s
aZhHPAO6iATYKspD6jZ4iAYDWKfNhszWWfzRIoeyll3ewRsbonaIvKwq21T77M23SqtmYs64rIOx
VCuCJFQo0Dd09Fj1mwY7tIO6v14On26wN0TCyRu2MG2YQsIpU8meR1nPaR1o8b2tFYlHcyF/0+j6
en6rahZpCE/PRF9gs7Oll7oqNsw5kMOwfTTCvD3JtTPthNLX145njZwgCQ1VG9qXl45MQtk+sgox
B0oBkLgbkzZAynUn7bixiEH3HalYxFJJdtZH/sKEiI7L5kjpGNSVshzSsZpLVLvi/u/Xn9CVrXhW
HufFruEJud3mxCp7mhpdyccACJv63uqb8EGV2+ZdPduLJ+Zp/vn6epvYdf1ChsXXkVX8tE3WeLkt
xcjrqJ+rKTBLPfpoMtNwULSsBStUNH7jjJnf1Z16sNPQRGUgqXY+3Y27aCnI/1r4BfLH7cBfhr20
YnUYA2Ek0iGsEylxx1ie3Byyuy+vb/XGF7S48jwxTKIsbytwhOlFXg7KiIJWkuWIJTqq59D23at+
3tqTtuqpKpbM7d8SWoS10NJUc9CEn/XyT07UEoFdikQ5VSxWnV/f1TYd1oniOD1bc1avqphb6yGS
nlFbLZcC+iiafYzpRtofZCmqviJhKT3S7C3E97Rw7KcxtO1PTA5qNuyekD27VZ876Y51fh7hvvC1
iORphqHKqFjafNP1M7x4KNFkpno6yoiAcw4D5cRpcE6SRfX8qC7oSvhNB5QIwRqCXh/zLivHLDaH
2tNBY1mnLJy6ktEdi/nbAshO7se0Ob4qUTJ/UKdSS/3Xz+/qAfBzLRy0YSp46avjmxCg6At0JYPU
Uqx/lqEkr8oUfefFrWrcj2qUHml4i3e9NVoHVZ73GIquHPW6vo0sPbKzFDW2iZ3V9bWhF80czFoT
umrp6J4CWflJK4r2G2PIyUPJ3ncuzdUVZVEqNyhPG/RHrwiul37pJkZp5mDthf3InCHvvSgTFc04
pRR78PCbqylIMBL+mYqznRKsx2xqB9OYA4gRhrOVWiJxabBZnhqr8s71u3WcCKliOlWeHti4y9vH
sw/HvuPx5R1dbVSXEsz0nPSBUyXjgY7xdJgsCyj567foObTZ3nosi4L/Vh2M9/q7Xtz6WNHiBZX2
OViqrkX/NM77k9pp4QctsUfdS+UyyOfhWNdW9odMw/O9PpmHqNQyT0PpA6msIXmnkLYwv5NHnboT
mF15Fb43YSCEWoZM4Wx7KlJiSfmILkCAVqzhxaWYn8DJSKMrdV17r8n5XuZy6zMgJk7rnxBqrVtc
HkcIR4UNgZIcGLmZexmt6HeNJqovtd5Eh74FPgad0B4P5c1FMYQUN3WZyudmUbpxg2TE6hI0+ZiD
kUn19gDZUvNZTdoYLmMZ2Ym0rrQ9oq4b95vihUb5nhifIu2mcQRsgKSqS+QgGZ1aB6DhCOmQh4P9
T3AR7R+v37Qbm9SISUGkMVQq21suJmlywjyzrDmIM1niFnV0WIzE7B+ZVisP/I7epWsu3hrIrX6M
iBFdYgO5+u2ItTkwEKfBExbI1EVrNOn0pvHkMX0jRSQR4/NCWOP1IG1c6OXFgdVaA4w5LUGRMvNL
QpUFNPv6ned6FQqwisk7ZVMqLnNbQpab0ILUsVKCbmmrwTfCsZR9xTIA9r7+tbZV3uf9WCrlNJkx
V/KijT0qTaZMwkxSgqaV5emwtHPf+KhXRounRevxKdSBn0QX6bY/LjQ73LpVReSBZLZirxtRIkdB
2ciSILET423jX/86bSJ0VHK5vQpP5vK0Qycsa0DpSpDmdu34VZrRdzf1eNkrL9x6Ii8X2nxWctU8
nDUWQhS0XAGpjYQ489Tkn5S2gdXx9VO/SvcxcTru2sSdE4RtH2TTdH01ZiXWR5IsD9Cu9AeNdPUs
pqn4XBjCep+0auvTkQMU9vrSN8IJHXYlC7ZkgkyogS9PdA7HbM4tbMEMReCTgWaC7LWNM33CLwD1
BsgjP0RSON9pjgGSe8hB/r3+C27cbdI79m4q/FXdJiorT37jmEIOzCJF1hsAoBjvkh5itTfNSTxf
Hm42+Se5uG4b2zpxOQPyKLPOCuTI0P08rydfzF3xdtdFhkKEhG+V167P5YGKdZrbmUIrCA3JpHZf
jJPjD2NS/MQQxZknllD/9voJ3ris1lomInrnzprb2rCaof7dxLkVVCD2/DayxEGbQRaSAu6xbdxw
zA5eElO3xsxXA6pERraSd4pOGbrrfhRZBCbQCaXBd5pi1f6srHYPIrDtB60mySFpUJGbdyjLbuu+
RtXWs6JEegCMurGOYoaH0I2bIvvQKnFzj5Bx/Slqov5vvdNGIChLonyshtysdiJv5XlKbRM0kU1T
biROUDjpjXGkCG8U8pKawdD1TuplE9HIsVO65qMkR7r5CLOYVp5AKHXpKekdIEjZpBo/uwi976Oa
dWbKCyoH42AiGf01jWJ61wIPUp2TVJ1bF4BrbB+GVOu+lmXS9l6ShGriR4Oe5p5cLuHnSlXyP0DK
Fo9gr0TzTVuyVmMkQpneF6Y11p4tGAz0Bwpb5imO6rA+SmAoNW9WJX28j7Omg8dRb5FpdIbZSj3D
LpR/tu3QAfiWmuohhm5bgEtXs6+NFBcAB4vOsg5JLqpPRj/oQL6FJC9uLYQ1HCq103+ixTHOABtD
SB2aUuFIxllyvvVOYU0ejKNZ62fGINmQd3bO6EnMMLRekWnhe/pDQ/Up1Rgu9S1tcBYXgFoFyVna
CDR7SQLRfmtsNTwspT79ULpY6t4jddy+G0aDkQYzNtofABAtfjG1rj9FCIT+PBfJCM6Z6ZGv3VD3
T8wtlYypiEV50oAf/JpbVf8JFittT0ouLR9NJ4fRK5tSQElLqDozLERkdoThk6F9zBUTDuhhVsOP
bSJLM9o9kfkprI10HbqIwp9xydSIO6Rh/djJ4WAF7Gn4UvW9Eb43+wjvYZip3Bzyqi0e+1KphQed
HjLkrTaiowBItvgxyrQkTpqwc1C+IAcPYTP2DGYMcxT0/Dsyt1BErHhGKBs/AY2N7Kepy/KeaXS5
9KxlamI3qjJaIqbeAz0Oe37QURSR3RyTkqz0o4yqaO8WZaOo1JMn0Xt2rsnhGRj1PHidKo+qG2tD
JjwE29Qga+tKPk0qNANepRZC86MGFW8XjJv2szIiw3EzRRktL7PaobhDvCf/cyr66Sch5HKercwG
66yobeUaaoM0YGtP4V+RLVd/6VpXKMeq7XPZs0JZKg/VbDOYEsmm8DORtwC4R0YLZEbEgox7BspO
7kYQQRIQFW7IRJ9tzKdCP0Q4yb//z5BN4yTSRsN9ivVfPVP9dJk7qfeG/m/4aQc/ZygWmahNaebS
tqda7TRSKPQAiF8bu62cN9khQ/TvWxuBj3Ejoy2DlmEeYtqhC/dS/xuekhElisj0HRWLYPBy+UKT
wnKUazXoMJOPLR0LvwDKtGPmbgTsZL3r/kgPaeNsNjnNfadVWqEGqpCGanaJD/D8tgze2pXxoMDz
QCT/FVuzqP5+3ZHd8i64Z/piGo1cvOjlBvW+itZQQQ3mPAWuXSbGfBKavHwyats6wVX1/fX1rrdq
AgeR17oP2aa69SxhHZaSEo9GsIRFl7nxIMmJ5zRj3d9L2WKYriSMZTrGi0T4+/rS11fJ0qmhqIhx
McB21c+l6aQkDP2sRD4g9dEesrS/oiSTUw8CGPBaRWWV/aFXsa0uiFFnL/e8UYYDgEqrbk1ayM22
iUs3x6Y+m2lxNhMzjhAEtmNmX5MS4K4WEWcfOlI6Jq4kOF4C+gA1lBd6q8HbI+Tuiy6XZbZzJNdh
DK08alqgBQiBuQaXXz+TkkabciCBTQtsdlVXdu5noRh3Q5vYf75+/Nc3jbV4yw5tNsu5YvSpoUwu
KznPzqWt9YdYSxDpVtT+XayPUE/ZQ7yzt+ubRs4CZIAjp3INIejl3oYh0RlRXOzATtLsBCLIdk1j
Kd5p6aycwKArLhMMYucl3zjQtUCI9hZ7BI6xWVSTJ7AZhuYEWO78EUcOknk2l0PUy/LO/q5NE2yP
GAzuhAlKfts4YbDKtDpDOEFl1OpR0vvsrkvnva75ja9m0ZxxVMq1dLK38ZcSIjoE4gZQjpxKuJBQ
+izicTgkozzySpV4p4qgqnyWy4CPSJ5+Gr1BngrV+MvPlk6LNk5kbdSG1Sqn9GVj/qhnaMD3x0b7
iGLRaJ6ZIhRMzSphGJ7SWInfi7G1PiQS8zauPU60FsHfS0/hbInIBxRf5O9SVS8NlyG4pT+J2ug+
pmDdw0ernPXvXTg7X9bpij0AxY37ABCAbI/WnW0o2252MquElkYXBqCrJwUcSIjqmeZwgdw5Mqbs
7dfPBv5D3YIl11Le5eFJwnbqBeRPUDe9Pbt2WRbSgapx+6TnRfU2Tus1uwOOszYkkZhUV7t6uVoz
K61kMV0ZdIUgvIwG83tvFu0O1ujGPWcV0AdAjejLbHsyTIIqIKfmMKiYLScYyZgu+SIzWmPvLHTD
P9gaxyfb+InVIF5uJ7P0oTH1OgwWK7EWn3BZJfqz1wmrvjDclgHUQ21PMZJ1S7FXFLh1UdZyAOkr
1555mcvFc+rF4InVMJClLnkiIurUb1mqlV9UidG/p9dN8a3FKA2S5JHDAhjbVCMjhihHZxqkQGoh
KBualJFZRDPk86A4yfH1tW4YEC4+9V36vEQZV7CbaSkzXZmlIMqdws+HrvPlSB2PXctMHs9jxyre
sPo0K8B9Ukmj4bu1iobcdRP0XFJAazx+r8pN6yNdkD+ILC9dRuykc6sU5s7Nua7ogFOhpI97p5wj
b8nquiHuJny3FKjMbshuVMhx6GWNIoxDb8Jj55vFaDqulpTjnxITCidViFnfYRu5tXP6fHSK+C/I
rc1rzMrJLAyzlwIKl6uyWBUCDBsiYxyPWj7Msr84EcPydji3n1//xLdeKFLy8Kis1SSwM5d3l6cY
D70opCBvFvO+SBfJi0hnd/Z3axWbt0n/i3DV2JbNGBZYjNau+LLZHFvuSB9O80u4ovdIhG/dWPs5
QKP1TYNisx1zcKCVDGO2Y1FNSp2u9pyEQdWImmsbMXH1+undeow8C2ONiug9b5frnCTNa812QMQI
3de1StB+6kx3ToffeBz00NfeK7A0rsrmikC1Mstqn4dBn3XAw3o77T/CrqaDZCz6AkSqXrO9tHGc
txsB7KnDn4irgsHYLLxUXP1uYY992HUBZdncXZTF/JIP1GcotpaHN58pZ4m/hQ9CVa/iWiOnqL4m
k0GuGEyShgqyrrGtUXwUbxN4eXaCNFkwozIIe4qcG8NNK7/UlLxxIJwxksdcRVeyh3nw9PYNEYLh
coEucvfXx/+idxgBDRgrIvkgyvLp3mas7xA1SvTLiYzSf32pZ6LvTQSGb3AYKMCk2dyUy7XUvGYe
JE+dIHVExdzZAMc7ynNr8m1GjH/ouZ93IUwKUQ9KTwyDWzNo/0erLdEpzCV7B/9xwy1DKkEEACwO
z7wtteYUNop2Wv2/qDMahXZVQ7rSDncRdTQvkaL8kLQmER8Ordk5ixtv09E0GgUgncnttzY1AT5m
QT8SBvRa2vQBcmjgUHapg8o10XDbkwe/uRw5KmYHA36VjCdaUsOOZBAtIrxxjs1Js32uxPhhhHBm
j4LzhplzDJuonr/qPJT1x7y4UmO4OAz985kZHzIZYJ0kl4hHc5kznF2Ry86OnbtRVCYypTMISFnl
z20sbErDmJdG5wQiX+BwKTpVK7xejfXlMIdyKx1NRIfSe8r8IjsVkRiqQ1zCB0Q9dJrznQf1nGxv
bzmtbsPWuFU4lc2LSkdd6Cmj6IFIx0L3HIowzV0L60b8vq1ayq2M39nhIVykYfKlPMvuhyKdfpmz
2X+LIUjqXOiHzAgSjCRV8AtKUZxkxgPv4FjS0HeHuyDcsWq3vtgaXTyX5tfO5OUXKxEdm+QlDgMk
juC3d7Tku5xl1XfwcrBMlOlgqDv3//rtkYrRKV+TClLarSlg3jY0YqWwAQUsY3PSxaB8DxnBl33C
gBxppTpps5UiSf+8COG8TR96ta22rNEiw3XIa567cRu9ITJnCTObuEprHW+KzNQ6ZhMAvx3/dB1b
rAvpgB2B2aw458uTjUH+9l1kW0ETRTYSdXl57jt9j27x+nmzCl4CwBrFFu7c5SqwXa5Dv4JVsjg/
Ksug+0ULVhtc4rRzvW9uiBSI4SfgiAAfL5eK56qPwSlbQR4ConGYDwhqdei9113FzQ0RRlA4pKpD
VHa5CiBbeRGzaQWx1Za+cJTGawdZO1sS4+G/sRSpNMVIZQUkbb6QqkXMqNYjpX5MhWeX8nyonXjy
lrlSfmdXUMfQb7Jxf9tLXzI/jjOSrQDd1T8UwEIAsUdxsrN63HFt1w96RVhZMsMswD+oCF6eH/wE
SbaYkwWwq+rOiVLaR7nIRm9ySpVZJ21P/vLGeoCIAXMCAwROtq2thLGmlqCL7KCEOPOugigP0oFF
HEpNDJ5ijnsm/9Z6RJs8KlvlP9s5iDIrYwKHDvNhpfKHnlb3R/K2RjyExWD8lMMqVXcysRs3khkI
wJsA9tYppc0TiyAhyHqptgPIIWY3gXbBpYP/zNi2pwVyayk+HMEBoaZyBeeyINgCP6bZwVIu9h3k
KsKnBTT5pV4OO2b4xmumashDXkOgNQS8vCeQYGhmh9MJtIEqbdfCZjW10rhz7299rRerPPvvFwGB
pqQdTD/CDngagC8ddabnNw9MuCddMEEBdnj9Sd9cD3i+ifmgULsFB4yEb3D3tXyraimhgKlgzYD5
z42mqjzqeiq/vcZiU14BCO5wMSgnbYyiZA8WNb4K1ZwhjA6WcPqjCSCPLte0N02yfpHL6IIiMLOv
axudKvBWOQC+N0FAgFK20cqq19U0pjKdG5kVS+YtoyYHtU33uWFSwTfSVv3n60d7I4ZnfeAJVEEA
19FvubwxXbUgE21ytqOV6nWQKFH2y2mWXvezxLZyr1BNUX2Ym6wdT3arWg0BkCY+w9Qo7hjXX7vN
YwzZ0+s/60Y4gS0A4cmcC5iqbcxVtlCbtJNmUXcy5ppZ80p5l7ah9WffN9As0XZ2hGtrQ/+30hi0
gF9f/dYrosvFoAslNiYJ1wf94n4XKzS6cQh4zVYS/pTDFcgYsXR+fZVbZoHLBRcUczzgQzY2PY4s
fUok2g5W1syPbQ8dSjrMtm9P9c/XV7oRUK/D2Xiq54kl8oXLDXU8qYUCD3Lskzq8H0vAGp5Cn8P0
pjI3v+ulSOFlcKLxLMsk244y0u3t4BZ4/XfcOFdGJG177emRUFxFaYgIMWAzOwFkZdkjNJ8wjMCr
++U3VsGZ0K1yQBduLXtr6hnUS4oTQDCThM/VEVDYs93tsUesp7Z5uiswHa0uugxruenyVOMiWnEV
URgwZFCFfi5Q0PXbvM2+5jn8kndjmjfvNKWDBe71Hd6whyrZPbtjjvO68zG3dN7LKud+5pny0HHa
d3BjRu/0qO28crb3BFhv3p8Vbwi0j1Ol73y5U6uCYkTJFKokujZ8z+ywfmfCH0GPhN4BEq3TwUiI
URl3dU4iS4vjqMA+9/ZN0z7g/kAPALHb5rQnCBoXkdDFgs0u+z6llXBOplWkjluXBOwH/o8l23E8
N54oITh0CTTc8atbx0PZY9QKB0dnd1bvtUucuBpMJccUvs3fWIq1KN2sZpgo+fKINWOGs9aI8XEA
Gb7kiaP/Ehhnw40LA0bU18/yhnkFq/rvxdaH+sLAQZY0lcZMFmP2sax7ElH4937JxXkCPla68RIp
HwB72JZbgRCegtdXv2UGSDfWxj7UbvLWGqn0HnVnluwAEt7qEeKx8YFJAXUnZL717cihVkOjrkWZ
9e+/3GNGPFH3M+Z1NtqDriWRN82mfoibOtw5zlsbolJKCxmg6PXUjB5HyyLnRF1hnzbnLFwS34ae
5zdWAYK5ZtdrI/cKFNClzNiVmRnEcICdUAKq/CVp6p17eGPkxlbXtiBhsbyC7jcXkQL2VC9mYQYV
Qg7M2ini06xB+MwDp6YHEahXh3N8qtUp8UUdyi70lNYD4DGalnov+bIEXZllNe1jkUaVGy6psfNl
N7eXsW96J2t5g+Bs7dhvvJkwjCotwRieLWtSv45aHtt+L1mq9o5SmyHOiVoN5jlK4cv1NcBoezjs
jd1f16fzrGMQmTWj5LFx3HwFZu2Srj4vfSb5oh/mM4jn/oCQUuFTHU8O6dRpb2tqrIsSHlqazPTF
2iXbmL8RViWQckN1HiNZO2pQjrnONO6BnTeP5nkV2m/aipC90RTTaHvRxw3Lc6xA6JYldX2qNZUY
T5KGvYu2HtML9/k/azGoiqzEjV5YhjaRJktDeRZNDAOe1oaNcIGZFB/yEYDnsTaq5CEy22H2B25b
9qBOFVJm7Ww1IzMwTrkXim+e8fMP4uYzkkl3Vb1KnqYijmD2m9n8MJU/4W/s4GcGjb/jyG4uo6+o
8nWm76pq0E+CeC8uoPlrRPsxGjPrzHiH5L9uZG88Ekq166w/Zp5Boo35a5JcbSenKc/GACk39LCg
k32t6FMF3up4vNPnmDpuOkjpqVJJsHa+7o1NEj7jqRkGAMe1zaAc0JORJJb2PDWm9iQZ1XinoMO7
c5RboNT6yahuwryxzlbfyJ6WeAQQULTnSNLlL44EWXvdytZJahXh1ZkueTW4VG8Ylu4INNrx1Gxq
ngypyHbw6zcejoPjXv+gNHjVR0rAPcLWGLVnWDxLuPKM8g+o6hpylGg4vf5lbx0tzobqo0wr8Coo
SetkmZTUbM79YsaHAc0tnzu0h2e8MnJ0GgF7rT6aM1a3jbiq1kIJpEV2liHcr+CGdgx2MzoDbxSF
ePlom7r4EKnhGL316rAy9cgVJ2LSL9s2iWEOteW0ydNzEjvRJ61DP8CAiXXHiVydIqsA18SBUGWl
grdxIqHTdiVaxOlZmNbKybwMbjk3e2/9+oKuyxgKf9E0iqvbsK7Io6RJhjA5R0PDG4dVZEhcoy2c
+nHIihFqq7hb5LtxVIV2HOQh6Ty7MErpAB3qktmu7qSpupN4btmVTBDtzOesDDlYH2YpN7YBehmh
WrFIzxCWaxN+C6JTd9ajYnatiQt3kItwPtdttVhubKfOT02Hds6lNiCn92GcSA912sHsK7eg3d3J
1MR3ZU7l9ghUM34SLRq1HgQ/yd6E0dUj43czMUa1BITZyhR7GdLp/VBCsq9lZ/iOp/vULJPzVOVg
v/PC2XG3N5ciuKAERBf6yn6t9INQ7SzZWdOzLFhErLpol1lBsuRfXn/Ot1ZaBz259FSArvKaqKhq
VJy6lIdWmG6ntd05DyfN7aN8T7dzC5l7/vAMaDFfKBMQYzUvD3CgHhgBz8vOczmr/6z0su4OY6E5
X2B7dhDt6PLiR8M3+JFCXJvemShE2K4CJPF7E8dt7jVtr0MTRdjTvzPqwfjY5Z0hHaw8sSpvUu3y
L7gZdHhixaR9rWwmHVw1LwYkLCJo7A+/cXCUxen63Kqcqc1KUpuO6dkagf9Bgpi6DewG3lC8NcD/
17nxfAEEr4ND2+AL/HhcMhyJclfCeM3Sz8lDpbVv09HBU3KzcdmMK64IQPL7y6/TiLhzcstKz2bq
2H4atxGivLO5ExjcMnwrRh34j4OB38b3TIYsQ4F62tkoZsMHzKkd6fr+N2dn1hy3zYXpX8Qq7sst
2a1WS7Jl2ZYt64ZlWzG4AVzB7dfPw8xcRK0edfm7SFIVV8ImCByc5V3+EuywvQsRnFoWoBzPOsUX
5kgEZzVI8eNU2uITrpP9DsiR/PsgzlPIjFGoCeG8n9QqWD9NCvM5nmIu3V6OaXnFFMa5kGWcOaGM
CODdbiMRZu0nYaczsN8q2pJYoFrcK4KN3I6xSIhyPRVmWFy9v6/fZG4sHcxYpH1IjF3rtHAtZTb6
NDuKoz2p5VqPoUK8upILpKBo/T5bGS13s3B+mlVxCae57bBXKfn2aGbc3r9h701Hq88Cv+S6Ko51
1Dm7zhGtEdfSWp1r3MfqD1Y2T9/UYER/6A0GL63pvbz/6ueevzVE0XiBUst05vUJ8FMPd/MuKo+o
kmMgQ9YXdh8FjPLw6KOtLYDmtt1DjwSS3hOxGCU6a1he8mA8k/rQ9SfpIa/cOPgnUbKiAHfANpTH
DJePgzPj5EL/IAo/D1ahvmBdlts3rdubFw7mmW3GMIqLmV3GRzjdZowbJnpLHqB/+FNLkoaq9eIc
aK1MVO3pv7/gKCIJNEAAedwpwgvieo99kFLHGgC6HVvwzj63YSteZmfxL6V0Z1b01cPs19+1RJLa
87qUil2XKNSFiAczBTPjvng0CvOpTr1LFtgnLdIt/jBw23Cr5JC84Mk31PkwtfDny6NHP3aMy6qY
vvaKXh78rtxESM8Qcr4gF3E6S/n3oRtrI0BZnObA6dyg7k3DGeGRHvGFWR+YoqBblc8LugUjFC1f
oTQMKWk3F74FaL0ek0K03Z78sfvVL8q/0C86t+hcjJAMwChakXuC3WX35HNvhyQWXsELm6O+maOw
udMiK3YpddOVhp26XHjqmetlC5Sk1R5IEPKn15+aiXypfAMdbRiH68NQdw6kGSP89X6gOPd5QXkz
NKEZzSDhNCTbK3zFgURmzULjSsH7uhqiov3SBar7XEJC/B/OJmeEY8l54aifbCd/ID3vUWw6mk7O
0GKd670nNAAQX14afZ0LA9u6gUrcqobT+xm8+sxYWpZHH82Y2GvnX41rrckCcfrCvXb2U0E92RBr
9OhOQ0DR54ZRpXB6Ml2oOzytppuU3tqFbu+Z64x20pZFA1QD0HnyqSITUHwwUWhBGV3He5X2Yo7n
KF/bfc7Mq4PjJBx7F2GhFNyorM7+vL9VTtVUtlOJjCORAFIAudVp1bC6fRD0K6l8qUJ4HYA9kRNC
xN45GpgTTE+OlQfVd9XWkKbCAf8HLMkWZjvxEAX145IXvruDx9r1yeoVrtorcOpIGzYRNm/v/9Qz
H4RfGgEV4A7Yotfrs7OCfUXjg7PT91Q1ZZXLW5obF47OuYewj4FPBFtCcxoZx9RdHfiZ4piH3nyg
sCljb12aC/2QMwd0qy3ZxNAU6JWefHXVDmocGKIfPeg2ny1sVu57b85/Lg002pZc/dIw7twDCQUb
OgvFhDf9ikBBZ8nkKI5GXbe7IV/twzCL5UNorFhoAV15/1P9m1qepEpbGx4EPaPzrSP7+ls12Goy
vRiz4yDb+sHxUaOK7WnJ0HFvhPpiTelYfwhT0++OJXPZ60mvI3ru7rTc+JDk4VFraLg7Ra3m/cQn
zpHXQ1Fky84f5OjE5lKKNBkKNbuJniGWxwJVILH3o9wp6WqHDn0YMcDUUbKwjAT7rLLgPqlCrOpN
WSO9WRjdTYvf2BB3MzTznSwQiHyEz1EHV7hC1P9Pef3/q1x8JnDRECeh4P7b8AQnK1Lbyg2FV4hj
vbjLfgqBJ4HAcXbp0C8XwvG5jw2BgFycY701qF4vfsUfTbRXjWvk5Jdjqmz1dRjq6tltcjPJS8P+
X3YXvUzaJhBGuNhPtnPawveRAsrEZOlgJ2rno8ATMiYLHG/W1biEGDp3RmHA0OsneG2Yr9fvt8rS
xL3DgaFhmv0udzyBCPaqLkTmcx8MhBrqXawl6hsn4cZkviPayDeuLXswf3pja932sus/TzAuv7x/
XM690H8ftX3Q/wzjJgIvbMjIuO4BgyauUcpDUOfq8D88BdgwTQEAxAA3Xj/F99c5w+hLHAWOmzEi
vv4B979LCPszFxowChT5fHIPCs+TZavybK6YkopjGjiM20vL2JfdisimHu0b6XfZQYSVifEbMe/9
9zu37dEmBuHugk16g8rT5mA3U8oJ0/OSo74qygNaGlYclbzuhKhz8v7ztl19EuNoXQLF5vqkGD3d
9aicNdShQXaU7mI8uNh5XqEVniNWDH4TK7Dq2puWS/jNsw/dRqlMhfjHaY9qaPq0KrwwO04W2hLl
tI6J7jLvGA52sBtrb7iO6KleuHnPHAVEBoGa21uzFizW650T9H6bGkYvjuxU62NT+gPFbqC/GWPk
XL2/qGcfBVoLHSeueY7460cBh/bHsOL+VXkeXmk/rZAmlOJj2I4v/8OTqPG2iTFA4lMeVKEi6cmm
EUfoPK1OrLxyGwZstfwhAZ1P+/efdgoS2fIsj5kxaQWdGIQQTsaiyyyyZiiz7NgPWt/ha1ZeBZBJ
odniZfeln8K82XtyXWXiItPwDAG3vWtXeVkmaytsTrctbQyGXxyWbVT8eoVF0wZtXakMnGzr7DKr
LQ/A6vTVZDcQBcbIoAZsR5bCqsMk9KCj9anuLizHmbO6RQfuKHweKcLs1z8i9Dw1ebMjjn2pdTwX
wQuWLX0c+aVHY8X/S9m4fxffYRxGZxeUNZ2914+r6sm103ojam79vV096/y6F/iHba5el0RJz0Rz
dhNzLrrINKxPhxpY+IKhqBvMreU0JY7VdzdLaZrH9zfUuYNClsr4EKT9W3G6Rba+9nAhvZ4b1O13
3th410upI3Qlh9z58f7Dzn4u6iBQ8IBv3qSP2WT6dW1PxnU2jq2XqKHmy6UWU5CitjYxNbBqf/9E
ZIo20ZCt5XPaU27cYOZu6bh92zV07zAqxTBMFyL9WBn+Muy8SgZ/qQTw7y6hMcIIn3UlnzmJPW2D
vHGIWOOxyAuOoXSjpKaU/x+uDdIy8go6D2/72CnOmIz2SMU7ZWiAGD7UnEMHJ/QqHJ3hdkMlw+pz
Mu/C9X9mw2yjZiQONoWvN1lhNNFcypTJtvQK6ybL6nxfOlMQp8AGLny8U5TMtpIQWDfuG0NQSrVt
P/0nocGrbl2iYsyPYwaJ94Cr59DuJJ6Na6InuzO+pZPX+ldItcj8WvkePrap6lEqsdfU6GLkM8Mv
JqoeJuYPTn1dajk+YgtZ+FeFl3rmhcTh3Mr899eeRMQOp8AKyen8WAMc2bnLmIHaHewYwPpfMkf/
78KAibRR8AALdVr4VX3BlIMZNf2fdfxqzmuNWx+jY8fo23sEItwd6tf6wpff8v2TiP+vHmxImQ9C
8HRYrUbdtXVHzhCoqHgYJmuJfcRjEr0x80O/MnbARd0ffB580tG+evjrowwqB6Dg1mvcrsHXm2Gs
M3+YUAw7+rZy1E50FYPT0BukfRCzjYnmYgb6Ug10Jg2lPACKRKJLVXJax0u5YFKtdXaMDDu/tXTd
X8HgLjGSriw2ES1WC4DtjxRg6AXljXO7ieSMLImZC03yk9edRVOUNrLUR6NJ/fs6MBsGfghg2UUX
XPiwZ8IyAdlHTBKSKUihk5wiWPx+XuU2C0Glg5S+dayD9Ev74Dd0LoXZrhdOyrlVBStNVbTJVCCD
/fpTIt9cOCCli2MmRvF96ssGwFVb7DvPWoKbvNcR7qTEhSuqd0NeePi///eTfQwXgESbmg9I8Wmr
ytNWylS7ZWV1VuidPWIKvkNn3MxunD6YO0S1akSPcebNds5AycsUJDPtuHNCdY/mxfQoOqNG/UvY
vbqfuZi9pMHj8SZw9FA+pGk+POAn2n2wU/6zpGnCZr3CtbNWF07EmQwhIEGgQYI4y9v2+9xlrVu0
dEfappjvgfBbeF5iyX31/sE79xgkD7f6hIHRmy5TUcxlboxVdlTYwt6FGmkg5QbZhaec2e8gyVFV
ZAuapJMn0dNHZ0r7ky+PjeeO684RTSTjCFE1F3tfp39+/53sM1swNBH5Qh93c2k6HYKNwUZf3oYl
KZpz4irtMfiJQWjZX3LpTjrxswbdOrbpYB8We0HzsyS/GOMBxejqWdpesV7xHnm1W4pFvzhpuK6J
O9tddR1gE6KTWaLUHOsoTPtDvYr5YVLanO5dMxPTl8H3RZm4Khi7BMMAYdy0fExurFFXt67Q6gGQ
Mg4877/0mSWGsIQNB9A7miynwaxF00wH2pFky0quSdqO08ERbtYcdcHfLyQo/8rGn5wzGAiAf5jz
YTJy+ri1UsMIdpYlzkcrTHQxVFaipdmha+bBVke0fZDPA9Dk5s50pcIsVmDXEPsCNdYEXOnmAj12
lqY/71hZPK2y+UtG+XaRkluA9GTgwCzrtA5WpiXXeVyqoypCvr/Z6CtjXno8zSv3QpQ9t/qbqQzl
L8vyZroxuHWGbX1XHT0EWK501Q2/UwlvX9ur+vP3HxqCH+4M23SVOcfr+Cq26XaTjtXRHOrwaikd
fzcYeZj4pfr6/pPOHSPuJwBytGdhkzuvnzSlpS7XXlZHujHPlczDfeQvYYyu2PrgRtOY1IVX7iar
KS6UEmeCEurMtL2ZPQKCO01G0sETpvRYzboemj1ir8GHBfDX389vyXa2IQHU57fc06p3sfnseraH
yKvrtcQhNZvX4IOhLf8CymKLb6enhQYQeRvAgE2z7PVK5ihnSuz4eKFQZDeZnFTS+VRkuV4sLiAj
S6rGrB/f/3xn9mQEAoIdAhzhLd45HVBa8NABOOZL1wOG6tPbwpqe8WnPL7zemY2Cu9DG6SLHAEe6
/ZL/pPJDbmMmb1nlcZqNcT1Gdt1VNxnBtEnQvFu7D2tRz/NHXMht/wusbzu9FI78twu8TWMIylww
b2EPw9JJU6B4dyxMN/+dGvTsYWplxVfLr3CU7gNffvWylU4titeF/9lYmmjT8+1CfOA8N7+3Bxhy
hxFjilswXtA2mkkIN0Y2Xg7797/Lmc1A0cNgkhsRIZrTplIeuKMuSqZpDSnZQdqzH9dmuaIt56xJ
JcnvU0w6LmScZz8RIE2qSfpLTBlef6KwqSczxU/5qDEJ/WFFdfW41GqiLnezQ9EP5Z1kfbneTO9C
E+JcV4sMg1PMdUzFfPpoukeLgidRHu1gySDJySbMY6tGtjWpEDzHdSS0q2qn17pRCUbqlpPMTehY
8TC2xuf31/7cmYACsEHHSQ7fSJwOyqF2Djx81Qe/RaSQouQpF25rXwGRHuYLX/pMHIs8vIn4b+mk
QaN5vehU2TKrGy4goH8BNIcevV87vSQic+6dyHfpRjCKpJY4CS6CfIXGIV7xMMyCB0C0Dl5fi9oL
7sULL3TumJGM0tDGRG1rib5+oRnl+9YY/OroeimG91IGeeLMWfB9LqfMYV6g1ePffjALmgpDfPo7
jJVPr4IVyaSpi9DxtKvOohHq4hW3i5xm8OJ6hWj5/tPONCXIhJl+0lje/F9OiSnKpQ1opMSRcAzb
OtF10Qvmg175DcoelYwr+7BNBpF3zUNUT5mI0zQCPr50nrEcfC5imPCtGNM9yokFjpGtO6l9q+wB
k1fPad2//iAo6vtMDMk64P6fVndom0G0mEBweqCP4JHP3o1XNpCOQru8H6JhvfA8702cBVjOdHKT
iwTXfsp1Bk/X0Hepi2PaFU5C2tElRbhCR3VQhr7wLd62JLbW19YgpRkFzWP78//cKmJofX+0hupI
UFn6XabHKb32s5FieSZOfcUF3P6RVn1bH9agy3WyQNeYY6cLChGbqm1QXBhk5t+CSp9vqllEL4CY
Oh130WzCYxDTJHYmmIdpNxYTt/GF37/1p19f+jRdIYJtXDDe4vTbBGvqNEELgCoPrO5TSrvt15SS
18XuYq9+0qWe+w+FI+pDq4yIQIgiFl9kWcrlzldVMccZfJr8QtLz9gTDAGV/A4yh8YYi0etFZT21
FfXbVW3VzVcrN/zYmaJoP8rRemz0/P39RTjzuK1zv/mNci+/TXywb5qqMa+ObUo9giC8+KiLFUBT
5NPUcdfiEmvm7eXK0SUr3nSWzmBlCpcQb5Qe2J98yD9PGZjs2UTAZFnd8JDKRV+HblBcyH/exnkw
zQH1MzNFDuNpeQsboIbDVo7HBkdJ3DoxUe6UHVy4SDliW+/kZEsxMqWoJcuBP3faffZlnppjWUXH
XnQOXs6wWMRHtQTePkL2MYvlBHUwmbI5+GENE+p2mTf3wW7q23GJZWiML/DWlb3R0vynAZ3e+yat
MvnRa/sZwT1Lju0drJKhTyY1LzVj5i4TQHps0R/SJQ0mDI6HefyE6zyOPqi7KmrhMq2G21Wbskuc
Ooh+ohtuPLmtJz9JbllUmzw7fQqFyFaMIUmrdsAOjT/IenYIKa1j/dGSYvi5LHMl76J1nn971jgW
UCO8USVOCa8j4VWyKi6sAU40gLH+23aEsxgKbutdtYOXLckaBUv5Sblt9dVUsnwKCrt+wrkGGfzM
rvpvaNuamOnl67rGVTdNqPnrtCz/qYw2q4+a3pARh1GVTXHjNdXwZUrVIKsYbmTpHqbJZ3QSoXPS
/BS5Q49wWVrvs2HW4S9chlpvn5OHTwc7b300mqxy6O5Kg1HpnYQuJXbam6vyVktjMW8BjTvOr7GK
ciPG5nJafxPRyiHx2soGrm6tKk3yaKk+oBthcON1XWN9qlTaYpVipGKELTJH5gua+JGC/9tOzofC
qZnNxiOQLJvQHBiq6o5hXwJMfbHDTPsJOCw1k+863guTBeXfUsAvh3JZ2x5pQtpp1zMdp/G6Csfq
JUtt/cTAmExFAmd41GZjmdcz7g1jDMpyUrtiWOw5VkMTCPxchqhJaIdNbQKASPwJVeO4CXzHYo21
ktVzvYipjX0pJoYWLaZ3RZNaFYgwmX1vvbRpoZh11Y+hy90qscOenHzhsovAuAHc2+MBLdsYNI+F
kNlaAdWpOhWBuVoc+ZKKLsoSywLsARxfLGIHTg3DWtq98zdYttZH0pjhByCiQe2zpi+7/ViJqYs7
Oxw1FgtpWiVhNNTIKXlr/4cz7u1G4BUPSx+pPM6Xwb8zlA6B2gUMHmUNiz+hEikTLBF8nYxRlj8Y
fRdASuqxUo4Dt9W3ZRFi9sJf3TfRltVt4eGcYSjZ/FocX0YHu1ysZtebZlgl0ZQGD/lQ+0VsKHuc
E7Z/WcRcD6YTd6sX/GONTvq02kLc1MWcz3tYNVWDV27lVLvB5J65y9rWhlxSNu5NRr+6xqRo6m91
jvlBXAYifbBWM3+KuEKrZJly8aUu0+Kr6bXrc2YUWMx5eWYtSWGn4rebT5kR5/ZY5ZhnyVrExjLM
m21EgMhKYw3zN8dunU9RUzka3R9RfpuRk3+MhKunZG0X/6OWIEt3WR5Ov2vXWOxYjzX9yw7v1gwG
l8bzq+2bQiRWIHNzl9XjouOoXkeDf6+jfRHqLk3GtS7uy9UUFm+WB22x033ttTtn6fPlN7Q9jnIf
5V62q5n/VdfG0Lp3qHwZ92uaRTvZGqqJ61pPSwzs0F2TYYT+u6sZ7slY+ipMZNVPnw3EW/rdMkz2
vSucir95CqvzZg1lMq+TlyUy0uopL7vqT9kYsNIjrJL5ujhOD+xCpT61S5sFiYex3fdMVGiXtrPA
TwA7Aw7I2GGhmCBA1f4qPbue4pRgJnd9S/vwash8/5tvFtOf3g+rb47S5bwf/BFfuKj3s09eY/ji
AJ4cItCiWi12WdV5WKfQsXR2JPx4iLQoaPTxJAz74PalxEG8ZogUj6LvPmDFga2FTuX0mNo2zS/l
kjfHdVA4v3MzF9l+6dqlvyrLJaS1w/Tlh7OqItuFtMowT0cY4LE3slQnMve97/T3umFfGALnC3iZ
6x+DOe9GY5vDFZlRY/lez5PqMPI05HXnUlQnU1taRcwszyh3Pnsmii2jUZ/guBVPACzAgI39MM4x
+snDsxBpu+AFU5s/fdqz3yuwFm2c9Xb5XHmL3+6FWxEesL130jjIeVZS5DgN8ELK8xAiz5s/mBH5
3a7DlkTuxxF7QcRuzOoeLWD1gCb4MCfDnGVDQn7ufIPJTQ/SzHXYPKaD6SM16I7q57oBTDiOFhYm
q0AF5coOGmfnWhiS7MrWHtBFC7L5WwNLh9TUmw1vL8jEEX3BW0Pvgq5brXjt7Hbm/rNmffDVugb7
EAsjMDiBAXwBnGpqx67bLEfkwbz00NfNxvgL3JxFsWc6/olXlraRqMa2JCa3hv2N9gAWBoCYAOjp
unZesMGNPsA+gm4YLHBc4lbWWu0at1oenHls7rwy64MYYRPATVyR5f1id8ujW5frY1217FUx5/6f
MCWP29coWLTEjhI5lKLUJjflZrHizm3qxFGjUas0F1OxMoV0qzunHd1jLnT2Ew/tYY6nIsMCCjHd
9rF3nay8KkZILiNt/vomb7K1ZfzjIpHR9NbPthSYiY4N/wdt2H1OmNem2KsumP40I8L0cQ2xh26y
7AmDZl9HHyA5pGK36CU4WLbq28RJPV8ljZcN/3gqrbx4bTAVvCqWIZCcMhH9gcTdLbEimhjxWnNb
JhIYYIbiQt5WMTNo+Ufn/riSW2T4x3h15S6xBaxgSCzRiSq2JhXdZyLrb0Zz8eYEm1rZxa7TFk+4
dGb/1I09jbs0kOFCV9vwH4Rj1px/z3AVE6fKI8Ho0xGAEhdr2fKdY1er/n4Nbd1jWxRan1MDOtxV
T+w/an9Oo90sU5LjhpvIple46BA4dR6ETAcnbl3fT7vvtlsjQCRnUX7tljWq9qoGABuPuRHeN+gN
jLtgTtmTNcbS/XUJW+0fRxnqU2koPC486copEWHYlMlURAipLeUWtZhiLA+zqHP/urCL/ANGJgMU
k7zb8BxeN34qbeUvBwQPV+uKKGF+CrXRzSQF1rKvtWyij5TwxUO0gMPdd24byB0qKUDdFmODS3Df
IEXFwKRq9mZuVkPcCJNrRzg+KtMVljn5nWGIpkZ3ra6aZIJswf2InAZHlGj/j1qH4hMyiFT/FqLj
TaJpnNnX66Dml8jS4tD7yos4L8P8tfaX+jZbnOGraUquQbNXzB9U2+PrWttE2KQFOzXF0jW5/I2y
NKvrMAB34HeT/6MKC06YuXbOTVrIcOANaH3GaUdQTjCExg3MNbKxjoVd+x+o5fI5DhCwb3Zu4Whz
v5a1bSdz1hIXO2f2vB0gHWBEFeoMNkckCu8BARXofKQZ0oDGtKSK7ZcZdz2iFDJu2n7kD/Mxuq8r
5nbcMwF2VekUTdNhHOieMz+rSLyKTqT/NLanc5j5JLHAKWXhxVVvs1fSRZcvmt+WxpWdWV+kbMSj
4enoKehNLnlREdN1gcrnYcqytLvq1kFqxMJsq6ND3Rh10vWzb7DhlcEIxVf10xiZuANXDAeu3aXL
MFKdc+erxPDIof6w8G/GMhFMY6Q7S12ZreEC6PbAaOyYamBDY6Imfu+Ga0CB6zIpBovkZU1MhVV1
cbPYGV4XjGqGuAZ3tWW7AX6Thu+Vv7St1u5auZnxWUozL+IeoPqjtQFEEq9bRyoEH/h4DDrCvsaN
AaW5pcvLPOZO0l+ivGnNpBzC8bk3LXGXBRy7pOycqr2mTraKBEoFN4lBsVOSHkoXDyIEsOIyzKwb
PL+s6SCB3fVxFU76KzIpHr/a9PB5chbffC6boriZfBwHExU0NW6RbTN/bwHtDXFm9f4UR1DF5yRD
T3mIwd+nTZKWU5ntLU0inkSKymbHVrWQewZ9+zsr3RG12ygPiphbxjA/WAZAkFuKAzS9bSzVKKVG
W35u87zu41pV9m9o5x4pSKTkXgRtI/dTodhkbj4sU4zgR/tJAGmsY5QH0l+OtoZvayO7eTeTfCjW
aasEOjnLbjcu5UDjPMTfLE4ZWoK+adv8S1+s0T2TG+7/1V+66aonTXI3HXPxe2id9CdjT0smXtia
Y+KnbsNj7Xz5WDNHeulcjww7M/3P0oCcGytUkz6KxmQAuyhv/llNkcsyWfCgE7du+mm3kHn9wgi1
+44XPB49E/nIk7FaqNY5Efrp6azDLUjLZYhLspefshp5PbtfRrrL8AA+psxjpivbqPLflGjzn6qp
cLbog4ot6sqmK6kmxnaKi8wlCKezxw+eJgvRlooaQ/a0mFJn+ACiwcNLVjXVbyesu9+uiLg1KnfC
ya3NevSKhsJwn1xNbZa4czA9UdASyAhY4CRDwvNdKaSbJ4uVjxla+iBLWB+JpMiwVsuzN/stRq7j
Sm3p2avzDFGUzMfIx2HGXy6qOvhLY/2Up/n04mkJlKOQlE4x4BTjnozdo3zVbZUexlZaaCLrYeYz
V16b750G7++dpN0wcCvOyw+Zlynt9aAzDdSUw+ImjVRNtOnK5Zcxify2tnEce1AWUKDakP43DBhF
edVMSwQZoW4i5zY027zZhViwHcK0G0pU7UUDgMVaxuYgR+QZ4rlbHEGendYK2ImtqZyla3Os5Yzd
X+pvDWOkp9sk74LuH+zHwzKeljWnBqT3V+FLnBrPq4GnbuwDDSp3xOj049w6+R/fH9xi5/VG9Xm0
zVzhHerVt7WMAhL31jfbBF6BfedA2KDR1g+g5yayxy/h4usu6adpNhMgIcjzTUapXza9qZF4utZY
jyBdc62KqLViUqvuUYRLOCdBgQJFbHSd8bPi0viVzn79XDpijeKpijSxH2M/KmKfrMtyZwt/J90Y
UYLdQP8dB1Ivjztj7oIr7v3lS2HW+U9gMu0D+kvyGSNfC/+v0WqHJEJDTsS9vzTcGFLpOslWGRD+
JXBgdLxbl+K4zFxkHLvho5Pz3DhX6fgyN6WsqLrXKUVHAE/EGGH+xUvMdp4+VfzZ5yo3IuPgowT6
I5Uy+oyHWxHtUgPgFSeh7biZXRr48b8UoU3BbD7isrdmWGBrBzhYuKJ5PU0qfyzJfQ+RDKPnafWR
bs4iVXjEuwFXvKZJo3/Q/GkxHMtA1e+jDhX7K3QRwiJxwoyAiiur/E7WaN1NKlx17Dae1e+awOr7
q9psw59zWizP7mQPN55VAMZphb+8EK7ZK+Hg8cBIakWUBDEoYosWwAse9uG9DtYWH1+/yH+RH0Vu
jPGeuoGUMWyusxrEAf2ANj1mzUofqW/NdToU0VTQsjcLbg9/7YKIgtaRh4LKfL7umjEzIMV7hrXP
+qr/AG5lwQtyCDEG5sDSglKG4OsXre6quLdVxXXmLFN4azST+aizTt9D+SYZWl2Z3ZE0U64tWSXw
R/H6UcbLaNOwy1fDIS8E6VfFWVOP/V56tngw5VBdK9uuP09r3xs7K1IqilMrnOvdlGZBE6/hOCkE
IsIwT7Js4XRoKBW0y0Z72YduVv1aRyt6No2hK5KsjSwGsu0a6XgMF1vETUiTPNG6cb465lg/F1i7
FhzHcJpoPveNeaRu1BMZ69TliRg600oyGst4PiKx+UVgYcG+GNvso2lEFQ7UFVJBVxATmXbAg/Q+
F5lvqV1l6xX4Ig2uJXYtH8GTIpjrFx+Dmj4WCMVy10dh/60s5vTzNDtpumPIYP/T8zYfy8iGTxhY
Vfgw58PMb5TFxka2g+cUSJaMy4KiLO5Tmtqx20XiJzajWiSybhtuGJGF7b6hav/HdqYw2w1NXXOt
DCMux17jQAutARZ/TB3JndrSoOmvrI1hdzOs7XiPuajMwAMO0afG7zQBGnNQGhtB5ww7g26r2q9e
jbP9zMTbik252je1rn2XH5z6T2i5wGYLq1E+GK6VfUBrevbp6M3192DRvZuYfj5/nQpbsF5i8W+M
rjaCG+DHocVgSYs54ZIP/JvU6eY/Ddps5a4BP/encRfaMgIHzYixUkTg7IZKvzTepLt4GUr7jsxs
0Qf0mG0SxZweDzqlzXzfkcY+q8hHHjdgGP8YrYXOKMg39VKy//C5UVH1dZQtSUs6N7DgIJJQi5Vr
PX6KohpnihotS2vvSixYoVQF5hcGgkZ3VJvfVhyltv+x8lLnJuDg2nE4Cv08C0/+IoOz/zhyYRaQ
5e5oJFPjIOTTpEGZkbGtVndIVW7ewiFtOoDVaT3vwkk0P3MHCUJGaJHoEXHASnk/rKL7NtJrs0ne
RdnsyQVoLQZ6zXvEHrP2T2W2Zs8MKJW/RwyDrbiiZ4ujN5Y2nLx1lp/wpMv+gNChxrZbPX5drX6+
X9xs+sH+cD77COb/yuhyYgnagw6NLZT4nyV6ER+EqIWNeOAofi5kjGHSFQtzwCigGIvX0q6/i2lU
P9bSMp9G/FC/dGgFPRmy7/z/w9F5bDmKZGH4iTgHb7YYSemzstLWhlOmEwIXmIAIePr5NJtZ9XQr
JYi497dnjX7wCb9+9FuIqhyLcdnbJp9A4Ib8sBxzRpeGqpAh0/3vQAX+tRBi9NkNpjcZUUcsrkyq
7r9+B+fPSZKiwdBeeUnW2GsJzrOd9jX06dQtWrdEVOJz/9tpUqslSfe+S+YssI0x52QGYWFskeod
4tr90USJ/El0prxzJhG1F9Xbdp23ZIP4meYyMamq6amE33WOJd21X72W1nStAYnc5kMntcWxabTt
FVLOwX+DFe3AqVA+n4dYKQ6pOzH6QNutPRZwPvp2DLUhGdOO1LtTufXEoVZ50ZlSni1OeS6RPPPX
ETWwr/Y9BxHHmyhlCfM6Ots3UkJOFZtmIieDXJLWie/ryvbxmL/uY2TYFxRbzo03Ujeb7hIeMR0T
yp1TRo/t14RrYEixvVA+iVo0nNMOVmBIp1H4a74qTpi0R4AtoExWHiyvcrv/FgAG8GzHRow5Lx6p
2WgLncxXq8f6XM/YcbGJcDROVsdKfIykqqQBQOGeS9BTusZpVnte26nk+9B9KLlzZZJkVTPNt9ol
3o2P2GxN3keV99BNfRJmXd3a76WZw2+iYoefQ7UxY6iW53NF6TuDEwbS53harCT3um74cJWmLc2I
SLxtq7d5b3rW/suElGwcTvEI6f0BZ738t06uxRm/xKsnWZq564JzKJrxoXWTlX1m6ud7R6DnuBC3
s/XFvsny18rZccNkaPpTM6KhyLpQyX++KJujkGUXzymFHUDPrdUnrM5yW99Imq5BWTmz6/MWqfUh
UQovuIiq7bue9HVjY0H8Eezt+LwLJxpIOpg9zfDf9A96dNzndjO2KCYMWiKN5bJ/N33o3ck62l+D
0Wk/ep7SID+iST/vxpt/y2YK3weIdhA0EbJuDtcKuw65tbyPliGmkbjpNGvl5DI8b73TAAltW8Au
wUEqpscRdHV2Lp0kG7sFhAn2gFb6wN4l1fGTF7l9CFgwU9sLKzBETDnNzuRuIwxui3p2SnYuxxO3
49SBPttDFQ2pFRvHzmfO17eGTr3nGOSUcQMpzn+aEKCPtV2sz5nP4tAPn5Q7vNDiYE9kW/8XKc+H
XmFF9jIUB82tAtMa83oZrzggpwy1zG4ncWG5eiqako8Dq2HCW6wRg3+yawxC/zoHtzKN0/OqSJ0r
NyaZhIGSRC42eg4HZGjE86ZELpePgfFtk217n/wc9GSmi0vd+36mkaVhs217e7y4miWuCNzebEXn
DdXHYKGTBb6YgXS6Q9dhZsskaPJ6rw91Z4dVUxbGO6IkH4YwVqlYxkjn8lpdy1iihhccG3sDMb9P
SLEjzRfRJrP+CRAhl6xJOjv+V9tdACsY17N9u6wOub4Rt2edLaPHeKZieit5mRjTzxBDx8VdVhaH
KRynPp/6ftrBT7FuFJ4z2CyAorJJ40p2BB4n2TnGefaiZEO6yR334e5lDPg/XNvDi9H3ersIKaR5
36JVJbn2IoWDOYTKIklf6+OJn28ieT6EccvVFo93XNr95zZrj/qYbvrbcoPVlw1lbnuiTLxvTuE0
JU/9tvRtzssChNC40VSzZoQtbbkObtFUrAEDogBgH0/X69G5qbSQ0UPDovC37Pzju5s270sqCkjy
pnOGITWks8iMghoOIyTGzncw+Ew2KXCYCs9ONLrqeQ/EenwCepjl4QACDwufMaZOy05X/+Hiq/az
A3XX3/VHDCxDt0nUv0sySN2TMxGFkQMK+tMN0uKmOm3RXMtHfx9Lk1b6iIYbDZw+s4n6e5TxXjAE
g0aL/bb3/MX55Nhio0lGXAgiFXpew7QT3MGPxu5E8GwlBJ94qZXsRhWYR7tXpqoyvHGB8auncNpY
7No42N28t+XxTwqgwN/r1bx5Vjxoilfehrirhe0UHkdeUwiKZrxsU3VXcuoO1GdPcbWym/L8QKU6
mhA3Ufqb4p+UpX9LGlWo7qgEceWbduvY/G06a6UJE+ZqoSs6XPm+yNA2j2Svrhxt0m7mjJ3V8x4i
Y4gsZ9vt2wx7RAOQrnVNcmjJjR/+lWEwJmeg/L7KuniBH6mDKtkKuInkvd4TCy3gdLh/vd1fzAvx
58taSN22CazqoJYH7W/kFtSJP9nnriac+oGAWcs5W42A1LNmjt4T59z0bTxrtk9UIhHboOBCT93h
6H9j1YCDtOVuNMNL4nxv/Mu3eyC4qT15gJjqjZyxoUvbZbXMfR00m5dRNgbRBeW4exl/9LR9Es+z
3jsDR+0/LpJYZzBNg/NslVPsZXU8Jtazz8A2Es5wrNtjUuoYSpL3Xf9w5DrrB7DpyP90CACJisUs
PsyK3F192+yxVg88847K2CpHcjkVL0DuS1zx6bYtgf3Xgdee81gAxd94uuvGG2Bc0gTQ23NpKPwH
C+cUl8NlDtRY50EoKJNxV+RDKU6V3X3tgIOWlN4XMrtbG+g8m3ZphochWjj7O/bWJdfzgCDdkFXT
p914cFIjjLDvbGdrAJmEN++ZO/qJYhUiEPU2AWj7d4w7nDJa9EUVLKqld6qmkuS/ivNhux+SiecG
SvswuWLUkT+bq1mCu0kQg2NWQ+izDFu/5WOuJX3ZaABCk5VSbb/c9tiozMIIfaQ8YCqk3DNq1Gmh
zYatIbG7qnCHbVDZ7Ddrmy8uVFBRkijn5rXyp/2jjXvXhpz01/A1WEYnuk3gUlkKyTHMPGvgg1fN
oN7myZQ4WiRi9mzDVGqyRY3myEW3bSEz+q6UuV3KWey5OXzRFLhoXP6s8MA/U1szSeSJHoIX/uVc
iJI/7n1RenHyQ60JcRbw+P/YnJZHQo+q/TLzsr+HomW/rzsd2/d2beg5HhPNJBFo5ksYOouxrg6r
frxtKsU92NbWEeYoPg7YbhV5454Bm07ebWIp/6fPOovarlEE2qWAk+3AmlCux7vcbQrXSY6PS+iE
AaZXJmtZnuzN9sc3iIeFH2Zr+uoO4ALWfxFKgSnDZ4VFZ2qEh+jMFqjrqnO2d2D3ujodhrYsyLog
nPIxxihML02szOOwRtZDgJwivgE+CMfUGm3h3AVgHW/cRuWWK3AFzncwpJ8u3wJInN/6+72KEBpm
3e4l4K5uPwLIOX1Zn1RUhfSSC5bHW3o5iQAeWuG8AMSyUbg75bLgRQTQp/wSza/ad+SRS32IMuvD
Y1womZO+yJsBuc7X2PcMuh5sVJNGXjd0l1mKxX5KWiyTp57KG/vBJt6OA3sDIYDChBZhyMEJQEMS
2aoNKZWQXV0RmwET2TovOHnqpgPTdRD6Wo8enafLD8q/W/uD5su6hvvdIGeLsSlZc32E1sHPMRT2
lq8becL/GlXGE9wAx2bHOA5cAxZr85xPNjvX2Z9BKB8P12lEbqFz9QoV6ERdhspf1lOCHLD+SdHJ
zPSACW44GYvg8JESVnnRelGvPfHTdxQKxnPuCnVAIiLryL3aCYb7yGvkeMOl1iMsNAJERKgFXnAW
3mZOhHj0n8BbZZiJKS7rNC6D9Zs8GeQ+fmtv091YzWQwbTg//o2jszxpuK5PrOy0TwOT2OD+Su3e
CWTYcm8ECFD9GlcJhQ968aMpd8fGKokOYgI2ZB7DcSEm8E7DQFLgK1E1KNQj6Q3/NetijtuBM1AX
lhYxog9OvJuhHGFpNG+b+4LcQko761vQ7v9kR6XkGYNp22cztHWUu0MUbqfJh5XHRWasdZJpdDSt
CFPb3rbxoSJFfCOdGETmHomr2E5hI6dfPKlMdGQFCoDExB5IyyDJs+RArKoqW9wDP363HfMHy0O/
Pc1BUt9jIp6rcz3vm3eSYMKAAlsLTbskhzOgqhm8Mh/dtg3TWasYMU84gwEuk+1HaYAJrU+N5ekH
AUWfnIXmLMmcBYYwC3rj7hd3mlneVmsR62lop/Gs0FZVmdd5R33vwpH1VENhEL7E5GEhut2Hds9p
Sl3HTLq7c+SqCuSaQSlwQXOrCw8a21+tbA+i6sGMk0du+qBjgLykrR8Vik2EQ/Ua8IcJ5yhC4Sjv
vCfD/NUMc/W4YVJG+iL43A75v/3pYG16r+spfNz53EOWlPHKsl0J+aFN5/4m86B98YNu/FWVTo/Q
Yjv84/kqtIkfHG8DY0WqtJBZA8Y9ZmBR8kg1gbG/vNaN2tPctci0bPSF58NYw3+O4I0+daZUw2mY
RRCceQtVXLh1tHUnEiIQQym57+PZtcLWnEOUA0u2iCoKThh/lvJ1W1mK89n3rxfBoOwP/mXOfK8Y
TJ3felRJcJbSctxc1vqoT2McLslpb5xjfFnLTbz5jc87K+irp9ckWUAqjO/9gtZBr9UQD/ZT7QCD
hal08GuusIqkE4scnDDDCe86J9L7ArZWZ2U9T9/a9+0+F3BAjyB/LfKZUEXPRADMiBjiYGtOsOiG
V8itaU6wPSnQFcnVHggFrEIQ8N4e3mppkrdmD8dv1MF+9+DvtkCk3ONwcDfZ9Vkka7C0wBYj3rWJ
T/ZTBZOsL0i0JHf/BkL9ukZXcoKJev0R6mn/46C56QmVjNlNY0tO/yDiGnHvDYqLvgzDxb/zdrUs
nxpdZHQqW3fxz3PNwXK7D3ISZ4x5wuTT4m1oY1zdYzUtWWAaoCNzs4pI/SSCl2fTssLxV49n7Y9G
Yf3DSkhszoaKMBleRUqPLo0hFiAPIz3qN68aNnRU3ir2S71bmzxb22ReNqNhfgD1CX9RMPFJ7sY7
HFFldQpYrhZ0AowjayyiDb0vFwRLq875v9rPWIlAxSSWRfJD2WspTWTt+09usYGE2iNI57ni0ftL
DfZcpZ5rDhe0cjPTDeI+vgQGiDFdhmHvT16tHCq5aez+Yo9AGgBYtvfvq1Sam3vduIzWWMJep3hA
JDnIo7vUxQrY2jy0shHvtW67Np9k4thFG62z/Iymcgj50TzYEq+FH7vYjvI1CUK9/UeVGoEOovvg
QDqltz+Lsg5SEyaxqguKIKoRKOcpqYjSG2dB5LbBkx3Vs/7XTStYyupBw2XaXnAKd4NVS5RccyhO
td+QIZuQrUcKnzeO79ol0fo063nWFw6j1iv43w5+hFVt4D52eJ6XqVca36k4Pp26KYczSb5knCHP
81VR8qAC76Kof2u6yo4eprCs0CRUyqkKUyuwcjuxwtvdWkdAoTqaOria+TqZEn4ZZEEUIAypMJgD
olZ2ifIIomW4GbqE9LZtiCuTo3Gra+QkI3DVNlbqSMsxBgV0ZGS970PPxsTX9WVb8QK0NWIXg8GH
5s3NVkMHoam0ETtwNFupqfiV82PtovkiINF/0yQETBaBEW/Mb1XLhCHq6XXbRLLdmNo4/4VLHZbF
DM79ozkWxETckTUOijEKrzRkvxbYr0OsI6b2c3jD4HVCNhMWWBfK/8gcRINzDct5PkK3b85J2dvR
Lefm1uaM2Z7L3TBObL7BYaMVYm+vTxXjYnwO+OG/bb6viblWReLcIUjufi8zifgpswbccyqiwb0A
/1e3OOCt9QZPW9Je9S7HmIW9YY93gRqnFxmCmqfuEAPmLU3smDvOzUZnQTLGRXz1iKUK5sC5BAS0
9mcWohpXX0Xn6C0K5dYgvgwWDOgRiNqJJ3xoHxyEpD1vIGhGgTG/vKWqbX6oFT//6QhX+yck2fZC
lUnya0ZpAZ5PIpC0waFtHh4Eifa3mBOrTRUEZp1D+DjeqU0MJAZoe4fyywB4r5OYXyLt2zov+bKx
bq7DGKcKgZxGoLxotwBdbyH3HOGiEweLF3ct3SUztjhHVRD24FefESU81r3wmADyZILuzXxqcHXm
1q51/ECbAcKmpjIJc93ZwUOH1qt+2SWfuEnV0S9rhvpEPHTKOMOTd+gZMm/Z6+TsWUJcE/MX58XG
b0kInyVc82NKZIVJ2B7Vf0ZS13NnwHrlE7MIDX4wxCWD8GBL+wzFyhzih2pyn0GgpCosNuaR0zVu
PuSiWz/1SjeYXw9wXuaotgIDLhkhrA9nmqztfu8cWLgDE0nwCMzVbSdaAwL/zZLd4eXItwwQcSi8
+LqdaDwaiJPqfGGiFWmrG2XxNY3Jc8NiBkwNAWpfEC4nXx4q7+akVp/nJkk6g2TR8/a/65bs3IHt
BMVcoZi5NqWr6tsa52R7qWgH4gQsqSF99ut4Ry0KKKSfD2/dfiGcbWekqyj00mmjV+jsK0RPRaUS
qvW8Y1+WTJpoez7Wxt2YYEv5pZiAKnwm0vraR4spsQtc3EuJ12/6Ncbvof6GgL9Ixn2tMMHIYzQ/
DwpC7GcFMIQ0wl19f7oIvXFBVSjffrjR7vvgHUHyMTid/XtK5uidaja1Xve76auvqDH/6ZYNInH3
oFTsXttj1T2bw7siU7GIp7OLvBYtr4dmOBtdSN0fhwBBup/naUrunTGCR/DV1v4M8JOGj5Za3ebM
6FO6hdtCmNBIlGwWeJZVzmy0YSXMfROAOxWaHvi/CVftli31OHJUL9IeTj33Nl54x1nA+Ml5e2rQ
HvZpKMYVmcXABvy8AxTJnEyvoUyZNHp18sej21LkrzMpmAH0PgrJa2oBC9fG1DIeLr+9ipHoKf8o
VRZRZQbkJd3Vyyq+dyKq1klLposwHjObA/c6u+IPzOUOxw2Aj1bytuQVTLJdgFVm7dTHkvllnIaM
uGM+YZyM9vx9mMZz66sOet2LOXEDN3OAv79Eqzud4vX03GKN6sh/WGbJ7+gvhDQ/kF+BVHpM3HF5
7cBij9NOF8n1aUwA33BgNF12hMvQnXwkKTuSy+taQ2IH2ifuay7BLQw+nRFAKWPEdfpzay3jfKe3
Vrw689gv2bY0u5WvBjUuzKuHNtkHp346aNqwTnHg9V4xjFU13mpnauo7Px43JlVvQ4vJV8P8OQi9
Pw6EIxDlNXWSFFXq6Bq2zWVYmLmT/RbfR9N94mymYu2o15fJq5EJmWkcf+sg6r7hHONXWmiAvle3
RGZ/uMeDawftU4fD+VkPUs2FgZFAybnu7kvHIAy3Da394m9cQnCXRB0xG2ka/8rOReZsr8t20sPi
JffAkU6Ur3G9/OJtmLhKWf2hwB1Ne4NkCv3q423DFLHPyN52iiG/K5O4VdGIpTUZArhlvCT15H33
FjLWIuwQT7BBxq4gIndqxhDeuTV/VqT+H2bhjrhy1+Fy8o+ptZ+cnXM+g65w5xtPrOVxbpGmf6GG
wuzg7n386kQqnJ9GxHgKqCpyNPhKXMqnNd45pJd4I65uM3HwuxZtE52BOGDFZLWIWy/aE8wLJNV3
Fy51hcQ0quwiCqK5L9CuIpJb8FreHeMBE9GQFVnf9tTl/pBqkTRCSoRL7lTyR+1Clwwy0vZv46jn
lPVmuXxtveXap6huON9Z2Dlk+ZBsR63owum3w4XyZupwmbOaGByvsIPaiy+9YMAvcD35I1POEJAB
VVYywt8yoiBrQt3/NV28fuy7Na23VmTrm1ZVm/8yOsG4+2nZr+6/Kopg0fzBBfLXZIZ9bYcL2jeR
0WydDo6vHDl5M+DBHafkdKwB6xdIran7k2MZR2BY0OtzbVnDP/I9WId3255/SdE18oQwC3Vys20A
+XIYZcCUPtgfFKUt9SuuG/3GnoKDzsR7ku8HtycaCc/GSzNzG+8M7H86f9bU28uV44xiQMRYthcj
du7ZMB8bFJZvRAhArvlTPf2NUKapNG6T8S7ypPSLuFzBcihoFHcgHzxF5NuaJYtrN/hlnKp530Us
onSBHqnTeUfUgdNaHFvqd7VAdXWlCu9jmmZM4ZQL02WkHHThWKwRbmjPcgFQlp2sL0Vuxqt/9BUs
BaqIv9GKt/km2vSBa9o+wvkUucjCs9I23nT2GNbKK4ufiGyDtigmq2YGI69e/hW8jvWtGjCpASW6
bpdb2uOYXS3pg1bxBzX3fQ+BgW5/QkmCfhC5/OCyFhTdEltLMSaVeSQnSYd/Dr5JUlWYG+27MfJ7
PFHN6m6nWiSrV4Ta29tLFxl/4vsKOCm6o1P4e7aakj2WG9LqU8M4yeNgw3wAyY/yF0lbWLz4KTyR
w4Re5UWjnfyxR3RWKTrxTjwe9tJNhRXGKLmYS3yfL5eyV3Tp01aupxlrzHKJLSB2iNsDjeysHJ65
BaXrktMfIhP0NTuCXsEQjk2vojSsIL/bRchSq8eWHe4hitRS5VGtqug+9Hbnj2dIKoZH3bR/Blcy
+3kRiR5/t0u0uJnYUMTfXrVhY04JBhAICF+85aFV4eliwIjjy+Lopnk4Jkf+ZUXeXzjVWnHGNyMe
rCVcx7M2lQjukIQnr4RRib+DWncizdA0+4iAh5myLzmImrWewO60jzYuaDRUg2A3QWSaYS3AfARZ
W4ExSZbFE/lolPdNwuOCRnYXHGfdbMp/xkbliFPpquae0OVDFQsDb/u4sGechtUjZSuxppkzU1jz
N5U9fnOLzHD7TPxSPPrsG6zMVav+q0I7+hw9TFaPcaJneTlmW/2IOuO1XzY4xPF2VJvuKRrdK8Uz
imckH6JpSxgU2mi5aaqIG4Yj0HkzDhm3Wed3nHWM/By+3IMrKaLsTgvZs87gny29+laOM2F4Ab4W
39LarL8joj22uxXuEKHg2v+2+oE5kSbA6bjAEIWiCOquZYhqTF24orkSXPG1OLNnpr2fwRWGfLIR
5eJk91q/aJ3ICsDsj+jPYGqoOmfDF8QMM7VHbgY8pUUXCdSDG6Fr3iW00Iucm/Vwv6IV/VTuIMPu
znYYlX9CzUed13Il3wj27QmPCMKq1SCCuWbfoNxR/bCrmwDk+9SGu5nQN/As9djfhvmjbjbLvSBa
JG9w9gJtzhPQ58Sh0Me/cQx7PxBTuH8427fwqpxqqxNY41T/dGp7HVHyc1OrH3WrJfwNmtKyaHqz
ay6hQLQXx61cpu1wZ8VE1D7I3AIc/5RT7a9nb2fhgsGqZP9Qu1Sm4OQr5fps18G45Nu0b/ft1g6o
S5FCskB58H4P2CykjQhWHFD9vTfSI+krsZqL5YBupwCszsUdu9BG1WXw8mDRWJqc+J/hLmiGyX+i
YaKeT6F1BWOWLRHPfKDhF6pivp/0gBVjatudGmBhcKvxp1caKI/12BSiXgLs8cBouS+3TSSTvkhs
9Ggt7jqU90STx2fOOHu7WDVyVaQQycLpCFb+ihx9Z4oOJrd6qOZ1UI86OY4V12N0oFWwMT9AXCgc
LsuKsf7cz2UZvfChBuBbjDplpkvbe6MCOhDZ6AiW3qiukxLp3cBhnNQIBHd7xWS+IRa4L10riE4D
Foe7tuWh/xHZ5CRd2NaR47NpIZkLJ8cqP7vWrMChg9TfAbKD44blazZnC1LXu0Ucz7gZDq13Qtje
8SA1on1YpaPRoqKIf8UrhdaL51R2L4ygyV8Eji0u4ahapwwDl8veShxo/RpOdfUbVVG0n0aCOwP2
CZr48Gf5kXua+v8vn+Tiebx3QO5/XT3OOkU92zyAFM3ill6HfstM3y7fhkLl5gwkhMp/IiKQB2ga
+LUF4/txsoN1PG4lr3KVd74Qz6LqG/wYEa/yO7fzgPIfHUD1UKONjm+RkQsvX1vMp0gjIW3zclfT
Xd95TZmB48UfExFT7RmnIPPM2rfNeBPNTlvfOq6QdGkyYmDHgWAiK7MCFUyrEpY7mzt/GT+0bHnL
XLchwpJwNEoPgsFWqgDsjrsnZLlk64dmx4uyu2P1RFGc5NbdOlPAAfhl0TcahHu0vPhtqFAz8Zfu
unzgJUNQcV3pftqV76yX7oiZXMoo5ogIA2xJIdbeOF+chas/8UYZ3q8mwmQQAQZw+Do6etBteHwK
+qD558Dkk6z3Sji3pKWXG8PRtj/3/Hf4VvAlCF7gkX0EHHqgzx2xQFB49GzoovdwARaD41s2Jyzo
XrrO6KqysHL99oz4po1Proh7/2wsqFISuIb5bMcCMe207J64+GEp/NMmau+qFguaJ6V0KVG0teH4
dPSzGH7w/srwpnQsbW6wTQAad/76VEf4ZjM51hvyUL5EJnLCqlx7dNYH8oBMfJuM8/BY7djXb5Kd
jBHELu3BJiH2GK1L2Xwf+FrnG8hNliiAqUTYz70VxGNKoFrr87Q1R5f3qg5kPkOi/ll6iPsiWiw5
Z1MEksSIdVQ/FlwA5vekPGouBBNbW5RIQcLzuEF2XcZtjpgcKUP4psMdBKqJaGPK7dBthvO2+pt+
Vo5sQ6x83f4eaVL7+U+EfYw9wZvvYmkq+2wrVK7pelSwEwQ8cLAPFe5E0KiJm6dvEb6kpg0dPmjZ
QHsA0XWIk20r/JfUUTVnlWtqkcXzPjlFT4D1jUk4PjO0lYSaBkzLM/eXmZe3ZauOEJqKLiXJ0ORj
yKrW/W1py/hHBcPjMDog4M9tX5VN5iBDQt0sa0zOA2HNeDi6YNFpUEbTb5gQSPtkSDw2Wb9GWMiX
I0AumAvbC9Jxpy1cLzoAbMLVF5BgWIgLwnKq6OTMUAA3O8IZoKsBsSkjWGsvQIKI6fIp0sLKmnbh
bivJefRvzIF8/BKYPv4H84D1ClCoqQrPTMYrDtnvb7zFsIlYL/c0dnbpnL2B5FniEzb/dUJtKO9l
ond1W03B9s4Lfu3j29aq6BMp/3nK278R5wr8YpO1owCLGZ7DFX0nl0aM22lselHYiVTw3VjokrNl
lmPOTFWWRzF7HlsUj/uzRBH1DYWe5Cj+rs4j8On589i3o+HDhczCmnUDI8lWTU9wVBPjoUHhcsPk
rmPm8nmOU1kenHpeQqBDhtFmkAWVHQFql+vCk5uaEHi61pf9Y0sC9dObnOXL9NF+oftaitsJtPou
IhftalnVWG06alNQ7Uak/YNslc39hOLt063neGC0lM6I6JqDm0c+mkxBglUJrkm5SnSJtRW3+e7V
GIESTc5GHSN1OI/I+ghwsKYYPUJcDc/Ugk1fhNvWL2JvrS9nHaB3+ojb5J4krM4rgCu3IEPmHt9H
jcE2Qr+Oj+zJpsLPayPkEX3p6suVA4XZQ2IPuo6e7mHxzfjHpuxYF6vxiR0gPgGHeBTLKjwb2joS
cEEERi9qDxMWPO6elGUpeV9Q3glcMuUaEipUBq8B2uXmDJZgXqP+mD5Cv6VkynNk/Vtx6pmiA4X+
M1nou1IkxZU5k0Fv/+aRICeUNcVmL4q0eSJOwr/m4x2BT2vI3LbFkqzL8kyry4yE2jucv+F0DGwj
sHFDLiOys/PqiMafgqwfr5jGtXoWBEb94zKPwtxau91lnXY8dLRD1/0Z4OsMgvMpYq85tI+mzmsh
tuZNIh46PIb5Y8ShihI2boNL5LKcZTUqeyAkl8TlNJxJo8hcp4bX8E2VkEghCC9S0DTrua3kVnLN
6/Azth2Nm8Xrg6cqqtiFnCbxPrcycmH/ZWR+NKKrursQ2cp3GG3ic7FG3uWed+v/QOmx5uTb9VFG
EFL9HknZbJdJHLgzoipKLlbiufoRNxitXltiVtSTrvD22zhEY8rwuIGJyJbG0rRVJvzatUElYNZE
lecWVvrOwaInTiNdKTaj0XIFj7E/+ufDOvb7dVJ6vXEx3CV52LK04i/USXQHV7r0vIQTn8JaJXA0
rsymhQklQSIPHNWMj0NVEmjB02u/tZwWwxmBFs1Oltfuy0sbrs1zu+zHXwdvw41x8FBeafId8+Em
p+qEBi84sCLFwNZJGSZu5o9MATdDOPk2QhSLhDlf1G11DkhigJMPfFnlxme+PIPL184vsxj9Kv3N
Wk7/4+y8euRU1jX8hw4SFEW67Qgz9jjHG+Tl5UXOmV9/HnykoxkaNbJ3WBfb2q6uosIX3gCF0Xw9
t0FWX00EIL5FHZkFRdYyew98Mx8Og8HCsQ3QJTjyYqKtMfjm/L5IO2M6UEiYwOrWCqprgWaCZemU
iZSHbH8K3IBK5VmoIw3+OMo0SeDSV/+2wiZJaEEWtId2MEdJtjP777Iu05WLDl3gp5qmuunJQei/
urk0MkorpvrWn5MMgH1hd18Xw+gGdFhdEirI3DEeZmCVGLujEfImR6lKQusP2FqLBMqbygGwf57K
3pgvsMxzILLQaA4G0qM/BpjzVNFto/nhmFmoeB31tg8VxIT4ABc6emqBD8c0hUr5VqM2zoabdJoD
Yioi/zXEwwiCZ1I7bxotTccrhEzcd8XSogFLU31QtJZKlZoLJzwbbVpxkpS67d44QzAG52lI8RBr
kHwvXG4qgi8n03DyZWemeAaNdpKytSxERKIcFEkY0C7jUmpt/VoKaYDk+V0syhZKKGUOXqzjBLH7
0SjGns2XAWcihgppzSDe0oEJ1Ghi/ZPUofMm5qVDFoY35bsJr6t+iEI/EGdltChFUJsY9LOFuEh0
gnNrvRf+rIF118sww6eitt62YcWF33TEe0pWQYtFC6fkKkcg0aFN4KSBfpoTv6TgJkrrotKoAuyU
h7px7GjGUJBU1eI98Rox3VCoGhy3hhvrOhv69CbVuE4P/URfbTDiaImmawrQc2/GFMmKKDxGIwDg
Q+/jovSol2raLDwUosp/SG8sCykQQ7xhnXlWDEPFKgwi/fROIsT1xS+qBtWFUAeAP0dcJhfkutr6
QSWZeR8MVgL/3igjwEIwqfpDEYNDf00FgppYUDTys28n/ts2mP3XKq0b/1EW5mwdEdtQhrPjDFp2
mCfNnEDvSITTxlbN/sN2sPymhJ3/eQI1OnuLFNd/dEMinMxyMBEHu5175MCrkDKZ5jvZK3ShuX91
2Yf/IGQUWlfU5HBJnKZ0MsmE0EPwFKus3vhhpVGSN8nBzkZN74/PEOYQmAzT111LAT0PER/m2cmu
q5qmRGFrJ5lnAF1xGTRc+mT0LsDJxP5JzpYNig2IM6YbSdrl7yE7dG+nuOvf6VnRcGODZG+A4Yfj
l1ouqQrEkf4BEQYAZHaSWcMj152vfmA3wqAwJz3vwa4ZhnYOfOomMEABsh3IURfFfbUdHn17BDRp
KAYymXTzsqNpB5oaHBK8lX5VtNwX8BoU4wNV/P5bp9lAv0lZ6vdhW4LVRwbnsWjNyDj7Ez05BJsC
iGi+HkT/BlWnjSew4mi+LGIZ4jCDAfEvBiWYFqUA3fli+CL8jEZ78SEZIw5OJPPWncxCVenLhPIR
Zk4gDjGbBs1/Qp/4bCQ6chJTpDrXwon1V7Rp2xwbbureb/IuBZ1D5dr42Dp23xzKTq85CACBfCoL
AY+nJJJsnmY/qpxDgEqVcWy0fKFvB4Q4ZyXQ4q9mE1fzpaLz0r3lp47va94pFPmVyqGYahp6e57h
GQCs5BkzWS6Dlmcm5+YzWk+0g9LULn82Tm/VBy0wbV6NtIOyAaoDEImsW6U9BIsrwjHW/Sy61upY
0jboajw7KAzpzZOYnegjtX/TeGIjpoiFCrPzz1pl8LzRDaCXHnTArKlfGlVwVpMBKRj+r311RvcY
wYLYmtHAg8iIuj9rC9mKShI1WDQdrPhU90MbXxq0bENyrbB/EqJXF/UAO3w9z7pifwh8OX3MlsNI
pSIm4S0Lx/yoAglB18Aok8egtlMdaR2n+drTBR2vGeT6p4y3AR+1HD/YgD5UwSvRDd9bNKF/IZUg
X0klk2gaWbZvHwMJevoBCpuKdHNZjB6yRMZDXeO1eIDRAkxiJshiv5LyG981aqNfNKCaRFCAkKht
gq+0Ppgi1ctzX/cmEje8zccGdpGHAkVfXfmzMDk0w0i/IBVmqZ50KEXZxZbd9D21Borccx86wUmQ
DGffqc/aZ7i9S3VHrwmhyfQU3QVa2D30ek9JSbErgxDFMpwftNNECvteC5f3AVloiBLpoH9Egk39
MDYi/amwT7412Vi8DmUwLXwRnxvU8Kf8Jwx9daEma1TOHNTrfoWZgosdDRlzPEy8X48OO316TGWW
vlWSODGOMwDh+GBYYA++IokRQHPDgBhaGrrMlPBnkkbeGbrPp3Ysh/djHM/t+4L+HYQpp24/Z5Qn
AYliAPsVyMVgX8GT6RWwoJybEjdIyzhUFTmoO6iF0nynU67mRzFEVfmKEkfxUBBqzdcanIw4h2qg
wGUA04U6TzaG7whJxHct8AlE8xkcCeDtFjTcrMZVi44Olg+HikZTQYVZL+PrPDsTVLI8JY4uTdVh
z4W5JGLmAhwvGdkct0DRaOUbJ5fJEyyaOn41lKkBNkjNQGElgZ4DG45lcDYoK5dEk/3SGK2QX3yH
/BmcdUOL7NwDNmPqR4Ba/g+kt4L4bdkZdXzBA0Pk51o4A/BMW1RPODdX1UGLVH41DBshHoQNDhy4
tp1eUy1LwwdqpQUhHL5EIObzZlK/tnap/EtinrO6Q2G9m8xMAsKc4to8oBfZRR+qYG4uejBO3TkV
I8n/LPoGKKzuFxdgdvFbDYkjNKKKopyfoqrS8ZuFY4PzGzjcIHv6HzCCptJG7eCZdh8+oMtZWq97
EfnOYbamUTv9j/D1WgKPzbzZ77HI0rK8zNHakXl6HpADHi/A0dWCv2oGpVDE5eSW9ZRb57TjxZo6
PhyMiWTYkfXcUBA1CXDQ1UTWlXRl+fNnqp50Qyd6PmXnoRStYm9Y6ABFQPIKUs49VegtuUQL/zPb
RIOSf6/ELuNFJhQqT+d16COcfNSOzpEp7KcJVZgjxSLru+LPpBYOcSBNbsBoBYE5DMBY35Hd3FKI
tHQ84+kQWfgxrUwxFLY0lTO18xprbi8dQpjoY0f99b7a5ob4pWmhCmcLfbFz0Jc/f762ARXdiYzE
6/z6Ax8w+KKHpI38HxSPUgL5VJXCxL4/qLa5yijfayCbcQ1am5nkcB8Hn/qjN/S99hZcg32VQlOO
kt7MhagLySIAN+esMedTOSTVAVdT51gOxZ4b79bWQq/r/3/IIkb6bPrILNVWbbLIfZYhuwfuyra1
6BGeaL/jzbr5OcFv4AS1KLrfSLuao5lasu48k1byVbd148lEL25HrHpzFEtarJaug3Rbfc4ewEqn
NToZLLasFKqk4RZDbZzvf7/NTfNslEU5/Nmq6W1gAssaO6+EDe1hTRGcbRpFX5Dgyh/iGmQlMV+/
cx42PhVePyrupZpqYSi8mhrO8Q41R9l5FkKIZ1r47VOXDD6qbfD97s9vYxUBhwKzMcEvIVO/Uj7v
UFkCIBJ3Hg51AuJsa9oXsJP00f90HMFuUHVsbzQ0aNeXTZhznYNqYffFjf5UzALs6DwGO3viVlCX
UQgjdWlBjryRmkWlEYS4wc7z0Vm82EUlPvnOqIwPcxQLj5KgL3Y82W+V4zGiUiUWAqqFcvx6rws8
TiyEiBqPEKH7HBqkGUqcJucxNwO0lBeR/8QskH3zhdhRvP1tHPBS7xbtZ+3/XKGkjR/Oy72JZpAO
IyyavbZXTM1LQP6iuSQVhwS4zEXh9RZARK/uiMdcGgRmRZqiGQ9dB0/hkqhORV7lQyamXY9gi5Fa
U3aEHOEbbg6PFjxBhgAoTVfbCR4yy6AhX4L3PqRw8bMzPlBAZjPEToAOprP8aNWzXu5cn7fbkyny
MEggNBLTmpXtoOakRRRFYvJCOzE/ohAFpGEO1Xf3N+fteVtGWfYLNzSuSKvzVidKImlvTHSt0BcI
laE9Kn0ovKGcm+v9oTYn5JiO7Ui0E9FjevnNVDiqsx1YDIVR9jmRFGkXLOHOqd6aEO4WWMfppjSp
ub8cBeUop64dibsg6KLj1BhoHswkdZAY9mwGNw4ARU6VMitZj0WD7uVQgJ1zCIz26AUkSMUhzQaE
obph0TJCuVCEr9BXDX8MTgcOV6TKFO5cLMvfvzoENsNr0oKrSotgdYFRWI2zTlajR7lEoZqY0bot
BnB7VBweq0qNT6Ze7LmPb6yvTTHQwKKMawbL5peTLv0yiq22nrxYifDyMIf0bNXdcNbRu/nzT8lQ
i0GCxLoDB8mXQwVmjHp8wt6M5fhVirGD50Xb19RltjPS5ko+G2m1adpKQTumyyavJQh9D4zLfMqd
YoIrI3qvQt6E9qxtXu6fh81BHRqLOg46KhHHy+nBjCOBtmF4NOA4/uHEBD+zkuTFzqHwZlonfkw0
Yf+5P+jW55O8eZJFlba6FgqHwBbQ30kGL4D08lBlsK0UCQWCanW9s6hbQ9mmkIDzHE0gRfhyfohO
k6IO5egNEjXwQVawkaL+VzcOzs5LtFpJnHpswb0C3IBVVEG3vhzJ77EKMiHuQaoXHQoDYLe001nN
0SIYAULtXMy/b95n5+5muNVFFuYl2sRBYNK77bUffiv1f9E777NLV9SDecxqmbhxGRaAbFNZPti6
1cuz40Pn27kAViv8+4fQTtFxtHPYf+vIAlUumExmb9L4ituvTog0hCGq4E1i5OH5/r5ZXd6/hyJ+
puTqmAYx2GqJ8TMP0UWeLJJ9RQckqs6nABGrnS2zCmJ+j+JwtWB8q/Gqrz+kGbcLi7G2XTSrLC9s
bHHSqR9d6PCjpUxNdWcBNzaOzgaweI0sXtq1PxEBW9mWtGFcnH27R5/KzrmeM+WJFRiPI2Iwl2Zq
ip2l3PhqCEnzMqnEhKpYP+wicfzApmLh6i1lK5QDF/E0xeAIGtFOOrKxnjr7Y7GYwQJJivVODUEl
JShQu0NUOkdTg+7blwi7hGjAH5WgaE/3d8nm1J6Nt/z5s5QhRYuVvnVsuYEZRQD3hHiyCoh/zljF
7l8MxZurE7Owluu9X9Ls6CJKnG5Ga/2AURcs20oZPhWmvzOprUUkm0NHUrM0U1/nCY6uUyWl9+YN
BWKAyCxW57qxcTYYEK6LLUNc789sKT6srhcKAtgi2oRlDLsqTvRRpugz2ZdHRdFKvdbvYYLlmlYc
k0LHpguV//TMdQvWg/6neGyTPt6JrzdOO0UCmw2BRgZ3y3Junn3HFsK9lgs78DoUmcnCMLJR6Vnt
nPZV/LScdq4u8iIMQIRqr98iqp9RSgUroNXSlq9oUPWvTeRfX5Orm68Cvy2cEyvUBiCSnb10Sdsc
HEsyImuxZDDLV38+RWsOEILFyRygkFMdxynW9XNUZ/hFd81Q0g2vCgoROBtRPjf6JvQfoJhlKE4o
KEVT/+3gcI6IL1xMnIfmQwXoqrsCeADxAEYIHPSsUdo5QrWq5Nf7O2Trt5PpCdZu+e+6nNOhTauX
lDHdACuXEMlYBVZpF4ZvUxT2HqBjGzR1GqD7EAL+4vLiEZAUHqCV3MS8vrUIOrUkVWoGg8wBcIp5
ioESKVK6O5tw6xzg0smRwx6MgHP15FgcOjXL58jLuzChEz+JHkbMQjz/TotMfMfxWvs2KtKBtRdK
+1WiFamzYxu7daHhMSSoE2IFeFPCQuoVjmyEEzAMvwgaQu2fJyv4CVNt3rllNp4iqaGshMsGFR25
NlCiIxaocopwmUdO3TyEERKix6hT6vkYwrJAwtt02uEcVUO3Vw7duOAkjpG/nRUFOfXqwkFoks3W
N4qrk9J2r7PehgEPXgTR+oI/e9/IsKt2XqaNhSUJNLlODcPWbooHoM0EqmaJ4mKF8Ineev5JTbNP
WWv3O19wa11ZTQJA5PRvkzQwop2iicJ3kU4ew4MKCD2cU71/qAZ8WA/9DMj5TD0YwaX7h3RrhsAQ
FlFUiDw35SXak23X0mZ2C5po9gmDiByAh6nFOuTYet5xGtq4EiRcd4ioPBtcC6tg2+qUlKdk8t16
hEB3dVrQvxhR9HbrYsZZF1eUmsxfUHuCDyiTNtOfX+XSkNQioZ9qaJ2tthCMBEREbdt3CbWUT5qD
jN0psJoJFhhhxviqsyUYGWnHRe1V89Arn+8v9sZdIdFJxzqbAhhnaDV9xzYLjaZj6KE2YfX/dnRi
woeC/defZjEM1rG0rTg/AhVD1bILDEjMmtMAcbj/M7a+OasvWWraX+r6EBdVVQE5yTjEYxM8wkuK
sXpB9gqllmznAGmbY0nufwJmdva6X1IAMUxmxVLcuoLg8dop9UC9IOgXwqua6HYXFuQ+jDoUJK0v
oalmzRcH7s54VAVCQZeqz+r4atF4fzBGRekeB0WZkInNiz2P080fuqRnFk2d2yzFyIZSdepAcW1Y
VAZ08iT4rvR9LVE5r6HW3/8EW5cZm1Bwp9hLbr16NTI4oYkPX9kNc5PECPEGBHTtcNa9ALlrREOR
WbncH3IjWuJFpOovyD1ph66iJWKcdhSBGnly0rILCnbFZR5Mcb4/ilh++SouJFChtbDUQ9jsqz0O
ahVRKNsgYqnbMPsX7gs9jMbQcGOp0fsbAfqJwHmYWvSArp0K6cijk46Cgk9vO/YCoafxlwqi0iKB
pNdgOPK+ewqHCCZkq/elcZzm2MIUIzK76UHEMM3eR/4cm7/gCiyKAFmJFxgo7aDYubzWnaIlEvx9
aGxzEYm7Ob6D1MZEV7XIU5xUdzwNXM54UKhgiEM1TU7wuotV8AjCd8C+dnPDCmeGbBZzTiV9QsET
B4T7q731TZHC4ixjnUmatmzqZ+GhCZRNHXQz8jTLLz3cu0rg5+2eW/bG0SCuoVapCgefznW+W6Gb
19emHXmUmOMHlXD4bdLO5dWKcu3bX0zIoLGi0pjiX6tzAfG6jkDTRB5uUeN1jPHI0OxG31m2jdd2
+bs55kjrEiGu9ijyuomak8d6bQeRU7FA/wDMaCy3KE2UvBF5eh1oYXn9m7mxiDRYyHfXuWA69zr4
WQ4gwlQBFO9JKvGpqOx0Zw03HlljKSobNBMFXt7Lnz/bFEjWwTSAzu4lMN7kiTnm4iGyhA4lIMl9
9HN9OyqfFOxvPiGcjjnQ/Xlu3G0UXIUwMIi1HXV90QQgIkao2ctFU5OWUVs8VlkFJLVWffoWbej+
xXi8q+SA9Boperyc7wAOs9QlgJ/MAPszFwDTJPq1p2gKpy/qGHc7u2djfqAcli44RXXDXN9wLVUa
p5yrwIPHU57TELuSIY7yKzXn0VVh8ezcOxvHz1weUOqhJKGWvTrklj4Eqe2XgTf18AznFu80DM3E
ZcK0bsdmeXsoXkAJbvm22cjVHQ9AmQMPKiBS7ZUpHiu4KF45RLV3/6ttDgUjmK1KOfQmk0AbQEsL
QXbYDwBy5rhJH/0qsB+UrBt2ZrVx3E2aR9R3bZbvpk4wI0g69F0SevOEQtljD+UfqxYSQv1UVjMa
7FMYx/5XI2vn8Mv9Wf5ucq+eQxNMquMsuSix72pzajgOCyPSAo8+blJdYdDTdRwh1v7bhK14TEYC
z0s3Y1B1GnQVpHPrALO5WGYUpiCBIN8eFZDBX/pGN1AO7DrrVWfyP5xNcKtPgWrI8PP9n7z1YWjV
0HO2ePCoAL48TsloIrsz9Y47VAbuWnrguFSB0gcyH+V4f6itGjXVFQMvZuqMBoXbl2MpcuGNAQl0
U80QTxg1SQLhYjj3IiiOoH7D85A14xktSljQ4OmOVRt1O9HwxnVp2ugMLVktL8L6umoAntWxWjto
A5T9fwXA5odmHAEm2rM8TrgJvreN7JcfV/3O3th4vAkoqE+YwMBpz61eoRlGVhSNmuMmvd+6Ps6K
by26DntrLFjD9Q4k5eCcgdC0b+pXNLg7fVR1xyXcTvJD2SjSP03g2MKLgLL4DWHR+EsL6fSLgXYJ
bLA4zMk1w6IoLsocJubVamcn/PNHgqKdqumLrTrrvzoXALAbqO/sraauk9coas//mU4wX+kMwuOe
/PLr/a228ZUtimhLA4J6ECCmlzstHJAlN83Sdoeavotj/mdp0ZuwNl9jzvEFa+4fRQ7X4f6YG/cO
4BDuGzofhnOT7TYoMOZ1MjruHOjFt8bPsAa0W6RvRosy7Vz+C9lB7tx1G6eXo0tiwcFlsusgA8kD
ZP+DwnEzJ/5GpalFhhtSbVkD0b4/u+ULrfYVoSDXmgQVRqtgtX3N2jCRRJWO2+GHEB2VViBY0MB7
GQFcctrQbEABF9U9rfoHockG6dKsVt7e/xFb06X2Zjh8Utpn68sKxW6ljyoKClqpiAydJNV8aizD
147oWeCA/hej8Y4YxP7ytvFjoGPZozPo06jo0gX8F3yujRBZFr2v/mZiz4ZaLo9nQRxOeH0wZr3v
RggUIyKkfANgOlwmLRn+4iRS0BEgZHTQg2uYVjaQYMRoTrod6lLeAvN7BcI6vNgTVHgbiePrXywi
MTd7E1iTtn4RS12nmJZWvguXEfYarEa1O4umzX5hZyKcvziD5EZkbDRGbntnUb5YabSm40IpRi2w
HZF9Q8HXMJKTQFWSAksMiexgBEZUnv98ooThjg1smtVdT9TREf9C0pDjb8f9WWVBnvIiw56gkNVf
DEUFj7YyDHiO4+osKnCHkWhPfReHchhI9FmPjQxUV+vsvQrw1olDspoKyQLh4qJ5uTHbxcAewz3L
TYohfZthRcfZQy29n0vcjO6v4NYVQ+BEW3Bpt95E2oPl5Pjn0hgsZWe9hbY4Aw2V6juJXCpaE+3Q
vCbNasDiNsO3gdbMXn699Wog52xoGoZ2BHGrVyOQoGqHDA2nApyV6sG+yLvLTNnkF7rV/n9VWPbN
KRhS/QvRQhrs3LBbS+1QagCYytxvypUOPTzaDo4FNGzK3rSZOV5KGyISxR1jJxbZHAoYhEEwYtw6
s1soWUS4k9pu0fX+pY71+VT1UfKgNmIPsLmRPlm0zpFeN/jnTelLR8dcpxSIyItjz69KfHKPrd2m
GClAQuyTem/DbmwiFo8WlNQs87Y5EiCX0UUzojJxW2LY5OvG/AkdBxgsEe4h3yYj4fVCj9b4SRJR
PEyiiX7d38YbgR6gBJ5kblnqz+vTiZ4LwDug2Qh6GNaxblqMYzNrD/uw8QmXRuVyTnhdCShfHkzd
HltMMhGj6kbbugyVDI9gdMYr9F1z51z+Dk1Xbz9hO6hKBFGFcRtNYSyD363juD0SB71rDAhy5LAc
DO2fCtKa80UrU1RK065L61+B0hqv5lFGT/Cy9fLzLEtaRLIvreFp0AeYEUNbTelnBaHtGl0sVOZA
9xVBBrwozD4UJX0XlHjr+cnsEfc/TkOdzK96TN0/0ABGJg1K4dxdZzQS/nViZFAw22kEYLZhqk6Q
AZr8CCU+jDyMMoKF9adjalMLS4YP6FAcaid1vmrWMI3vjHzEtEfokdTcPGrSD9rcBOah0ZyoP4kG
56pGwmQ+gLIs22Oc5UKF0BW1P5CsE6B/g46tZFdN+N5M7GlEVCZB0jRt+6qnzyBLpE5zp4bk2sWt
elBU2mRnLSuN+WCXtnyKEeRNviBgr6vn+ztw48zZ3KO/TwEbcN3DnjBmjLvlzFHVwrpqQP9D0XEp
yZAq83pccf88UGK8BegEagzC9+rejAhBfQMqPTtDtd6hfps9tCVKVr3q7JytrV3PHYh6t0kpnSz/
5a4HWAu9ZA4DLzTgul+sLkfZW0sCu0GxA6GcnZ2/EdLz8hFfU5ABDLcOeqcKsAO5s+J2AIMuPI/B
R2Mam0OchOYplmi0UTkedgbdnCN/K1hGqj83jXQEKKpGUw26kP3QeHw8/0k4hfmmw0HwfH+jbF2W
5tKGpMLFf9Zp0sL7n4ampi8BYKWnIyQCihZGjdJ6raBCj0/TVMhjlCKaJ/rOGo9xaOmVe/9XbE0Y
3NHSctUM7ebd90Mlm8yRamEZDsEn08ryo5xr+zPSfHvw+t9R2PoqY5dSO1+A2jdPPOxXS2/RQ3Vr
AsHpQ4eV6Hf6oVZ5KNNIhpcUQ6DpAgQ/Tx/nSIlfBS0NtANeFebXxNLtpywtndbTYZnmJ2sesZpA
Nm7u3bxQZPwuCkwHPdTRsPDfxDv3E75KiX0cmlZVD0aL2dQxpzfyA+xG/JlQNVcuEHe1B7xAUSoa
7Dx/xCE5Sv58S4FnwTsJbUUsHtb7eKQmp2imUFxHzT4lie5cy8nEcxNRvJ1vufH4Ab8HeUxvmc95
A9LpY+H4GDu7XdKmi2w0d28Bqf7+jtmqJFFqlsiOMRaVvtWNU5SldOpM8hkjOaL9odcnJAMhujsa
Sxzn+OGhZBOfRzP5OvRhdA467df937BxyfITqCI5S52PTOrlVaR1FDJzR+GYQtRzFZmgOlVAAD8D
FNIuWpIHO6CBjWPCtUeBn8cesPr67mtmEyHVZlLcROr9ARfV9CgdJUK8i7f3/tw2vyIxMNfe7zrZ
anlhguix0emKa2AI5kZmOLmDUxs7QMetUUisF0CXJW6LQlFeibAcfMVtAjkdm3pGWqdFVPf+XDb3
ygKSMxH/pEu5xlMWNrL040QBX0Xd0nOqIHBxBJJvepPKt+GMWFORdpgH2TsmJrzGHCIPUZnv7v+M
jafE0bjP+W5AEQCrv9wuozPgj6pElPVREHcnZBUWjbUY0SxrpnozIiyH0NLOd9wadMEqAT+QPCfr
1n9FZwrPyYEudxiY50BV/Adda/LX8Ikrtw/y6r1AdWSnwrDxqKBSzQblIjA4mqvItG6qyBzHAiBY
GJWftRATlKDFGx3yYnQalTp7HGMbeZeRl1PL8ba9v9Bb55IsXAIoN8Vt1UaNFlkyo+Jc0uR8jR9Z
ftKc8pdvU2kk7R93lvh2E1PXANyBGqclb9tfsYYohMDFyA1nS3y0kLLBmT2fds7+TWZKVoq/BY0a
Kgv8Z/kVz+pDk6jwK6ar4TplY7+r+7p80zmiOXVpZz0hRWcdZ7wvggP4pT9ONBga1iBZKfXFBa/0
cuisc/zYEFbnIrPfqYiqhdX3xp9n9BdyNA/++LRyFVDSgAug066lLfFyuGCy5TyhUOuCxmDT4HOg
pAdE6ubgTW+NlXnSSgqhxzkvk+lQkXgIOPGIrhwIpeJ4B8+ysewkyPD7ltNDoLRs9WfLHsctGklx
3jP33MFRFOA+VvWsxpe46uyvtlp18hI0uoUYXmiQTNzfyhvDL3RDHhjCI17T1TXcoSrSD3T4ERyu
9WOBYTUxGmLYByyV+lcILmOwm6bWg+iyL38+siCYX2hsVLTXt5WDzQVFlnrgAfDrY2KX6aOaw+rB
BjQfrhqabrgUVdiPzrHv3R9auzlRyMqBbSTgpkVEuLLaAb4NNRamyODGs9U/JDV+U6cp98UJJagZ
Kf0GQZy40785U9fTNYqaS6zqPuaJ2ELQw6wPTWmEPzs/d3YutpvblB+2PIf8A+QQ/kwvdwPmRpgM
xqJ3u0ExP9u56RzycraucBDmj7UT6p86mQ6f7i/HzXVG8Q2THQoKjEgFbrUHKgxDNdD4nTvEndXj
G+DE3qRO8ccRN0f9XIusyXfO4MYHsE2JhDYdG6RLrPWuHxIOYFD2LgpNSPqIaDqrlMHP9ye2OQrY
IXWp5vNeLOHOs7PVoOgcFXbD2SIj/2cRA31qETbZ+WZbo5Cj8QqBF1h6JC9HqWRqI8VJ0aIebOPa
9GNxoQG51ynYGoWGvaWCkt2QCWiwLUDIayILKAvliCiPeZzs2tq5Dm4RSewFYDkg63gLiOVXS1ZW
VCpMP+tdOViItooiqE947yEuraOXeLLigToDBRDjaUbT8W2VdYV9IibVEbVC73g43f+CN1sT9gY4
Enx4CWjoKCzX17MvWFhtWFoaWsKhghjpAWsh3CbaVMWTyHQKfAdG4q5/7495s9LLmJTXsPC0wLzc
1KPLIuwbAGCuQnj6tpNt85SV/rCzNzdnBvcUJgzvOg/Sy5mhYWhA5JUzIUyA57p0Ojfuouo97Vtx
1aIQF5v707q56emHc9ToqxGkETWtTnmArlPOV5/cGUXpswOc7RUyn/GHER+Bw6gF1lVoReUGbRT8
aQdxGZleAv/mjaGW/HKqWKH5HSgQ1VUQILlI9FXeyYlegolHYbgzy+XvepF8L2PxnvH1FlDsOjm0
dYTkW8TBXKDN8lxjnPCqrc3ww1DjoL4z1m3Yz2CawZ3J003Oayzf+NnuHOkQ4jogZndIleqLjgPX
I/GoHWGzUfcOXiJNhBxUY7Q/B3Rrn2z0/N7EMRXBnRjidscuDdqlawr6VqNl8/J3IFFV9gEyRq6o
RP4WsgaeHUqME839HbQ1zEI2dITgnzBXXg7TZ21hxBZblg3mx4egmhr76Giw/Hduob2BVq9DoolM
qfCvc1Gulo9xjVQTvhZ/jLqiufVsOr9xp8++nmSSuhlPs4vEQ3NAg2x+V8r4py/m/lRpYtyZ1M3T
vgynUwOD8yNo+C6TfjYcojJUFS11drHgwB88MxovkhL5vRgFkhz5MA+r8v70F5/s2aCrlcRyTDNm
vFpc2xi1K+7AGUKug9jZf7eHTluEJJb/cp/RNH85NfSgA2liN+L6YpzehmKqzi3McDeA6rAz1O3W
IGB3eAo4c7wM68cWI+awRbZKd3MlCU8yBMEju2aP+nY7oWWU5UhTcTbI6l9OaKlYgjmsdLdFh/Mo
pnQ4DvqIFmlH9f3+F7p9BwCssDFgEAAdvUllYylSP4lU3Z3mWV0sj9TzNKOu1WZZhFBoo365P97t
NoRRDXxeWzgTMJrEy6kR//Sp2YWSgkDaX4dMrb4jQYo0Z1AGiFGmTlCh/dipO4WYrRVd+gQWwBxQ
Q+sycAFF2AqzQLoAOUP8ttL+mGo0ywtFV3f2/NaKUotZ4BQsKxCslzNEETyu1DyWbpUmlRe2XfIp
qMz51RyL6RdyWsTU95d0OUQv3xywZgRNvAa8PNDpXw5oIIAZlSHsT5Ra6x9plFjVwxwbEBL0MisE
4W2jGNe0RvNVUOn3cimKn/d/wsbyLv1coiTCCSLd1UuECHCTllFuuTN64IfOscqjTHztjDfjeL0/
1MYJpLoN4p8pbzR2pymkSxVkpjsXeniFFGeeZtbmfH+UjY8INYZDAUCVWvoatg0F1Mh6rlGilcqi
NWdkl6E0uhPEUfTs0lHZC49W06ITy8NmWyYxJsgfCiAvP6IFCiCnw5R6VFbsVwZagwg5hnv53cYo
UKB5WUCQADBeb5W07nRnatIUvk6SP2lBVJ/mwt4jea7O+DIXoeLqsjRc6GLdzEVWSVIC/fSkholu
2iUaPg3pPxYOj+VBTrj7HpAa3svpVsfg96gAYkjqqCHTx11FtF3barAs6tQbjCj/GNPEeuh9vGoO
Qx7jaV0kqPAdfHwFgMgYgf42wfsp/rOj+H+/AVY0e3PhMKyhl4oup5FHNfXQFrTfGzoB1+ijrloF
iKmZ0Vy/VhTcpM0pzr5iP1R+ur9rtxYeeB7tPJJp8s3lz5+98WVK67cv6sKjzawd62nQv/kWGjzE
Z5gHKCJ/DTmMW++PR9Wh1CMf8FvfYs3ZwERwbJypKrwZstm7oFXFtTLH5nOjjvbruEx+RWAwvt4f
c2Mjs7/o2Fs0uW6rNxqa2+1c97nnFJX+piqUCsdzNXXvj7KxpYAf8AALajUg7ld1mj5YAHKVknua
7djfsQmLk/NQDUnpEtnUwSkTQV4c+jiIzQO+6UZ9Lhc/9nf3f8Xqcl02FTg2SvtE+rSx1q2tobWR
sjHSAoNpv/nqy/7nlCNsrSA7/fH+SFur+ht0SITIRb5+JUMNq442ygqv8v0WzezAuMz6mOzc4Jvz
4Y77/VRQWl69V+jshbXE08hrYlJPWpA1Auw+RleNsgd3ujkQ6JaRbxpotFPmM9YU22qSRd5r5uDF
Td++DeJUv0zdXHzCh6J6ZfsBjmuRuvMWbo5JqEEWD56E6t7LQxhNaB5ri5dDj5Nhdqq5bx9TMBWn
aFT74lxKNcWADANMubNbV28Wu2MJ5Uz2IoUgSrmrgTHuypMkxvUX7/jwyUGsF0ulPv23oEjyS49L
XI/+cLv8L2nn0Rs3Eq7rX0SAOWxJdkuULGfLYUM4jFnMqRh//X3ouzgWu9GEz5nNGDOAq6tY4Qtv
2AY0tyYldw00vN2AHdJAk9D7NsLsp0fVUpvg46T9gcrMxab8MwpEGDh4bMl9pYJmTq0os2yjsp7p
IHuz5r7zMls/mMzFrtyG4d36Q+O9/Gwa4s4msPUu6iaxJlgN9eudTfV/CoWRjL9vr9yVwYBua+Be
KH0CG9utHFL8i9OmQkaekMqjFNlwFnNcvl7UJj0g21zcYdvlQbbMVtywsPu6izdZFpLncR81Td/K
X1UmkFfQh6V4XTWb0eOYdtb4gC9x/Lag4YoWp4YY2e3pXvmEgFk4fpTSKCLuEbl2V69wTpM+smIx
vFLlgDcPFsnPt0e5tqgbQYvaGQka4N+XB89N11ri/zdEotTFOV7L7+A7yhMwpfFgPldO2na2idcc
apX6fj6zihSwNoPtsrNVvQOelmSobJvjZpAxDnfS06Rz8MhemRzZu2vDQNVILvbRDeoxcjY6S0Zq
p8xv0auqzuS83qPemkcF5X1dabtIaCURQXGkQens25tm6wlMeyxcmLGrLx/MWojOLxUchX2MYM2H
HmL7f1W+TN+bHPT/JmbyUU9wgPvn78mGAbbDT0BZbh9GYsM4U1DaTFYwIPwIaARPBTdFL2EpcQS9
PdaVL8qktxYU1XrShd2b5DglWWmaDlGKFdWjQqz/KW6HEo/y3nb1oJ+q9oi0fjkkJR6Dq5NsGODx
fnrYClVVkWZ9VHRYPsyWfcIoog/VBoPbCv5deHuGl2eQ4WyPyJhmLqGh+/J0rBOFISHdLhKaGCJp
uRjTM9eDUS63KaMgzLdpH8GFuUgwMEE04ynuolR66+sGffK7IvFwgtSg49+e0H4ovhTyMagJ8/IQ
nu1BqEprxsIbFNw+KNA99LXRY6sHQ5kO+L9Kqv0ZisNugAEEUbW/rpGIx/KqK9RoVkV1j6zaF7zO
p81I+gghvf9K+5G2TfNXBK8thpfnslbRfW2m8zTEdmgq5nqwdPs3YRuFlhsiWFvSSfz8cpQxW8CH
E1RGGtFItXkfPG+NpQhVQec0Si071SS/T3Nl9adZW460DK9M8k8tchOZYUfuG365hlbDliFGOg4x
D5XiDvfp5ox6e3/szxeT3GrRgDXRJaDouTvSlZHZZsrNElU5rJ2uVIHRqusUIm2DBWVltQcP7bVZ
/f8YBaYwYYT+clGHVSEaihU1wrpApW275tmXrnPco+r0lX3PrUgcBGmBZ33/EoxYEy1KZesAiwdI
A3FMATdCt2oCY6d1VnXw1l2ZFsAMFvAPwv3iMbBqZC4WGmwIe1r4JpMDveLjOtHtj2Vsq/NXEYus
gyYUhDaok3AjLopYurQzcKhYhnHie+85raFsRsKs+49to2BY5aqCkkhcJOJcmf3yDPNc13luwSf6
mO2NOrpqqSbO0h2c9Jx4agfHQtX6oEP0Lkb5VyCKAo+EILjGceBd3VVSCWM8H96uGAshLluQvZ/t
KU+9r7OnLv030egjZpGYn+rI9k9CeZhjNR8Caa0VEJgiVzG6xJ7uSNfi2gemEkS9fmslXbAk5gSR
qzUv9EiobhatWKT7mUL6B4P/6ONeOSNUsll2iNhgZP9EAn9dN1nWZYi3LWukzmL87KTYkeKgPYWD
OTT/zcv47fZX3t6Y3Ucmj6YqSigK2XyfMLjdNFSrynAdipFqgBTY79gZ3U9JY9aBJmb9jZ7nZdSU
phHeHvlP8HcxNAAjQkO8Ly9Io2WRZH3b4g0FbjyxHpvKTL/g2OK9HxXXiqiBuQh2iCF5sw5K+0Uv
h/aMCan9sY1r/fMkx/LNOKzz6favuvKlKWUi20DD1+C62t3D5axRgsvNlTSgt+6TTvYPC+aQn7D7
OsLJXR8KrQZadHBU9k+Yh4AA8j82X1qqxlNRd/gJUSd7qikjHFy8V4diXqCqSNe8fcJG3bTNbCwj
IiFajJbFOMuwUIR47ym5PGAVXtnAm5IkgF9kh0HNb7/lrw3cQgH2st6FRlXXa/6cENt9mrE7eRpA
RZQ/dX1R/jFS5KIyYN8g6w9ShX/tRgTJnSZAX9dImxrnPSAaK8SiSw2xB0Ipukjag527Lyds4wG4
QNyDjB6o0i6r6UelcVo4JFEuEj2cdfQ9xgavJwxkSmztkp8qCeA/Rt5/xmRPchET8VywYTwhnLJM
LC7gyqnfJ4OLBT1+hXCZi/T/ONT2/Pz1ASWVnzoZ3SVadTdLT5VcpndlvumXKIWqLwdb8+piQu9B
KGorke5jAnrwtiswqom8ftIep6Ip7gA0Fb83p8/7ZG2aZ5Xg5GCPXjsPNFYQUiYkVi+K7pttWDMN
6ClbOCS/nqUo7mTTpXdbSncQg1y7YKFUuAwGggss7svVzEAY11xqc8SbhYx6AqACT3UNb/dcJ6kg
+hn6OgFZ7fyrKv2fLfPXyLvAVdrWkinUJbfA1UUexcGfCUGYszpX3r05a8OvUfS4nnR2XR0UiPaa
klvsgBTpVoMFUwdsZjfr1mpGLEJyvurYdTUvOdqdeK4ttLOr3swgJwBomcOKtGgKbPwQo8VE5cSv
7Nh7aDLF1XwVtciNXmYmwtf0pZS+vsyx63dW28/+hJhZ/WaYxro4/fsLQBWI4IdesnkRiZeijLWl
zNWoLdziPHmKEzZrURA9qkf6ydeuSgIKSru89pe+Aepo2oU5rdCjunY5J7Xo7z3AYqGaLOsrIerl
7vbUrp01mNa0fwjygXfu4m+8C40kMbCMGr3Y08/mYKBxOOHM83Y0at2NyljROphNvXx/e+A/ivb7
tx7EFl6pPPVEyruR7YR3TpU5ptnKrDchJW3ze+epaRZJp3W7O8RRHfdcYZqdnqDeifW8tHj14gQ3
W18mr1GrNzYiDnqYqSney3FtTm7YLOmQBO6a9/m510rgRHU7Zp/KTQUlHKu4Gc5qI7rkAcPQ9RPi
GiouSotlY3KHv5b5TSa51wSwC+XPVa5rHaYuJkYhVr/tx2UC1+KvbjtjITqMTvWoqsJojjpkV3YA
1Vo6fx6vCVH27imZs6q3le124LzUQ2A1WqE8QvSavhmNmhXnfgABdr79Ma6NSWd4aw6biJLvqxyN
2hJZSoUKfK02U9g21cK242Y4YcmHqkEvRooe/5sxweZvMDNKurtOYEc7Rp87xlxMJ+YjaFguSu6G
s6XM8wcoewcbbnujdvsNSxieStUghgZJ/fLWBSRujHGMLVpSriYZGR0wFMGnks7b7YldOVKAtEG6
0OZHHmqfOHsiN3DJLufItPpWvFILlW676EtVOS0z7rd+Itb1VdYv2ffbA195wmAboOwCH2lrim8/
7K9Xep2y3lYt3Ad0QdYTCDtdvJMdw9JB2cbSD8Aa1/YMe3SDgIKiu9DbMsu5WVpcn6NWrsMDRpY9
Foypos8hwi2GfrKN4ugevvJw0sJADA9S81bk2W0ZtxaJNES74pnUedWTzGu18220YjBlK7/bivLk
VI4xB5Ur44M3e9sd+92DocMW/gPEv+AGLotTqT3pacSd0oI3YG6lxEKsc80sKnLTvLdLvQzBSiqr
34xtd7Da177tpmPv2ETQ1O52u5cScElwrnEryOqdO09l1OfaD1S5yoMHYS+dub3TxJLen9oP3ZZ9
dJJrVjNVwPailjBJf4POGEVV6IrwDAc9oyPie2vZPBnOMGFvKbTqW9u31T02Uu4zksQGPmkwGX5w
Clr7IcVZR0aF6VJHur3ZrxxnniuweaAq6bfuMV646EjHK+c1MgVG8/ogh5PR60eCmeZ22+6+O/QP
JN42IXUgjbuoRQHuynucUoTj1S/u4rEcmse+xfgGKvo8BrjQQYnIUi17dMx6nX2azetX6rj1Gsg5
x3wXi8/qTnVSbEkdp9N+9SrC7IHAjUz6/Qo2NDBjutd3RQOejHvCqsoTmj0Y0maelzk/bKV34yCl
rq8/kh8Wy73bt1MSgm3KJ79LSyf240YufKQ0bwofcdexeDUuS/ZjNkXzzkyT5Lfe2KUM40lLVBzQ
HXUIUKSdtKBEavQBbVSHNrliL9V910z6g6Gi3vP19vfa0ym2fQXYFvzapvRwKYhQWGuZbll9ZM95
HX/GSq/D8zUfF64N02um/wYwxp/1lJDnrWr2pvHUlsKb77Eote/bYV4xQ+RLiYDK2vLbwdeyPHiR
rmwpSvycLQp2RKn79oKrNa5dtJoZGbUKajyxtE8iKeZ/JIZtC0GCSPML6WzoAHuhROReq6luLDNK
FS6acIhlaz4gkA5VN5E43r+n5yD+PbuhpkJBEmUYhtzfnMma6qk1mwY8wxLlV2IILz1P+pDMXxbY
s0ettytPIBI7YGsoSl6BRop+odO4akZUGrUdGajE33XAafxK18vPuE1O51JtDgAYVx6HjV5B1QjY
FBjJ7f//9fqRRzqjrIRJi9vBLg81Z1jbk1tOb7vWI5RG0zdqkjV/9FaoiPe3d/eVreNakOJ47YmY
kb98OfhUrn1tJoWNiV6BfWySlnd5Oi//fufxqqPqRdt0w0duv+KvKU6pbq/5UtlRPliTn+hOEWZC
yw6euitPDYA6SP/UNenn70vkmbS82CQ6i+YalyRPazPYqFI5GTVtxNvLdtHE5CyQEIKI1DA1YfV2
M8I2dClSBU/0bnSMULVL65XpyvSUKtZ67ywI7iZmKb+Yw2iEQnGzcDVG42BVrwQyG/yEL0cVdyOm
v1xVG8vUZDQzJ7JwSf5cZJZ877RafK7dyfq89F5y1CW+NmsAixsOn94tT+z2i/76jm5f2E2Hs8oW
+lYfYVzg7rsiGtF5VhPSWFJAhUHiy6dZnMsknYK4XZ3w9tJfnTXqMNx4G3pyf1xyuFuzKFQnMkvP
POeGziiZPYe4BaOeZjjZUf6/LePuJd3UmWkWEzLyDuxgWlifFDYcDyfCojlz/Vl6+antzCqULqYh
DlpLQZq76XtQEEWouGofeA7F/8XKEKKn/htOo+7epbbbPt9eiWs/jCIotEb4lajY7cJmrZ4oeauK
xdl1zfcO8a5vDWNyMP8rVyIr/T+j7G4IUOS8f2pqR2quJSdPDN9cT+qf58n8PqKX89BP0jg4yH8g
APslB8MNNI32K5KAu509OArxu8uT23TloPiNowzdua7m5q3hFJssGWg4bIWLul/eVL3osVZu4nx4
0rOhMl7lqhy/Slkv95Dv4/FrWiim8tbUKxON7MLIen8EttVh7SaUJOimKX8f25P9u8/10Q4oliKl
XCnF/ExDR3Hu5iTprUg0Vu+gkatNdyKHeRca2OJgkN5mcgrrLtPiEHKjFb934xmQEoIKFBkTnEOT
sJ9sjI97OMJH/dyrBxKYIsEuAnF0qfWXB9KZEyRok96mLlYv3jnLiOTuutZRxb2Wx1iw9x0SBz6K
Gc69Zg+LHsR6wuVkOSK2DwLwK9fv1ufZJKLRydec3Tnx0kGrpVjsaKXtcMrsxD21md4FvNxHIPht
z+33B3cvfIxNJJb24ctp51aOKzLuYdGYpOJXbk2z75ZNfyqTbnnCp3u+R0lpeaC/bx3kyNfO3AZx
oJbGpUAndjdyiVYjrBo76tdxPVWWPgbmnB41zq4tJQ1RUkaiLLCvu/1vF+uSp7DrUL2cix9ropXc
bJnxORfi0+075NpI3GwwtKEubNHjy/nIRRaYL5S8zF6Mo3me1t9xCDSeUgm24vZQ1y4SCsd/DB2I
adTd46FUqEc0yKZE5ewYD4mltB/tstRfpWTgr/R5sr45dncQW12dHqkWxRoOB1fgy+lhjGDkWcpC
OkYyOCeFIKwMUmtsTqgpZgeZwvXBSBLQuSZo1XeH0ey8trSS0YrSythuhppQXNGye2tozPD2Wl4O
RQ4L+J13eFNHN3bbcElTpERHLmVPL9bHtltUBJqt9UOziqPC7uWO39JlA7Y21V1Cjd1QllnnXKq6
FVlTrQYxwmxBWfTu+faE/nBdXx5pWBegFWEogEK7qOR5o4iFPmTwxNCe8O5mWhj6O2uoJ/FYzmVV
+LXqDY/bvvpVKYp+jwzxiB409dKPPS7QHz0TkGHQlVmrjZtIJT10Y5kdBUWzrC3DuJdaF2axdJ9n
x04qXxN69XvFivXD2GAneo5r26RcOcfxT7vAeh2jApF8wti6Ll+5EKBdJIwoRPpI0yla4I6x/RPq
gWXcpd2S/3Ss2c19VyjWf50YjZ/dulZvstJ0f0hvQFeVfHZEB23UG9X3Wqe/E14zOB+xxqbela9r
O77v5yKrHtGBX96tlTXl53hs1l+ukXflfVyn3hIuE/igQF1a/eNkLwaApBbIbwDMq9LOFOh6KGMF
nHY/gUD9s8hjMZ7qJZNLyF1qPuFVY6OmWaKp/6DHSvld0bB78gfHhfdf2MZwJMR+5XWiC88TDmWA
BI6Cx8vTl0pVXSRqSRFR8NrzBeFf/VBbwWtI2S11hS/zTM99YXuFe2dR48woh7tjSrG68bqDcOlK
Is+h3HJIyD2Uw/a55CjHqa4A6RAviQ9ua/anjHb9fWFQm++esEGUp6GLTfyOaWKhRuWFAluNsOjw
EFPoLocL9eWPt/e9tq3Bbt9vQDYEXkkkaMXuLuC1rNtuRtk9MotlyDPfdpXqVVplINa71Us+Oyto
lvu5Sk3V78c0zYLSU1flAR9hWTyUTTlnZzPF3engodO263j/wzbxZ0TgQfVRK3358WiEgThFvCza
pK3HyENjOjsVy9R6T4unDt9XxUNAZOxztw7iYVBl0NLS0vHk7ZXyWS/lDCU6XXUjxCKjaAI3l/I7
jfrlTZNq46/by3jlkgLwD/gQfDWhxz4Vspyl7RW9M2ibl+oHpKPUOVgMezkqq3mXi0IpHowxIGBG
s3dv2Dg4lnQFbFZ1qryvxZioIQiX5o1BnFr66CpmZTDoU9Ge5r5wEr/NcFk/gAhcvqM8LeD/oTdS
SAQ1+PLDKK7e2nnRciHzhw98Utdv1VIfkQZGHf/UKgv68AAkD/KAa0vMK0B/B5g8umS7YdOm5N6S
qxV566ifM6vMHsga9INDeuVh0xHlpIYFxYmO9m6BY8QPFPxzzYh+QIvqWN17PwevSd5BiFSz8z/v
GrIM4khK01Dq9/cTIf04V11hRHVTWtGCeOe7VWbJQQX8ysKROTpUe+nCAnvYTalFlC7LncmIiCmT
h1j1Rh/SUXsgQ7D9LbvjCoYD3B6UFBvhyl2LoVqlExuwh6IqjWPvtzfpdh7CMDBtf+k5gE8V3euD
Ma/sxE1GA8c3IoPLzni12kin1u0caa3Rf5vUDafSw5VyxjoNm8zJXy11mx98NGObyW6mJpHPJvRw
TRC7R+tFpLMxRmM+dd1Tqbeg5pxO0EUB2NS9ZXkUPXIFuly5vSR0u21ntFAd6kWDsh3fG7KlaNsw
LctMC5O575I3MzT5T1O6bvxSIBtPTtFWKM/notE+UkvtyftJB1Jfy7lwvxuiFvnXhtTqOyIPWn2f
c2H0QLr0FCnZIs9xYyC0Tt4X7lhi+1cfG8lfW3v2FAhNaj9Qc3fdVkd4EGVbKaMsM5YPsdIXfko0
0QJskfp5ppLdhrPWTu9vH5kr22xr0oHbp1OH+Mx2fv+qAImqNfIC78RIw3rhLRSuNbBqFyc2jEXf
cVnJg2dou1X2H5sCJV1JsltqiNsy/DUe9a+B6BlIeToL691Uaf3PqnZFMAlrPmGZtf4EctOiZtVX
B/vsyrElseQOQo1qO73bU/DXyFaj903c0Q0dzN7xzVaXd1ZiHfGNrz2zjMAp2m4HJGl24XWL2PnU
NjZ+2umQ1w/SitX+3s40PbKbyU7YsHW++ZC6ioI+cCPWR6tnT3wYtJju4TgYsfzVJU1dnrnoRvVt
rHc6CKAa01xdXcSRGv2VbcdtCVcE+i22aPsmWzFNRobqHu08zIVoFNvN26UoYgIBaeSDn3ZxEdUo
K3vh7X13bVyuaJAFgJ/RlNldb01mpKO7xkuk1E5zXwwSlZWunoNxzLU3PJM9Rl5d+nx70Cub/U9h
nLLfNfXacZxtvg5e54a7NmGZqXnYuqN7mof6Oa5H96Cee2XH2TgS81YAb6Q/vTvSXZWr5tilS9T3
g5Fzi3rYwJpNcQTU2Msg0cgBGU+hhlDG4589A2e1WhqDjTdFCJ4geD8lRvq9oryECBt17Rgzk86M
NKVdRkAbefpBVYSp341ma72aaVUu328v85Vvi4EkXReXVwRG4+6Mz3GlmG6hohgyEeAhO5067xr2
8Z1EoekxV9JeP2mFqP+9yrJFihyLjVLNiuzusjXP1ZR+BNzCMYtPcRwLv8iT/n4kLDjdnuKVuNHh
AuPdoqhDu2W3fRdvIVFNmx5bI6EFVmJrftupXqBmqTzPRhPfabEqzyln6Szcev14e/hrmRibilYS
dykFij20I1tBuad6I6PVmNY4RI2wdP2qn8u3qdLgsYBUoJWdW4dX42SkhUmJNdOSz6qw9SMS+5UI
D8OsLYKFOQguYXevzqTY+VLA4ZnzYQlt0Doohyrz0IU95PKjbvuVI8wNDpeBc4WS/P6ZJNkFxCV7
WF5TDXZPiuGeNGvwvbqKw35Qq4PS9bXZ4ayCyTfDMb/dGRbILTaGl8lIwlqvg7Yz3PZurpbk6+iK
Xv83VcvtINORJT3bPA+QH9mNRmu/6Qe7k/DKBhlgiesFWEfW0ZBpytmZF/kwAzZ+1xYUEG/vKOsy
b6XWsoXNTHNr0O4+I0CXLK4LqERw/XKO6kioHmrWUKLyCOuZ/hckktdr4U4fvEx4kLBNd/lcrK4y
haD5sNWrcJZFU3XFayDs4kY1eOXiSQ3lJHs8jdZ2Tv3FmzotdFfKQad+Kqos6JPNYsnFmVr1ERhL
LSy3Yu136Rkgzcc4WRwfb0fng4ZxU+GvfTm/jgfN+p2jTSLO1kzLIMJnSPtYJ3Fp+mNXDUA++uGD
Nzmdekbwyc6CWFqKwcdbpHsanckbA8oKObBerZ9CC35iZOsinn7Xwh7iCPqedAIb44sq7DqZxIFm
p4jU+lY59HqQtMK2DrbZZVjEUQbVSa0MddqLZxhhJyh/qrZEKXLa5oc48zLv97r0g7jLcxtciSg7
WCcZ9y3CjgYaRgff//oPIC6ibKFqF2C/NhESoxGF99g2ZfZ+7UHZYE/Tt08J0dwdDaPsNTCP/s0C
t/TL7b13eaY3tTz6HcQfXGp/Lru/IrO0p9G25sYaJdRzAtXJ01A1Z8efLBxwl4mw6PZ4l2eagIMg
kKUm3UEu8mUkWOSOaFHVg3Fg9tUpLXPrZHXqf3IcpuD2SJcv4cuRtkP318xmXa9Sq4FUJuspP8nZ
G7BHGNtzxZt41oUo2cBLe3d70Muwg0E5xS7a8VdkKGS2wEwXTA9/RALr1HAfxjk/8i+kP8yPfxnK
M473p2DNrXVx8VflMknqJ1vLPKumZ2Oc3PSb19a58R1zXfANqin06Q7emaP7Mu3KBY/bOKvDrogT
64QxrNdi9wujJZqBsWV+Yy9yDRUc8fK7ui5Xyzc02bR+IbCECNahabLHzCuoiCd23gz+UIKyDblo
hjbqG7MY3xJbrHpAp2r81ZgxHFmRtlKHKxSvim8Vmlb5bT47KKaJnrtV6zVpBVoRV/ldYqzLCJ9m
MYa3inCIQoF3i/kjgCDlE6KADWLJRTIkj9aIKL3vxVPyO7ad3AnNxumxixlS2o6mLXp/nXCXw9Kx
SrM7iv7Na9rZaXHaqkvrWS9S+41JowRNSENWP2uCxLOJY9c7Fxj8244f/6hPniZCpBZV24+7qevD
FWcoM1SGLGtfQW22qDpnZfqsSc3NA6HH3cz0pP56ktqafUEZPUl9yuKSMnu8OB7PY9k139xscLsf
sqgpio5j4YlHK0Ga5PWqKtmzRCspDtu2n+qzJUzvDl8MQ/70jDH9UAxlmd/Zdj9P924yr/VbtebI
/KyoCXTMV2mSQBd2D6ZLrvqHuevNift9yIpTMzdD/TZrIakF6my56Xe9pzz60LsdTwvOTYURaGWn
J75nVaN3X5tqnEYc3rUL1lkX8Mkb6Z7tvNOWh7GlYBhUAjLeG2xF7AmENHYCoeskQ/zVbjL7QUrd
bEIq49T2Dcq9XxSr60fq4Vo+fyzWRvdCFx6M8SZOM7M5wX8o88BZ6tR9nhKghK/WFjzhs20obf09
yXNF83Wnk/dGp7MVvVbF89jM9Dh5pcg4mfx5HoiuVvrV5mO3pmZ2n5R1Rz7Vgyn3cVJQtJAg3E59
i7ZAf15mjVevcDsaAGpmGc1n5Dud6XNvKT3Kza2uf09aQ/SPNd5dbMtemG0wc/9itdIqwxzMzhbO
edKo3+BmxDWJgpmjnoVTq/W5tofx3VwC9w35EFUXSmrxac/R0pDRlF2MyV8mV9ws67JETaWx9G9j
nqKP2K0ZxROzkMu73IzNwncT1fvhrXls8Ed7fqrLfEH6DzLjEOSgK37EcWdTG8rLrHmsXG/+5fVO
yhs1NXx2ClWz8dgIx1IiR0Ja8IssFel5RUZzM4118JUhgyh6+JGKXgT96EotMArX+NFZgCBOtH1o
7yNh46kBnn59GSZ6p6ZhNStpidTigKeKS8hS+Sm6fc/1XA+PtiUMOuJuXLxTLWlbJzcDtf4Aw2dc
HhpPQxnZWZ044g7OpzdkEulThvRSfVdMtuyCcqk4WI5Y6CzOYimTV6omJ+O+KNTpA35X4ic0eDn5
ZjF3erBaCNOF0zQmjY/cbWaFsd0NeRD3TWHdeapYn5bObR9ZNRad9jV9rJb+E3arrlpppzXzujYE
iWIPz7MqO+cXxI/BPrn9YBJqzEvckVPovL2LVeVB1oMHgdDFk/ULo05b+znr6vg8p7J6qxW69smC
MJPcYZuaRtPcl1qIf11rPLZD23V3/BVGNLpkXn7dWfRrRsCfB8HrlX7MJp9D8Ljl1wjO7147N2+s
NCtSN4pRZW2J5oSLfqpufjfbxf6QI+X1rbGs4qlrjO4pTRP33Ce6PfkOJoLfkrGa49MkE9ehmWRq
BznplRgDEVCkBqD/Y06x7/Mrdqq786BAWo/jNmDbN+fZ8+bHSu2WR3WsrH9/+dGX5OBR/QYtrW+/
56+XXyayUmXDWmTkhe86ZxazzytW3MfsZbG5t3sflzoenv/57Qc4qpGQWtQSL3rya92vCsg8XB2Q
pwhJUsdXMU278+1RLrPfzd8DEDpbDoDIvnUwAFOWXqw5kYIPfOGTFMZzgES98brCY/W5a0X1aFrN
+KqF0vl+7db25+0fcCWC8xiEggeicSQtu9W1dTXTZcfqrrotQ6yBJ79JIGvMynQkK7L9Vbsoh6E2
bAo980vEgQo5VZ0HnblSHPNj1RGkZDwKatF7SOItR3ZtV6dG8YLiIVIEFyJietb3FeG5E2m6+G4m
NuKMhWe/L+JVvb+9iFfiRDQ16WJg/rvVY7eU4K8tSn9cz7lOAN4lguSomLTX1jgt72+PchkC/1G1
RLCEdgtUid2lEC+23o7a7EZWr6iPWZYoZxNlWRZRNvd0BOpg0tk9twe9XESI4xtafqNIbCSNl1Oz
V7dE4pyCnl4Ky6/atT2ReVvA00ft9L8Zip4tO4Qe3v4syKxpY3XqKHMtqTjXyWz4wrSWuzKLjzyD
Lz8YJSdwSvREOdsXqFuzb1JBYOdGrQBqvyHRn4h624Nr/HLDMwqtAIRqQOpRZXm5dmsBsiabTCfi
Jo/VE4jNpPCNxHIe3Vop8VtoU630/30RN2sFqqVUo3lFXo6pZj2noci8CLekLabiFGgBD7ES2LKd
DnLtveUVVZZNRmurd287hEbXy9FKx6kR1HLtaGrdRAm8IbZe0yG1zICugPdxSPXsN7Q8C4tNANuN
vxEnuqDvpgovvAqEoE8h32nOY9Yr9Z0dj5MWjk2S5efRHfAZbtqqc8PEs5vuLSY3+kAovyTVh0SB
RvGEci4SKXD87O4EjsOQ9wvKNFMAMMCNxrXDS7TJcuMnGJJBP7g3L3cQFQYUrzjsyI1fvIJtPa4L
WlROJNsquxedkTyuyOeGt7/mlecBaceNGoVYAd5Mu/X1cAtsPIUrrG6m+v2wdPnXdvTqxjd0qRl+
PzjioSoFEtl619Z3qVu2n//1FwBLtzWkUcFiUHzfvQ99j7m8MeVWNMzlTNhlxonAz73IgDZPwNXD
eTbcdzOuPIO/IOUWhzR15yOH6D+CDC/fDvTrOUm0o6mFX0Au1D7Nuhh9v8iYnEoPwZ3Y1Ycpb7rh
0a0okQbgqr0yKEiRPo41fJM7pERKspfGSeVXoXrtFEplrqt7qG1lfFIxTG8f22xyjNOiTHZ/1kq3
PSJIX24SdgaNZ+qQWx94v3jF6igNW9ekaKGtpzTTymBOtCOboCtX9HamkH+i7sWx310zkzLYXpd6
VlThwRjInCaBjyYwSV9b6EcKRtuO230IA7U+bk3Kxhun4OWJz5rElIkKK0IhJw4Gb16+jOvkZL4L
wPWtSZDaBgNy569SQx4KXFxZTzTNHRozKtUSlvTl4IY6JkZuA7JvHcp2yWLngVyso8fhCo0ZYCfi
aTBnkX4A2v5yGNRReqdrBzfyqFk+wcxjektT9u96XUGdjrxkUSisqVJvydI5mlBfcrKCvFKMCcq/
mmg+iLL1O3QuUG1UXhPOap1ptY/Ugiz9zl2rlN53pxYnN8+6h0aC6w5KwGxPLb10UMj50H21RyKO
BEKeO4wIIOuteoKW5/10NYnuVuW0xmuvJMsn/dOVOkDJpzFOxlp5uT83k/fPNx6yG3RjsbYiTIT1
/3JVyrGM+Y+ZG7lDX5ywGjPuDWA4//5+oS9LD4Rbh+qpvgtyak+N7WQmu0hh6AezdHJsiSrvTdYu
R6/Xtd0EnQl5MfWP0seueDnqBa+oThCg6b0aUgO3QkGwHt2+QK+dzr9H2U2Igl6GOnLOsunpCmqn
Kc/JHI8fM4wHDoa6EiAShSKwsWGwiTx2Xyie0qLJE+FGg6pNr0HNxaXPC9IBP0uLV15Lsx7S/JF1
zJUoB/oSx3HDt2/qx/+Ps/PakdtY2/UVEWAOpyQ7akZhJHlsnRCWJTHnzKv/n9IGNtRsoolZtrFs
wMaqrmKFL7zhdl8ES6fKmFeZsDa75GhgcnmURy3yaChMhyaqlY+PF3Trs9HWwfCCbAJ8wGqWudxM
gz6O1iVlLd8v7TR7gM/sndBmay1FC46bldCNfXw7KycDMRQPSLNRgXT+Kbs2dFxkzzxtWtRr1Y7S
JQbOuqfovLFZhAuy4NkRlN49GDYlPqTCdfOSTeN0jCsJT785TFzVid4otE7oJoRtaMSR5MI9W2cT
3O7g9ArZQXcqKsg5U0P9T9Kk6T1dnuwZLmW+A87b6LQCkkMMGNA+LwdN39slncKaRUSD/EL1N3xG
acv6AVBSe6U+5XyZwD/6hTD2ROnB8VM1Nz/VSRlMx8e75z6iAvyDDQGaHyagifX7RaRTog1XhtfS
pLTu5xgbvVvQLEexBLWCvyLCOsej3pJGnqMWIUE6Fll7mvMbR0bo4AjDTR4xqAy3K4EhAqRqENiX
TpExu3NkXGpBgUrzr2IJuFIjMyp3bm+xX1fvNiUbFQUwAAUIgK32s24gJRpNjnSxnSW+TOA3PpZj
CEoknptzHGG/VjjR4g5kFKfHK75xXmG4C1Qm3Bft7rOPYW5UzkLx0rA66+NoFoPrFE62c15/X27r
CVqEQJxYoUi1frQTWKTh4tTSJTAmWTmbEtpUg5LLlpuOYAxcsNzyT1my0o8JDOnOpWocf5D1ZPlX
VRZj+ZJHaRK4JsFhRNZkLNP7EkHuHN9VB5HZSqlNxXOkoVNdOZRi5YjqvRV4jYJBnFf0oUOhM8fs
/jDAZH1qIVaiXNJnygi7KZM6Pulsj94wx2P6NGT0GdwB0LpxrsJQ+QKNwRnPCuhqehvhoL20Yxu8
otgTv3RNkal+Ghtle6CVEnWnGRLspwUlLDDi46jwPpK7A1Ofa312xzRoFRd/qemzmcLk91LE+CZ/
mnvlgzNJpo34WJ69DEWUm37Qm8WXgWgNDy+7ItLoAsmk/REDK/WaKW+AY9ad1fr54FS510l9abpd
qIQd8YkUv/DMDED7EV/p3aifano55VR8MkrMkHxlQsoNYZ9sUj9iWlYWQMa1Qvhb2/O1IBn9lRud
+qsPAXhXM2t8GMM+/4Y8Zeq4E+Xs1pNpXH+HaKx9afI4/05LM/inb8LmPzuL1fma9MnyFWKVUvg2
U20Q4ejtJ3i0sLgSS8qOWJGSeQbUh3QX6TCI9Bk0Rf1rLllmtPP2btzcIvoGgEXjWXDAb4/03Nut
pvS9BNE8fp0nFa/ApFHsg64X8c4DuDUUitLIZRCHEyWtIoq6dEZ+BoEKJsHTJ4RYyo9Fjv1qHFrh
4c1nV0AaVYo/kAPu3loafEmg2kQUHR2Tc9p38/s5GbSdGtPGdWgLKgSmOwJxtA7rzbLqi3K07Is+
KNLffMAaOy1HjqGpaDYpU4ljpP/2iYFDAfkDqkomeFl9rqQNExp8lAlmBDgkaxieMxXi6uNRtr4U
sR/rRnlQVLVuR7GjUalj8OKXsVUWPx3yydf78T/gZOnO9tu4ZAV+CaLkb0KuJp69PyqQuillphkx
HyuBVqVJceabVbDXD9+ez/8fRV/NR4IFWmQFQDSKnZmXooNxonEUex0E2PPjpduaEO8VZX8he4PG
we2E+qK20yFyqGMpvXFoKXf9aCUr+f7mUXh/eZcMwUy7q+L0pWVnUhM5l7Ad8oPWl/NRKcvi7acI
AqHMowSmjpBytWwJ2g95kIYO/gCxrZChjYFzzpNm7HYWbeP7kDFR6hLipUKL4nbROnkJ8rwVTtRV
339JxwSggKqho0YXvQ7dx2u3NRhOumj84vkC9nT1hdRgoPzSkdhAxgh8KPagcDHBdANdSXYuiI3g
xQEKrDm0Yogg17FqaBZELiq9mIzyh+S1SkF/PEjtRHPnUqo6AAGD/b2IqplH1Fw+PZ7oxvWEVjKf
jhRHeGesJhppaFnlC3X3eZxyV5oluwJkXelQbKv5C6om4c5n3JoupxkOLi0h/lwNiE+jpiSAMy6o
QaT/gftNCNjwRfZp92XvpQwMJowM+X07NCjlPZ7s1leFJkGDFMkpKv7rsdEpi3uRXQHvXa6dORiE
OkZjPQP/0NWd+3HjkEPvwgdeVPRQ11oN1nKBBItVWqDy8BBvNCd/b+dqtjPK/ZSQpKBrQgNDVGrX
yzlo/WLNbRvg8ISIOMiG1u3bqPwwWbtOIBucNYCHKJFhB2/hyb4eC4CpQpc6Ci5FTaHHJ0ufI1+U
jXCVWjT7KylFM3oYs5uj33Z5O3llHkDb1yu9CFVX14kPD9bUmnsw2/s9JX4YpWq4GHDW1gogMlpD
ZlvEIj5ZwvBI3TP9jtSofizbQKkQ3Gs73VPnsIndrKyN9PB4W20OL4BUdCa4bNdnaLJLrDdkJbjE
fW/kXkS7b0DoCPSnK4Vt+W4YZe0VXGQWH7oRjbOdC0RspNvkgE4F6A0kGJHmuJMIL5toLHDdCJAI
h/WjS47jF3I1HIrA0V7yMN1r1W3kujwo5NWYTAuS+jrdapq6prNaBhdZq2Jv0DvopEgdmKe51wqv
Vzr5YCgJfiCVPX5MorY79vpYvTxe9K2NT8IFgoSCKa544vj9ERTguTC0rdNIl2gaNW92JpizWVcc
1MIyds7Y/UkWDyglU+4MwWNfvTxW2pphOZbSRZ0wq9AT8mlLzbX/YRfRo0YxTVi43/XkraXrq6Kw
xaom81FWsvoE8Cs5TCkaUj0mKn6WjpofW8g5Pl7KrQ1Ef5fSGlhiYtXVUkY9xLxg0YMLCsCmV5ua
/hz2deHZslR8kOhA7L2uG7rZ+LrSWuPGAIN41+1N9VbHHq9zLgvwEJG35an6Da2wsH4xhsXMj0Xe
F69W12lf26HQM88yU8vyisCOSzdCZ/rXAHXvk1a2VHceL8bWLQceElC1ELUAyS1O+x8by0jtJZOb
CkhGZqT5cRjT9LNsJiqyrej0vY6zrFRHuOPFN1lyQt1FJL/4pMWW2vhjbyWLV0uVku5swfvKDhBU
whFOnSHqTKsf1aZCCqWxrEsSyy9znz+VCJKfYqc1rnOoZAfCgx+9rS5+mNXZ349X5L5ayDrwBzkM
ahF3cu5moUaamVMtDBXzuS9SP40aDyBS9j4rI2Bv6G6eH4+4cbZBB2Eqy7Np0w3Rbj9BGA6ppNW1
c3GCCAC4Iw+HKFPkH5Uyvx3dQGWXoJLnDH1jXpDbofpqhu9F//YSW7nqaVLT+1C+up3PtzkhmCai
34no1jrwSGONIJUSzAWYXngA1p+TYUA1/LyMGsnG21fPgObO/w2dQsLy2ykhQKXqwUQKHZqACsGe
Fj56OIZrqsFeDii23erpAYzNhcW7RwNzXa6WS1jrttQ7l9ww+vjcDVDI3GDCJMPFfmoqPdmMQaKr
gx1+lptU2jusGzcX4xNmkRPwtzXAh9qHTYjFPSLb0uLbEAMOi9bVfmkNmQdpbU/pWyzder58RaQK
adhCZ1nFdPBPVWUWyXzfGuMzyZCOvn681/PcmhXFFkhaBOQ8cKv3Zh4k+gAkJpcQX9f4aoRK+TmP
Na5hubKC/oDS0Nux7tzCNs1cJAk2kBVj2tmtGpLFWaP2U5Xb5qnKl+CZSly2R+3cOgsozcqMxtzu
zsIs5b0zskcvUyWPCL2ifNxQk/RkZI53qrMbQ9EdRL8bkIFQCF19LnkBAaPNpnaJLFD0h2Wk80HJ
zJB+VVGb5ofH527r5aA0C81KXFxIa6yGS2tlGRdkiy4gO+tfY66hBAbuWE7dJCNHPs1LWU4vWjMu
6O6HDeowgwN72k9TtaEK28JmPUxyJWc77/vGrsUHljyWg8IxWd9xqJ/UaR5C4c90qXld5PB1Mgrp
5fHsNwZxRFpH+oYy1V2nTI4CTakCtP6USg09hUrhRZpB9z8e5f5oiIIWUA1hNstf63cwqJVeF8DF
3i6rT5LZOzPuXbEJBGdJ/o3nUN+5TO9vOAYUaqoUUgy0L1ZnMUXm0moVxPbg8QWfOlPPj1PsVJ9L
cCPuMkfD33CNCs9JjHan6L85VfHgU8MDmr2+xlsl6LREHixA7tN8AjVW0UzSTE+FcEsnUnu7KgI6
7titIvPES0ib+vbZmFPHpMNfA8sNhulUToFybobRevPTDqRKFKNUpImJAdfvrYrKJjUi6wJ5GZ6X
rIVPRbN8d9ShfPv6IVlKoUjsejruq2dQt/ohVUcQmehnq+/V3gEW3bUo0DaSclzk2NipUt6HSXQa
IdIgmkfHGO3d2/VrrCGJTJhXQAiQQU/MuDlMKE14gxRMVynRZw/VnmHnPNzfcKRh5P0mrxHP8Lrj
BzDDUZe2oqfaOKYflxiFsKGqg9CC//r46N0fcFCLwBdEh80hT1lVYQH79Iw/BefJjKNPQzs2F7tS
xj2DrY0ZMQxPLHJrLOKaFTxrHQKXcPvOpa1LlScpSulDSZx6X1bTvRbA5mDUvYDQihO+VktGLBlX
6TwPzrNsZqe2r3BmMuvgHCn1HtL7d9/zJnZAs5K2PjEJxXLjjr6mYHtm52YTXaXZBpcZIc9hHeQ+
RQipmfXuvzmvxskv0WA3XbnJ0CLqja74t1icpDiEllGg5T9N9WthlPnPsaDodOyXfi6pNGTl94hx
4YrVYx14utFbmZcsNXjnSbMl64MW8s1UNwxxrnWzJdEthI7iPvPKokReN1eRRvOXPg0Dn8d0ftXq
oP45zmkCqhFgV498FIAObvYZUWPBaPU01Lj4l0sxFoeit7rBq8ag/mBICyWufAnxiW8XLX/lP0Ah
a2mK4deShM0ZXJGh+FHhKD0Yuz6D8CEv6cu02NBg3rhhxYILOx06s1Qa1zkTDMS8CPBCugZTG/q0
eopLoQJweDzK3RYCZMsJ5AyScYEkXF0zciQhUdBN0qUFE/ZVlyvNzxalfx8FvOmPh7o7gb+H+q0W
wUh3cGU7QgbCMEBnWE0bH7ShUd8tRb4HItgchXeAehJl/Ts04pL1vYm+B8W0MXNOSEhKhwL+2s5c
7l435FqQLxEinxAt7qre1eI0yWAbwYXmonoIrC7zFEmN/w6cPrnqzRTvuRxsfCeq3IjmCuAbD/rq
4aEV1poLbsXXIRV6ta1snQKweG4UDXtZ0d1LwEVCokwsCJdEu6unDHo1ZpPZ5Ff60GHiG2rf+oPS
4U1vx9CgfENPYfx1i/X58f64i1UY14HzjpyzRi1w3UmQjVKrqgzW1oKa+wEiGnKcmpx90AY6CoWS
tMeh7uUPRZaPO2Dwu8WlyUjtkRSQK/u+1j3luUSby8iuRccdZoQRdeFhyUANRN3Oi3dffWQsDjYN
ICrroExWH7I1KUGXyELATYPz5lox5eRKVaZjUphm6FIlr4+9WVpXFb1ABDSnujff1Y7Wv755tTEG
EnhRshjnLhesJCMOM1VKr07QN8+RlLaemcJpN9PgZ6rG7RfZjGYQxDAfHw98d0BZAGQZKY9QTriv
fKILo82VaadsL+w0cUbWn7sKl6vHo2x9UmhQNA4h7SJjJDb5H2WwgkJSIuNMeFXTqf2iyP14VMM5
eNKNaU+QY3NCfwy1CuoNqRqsKdDSazdVpu8o8NhR/A92bpyN0yGE4gSjm4wQEZvbCaF7ElVtV2TX
dBzzfwmnkXk0G/tUgSO+6IKFCxzKgAtZm33x9fFi3t12fLI/xxb//o/FVLV5aGA/pVc9zYuDVjjo
BtBIIZaXFTdmbXe2yL3UixiQqJDrDqVw9svtgGWNXQusg/Rqzz3mU6oaZpeEfuYrbmFpSaES8xW3
7aLGl+cADF5HZvxkhOXyDPEi3wMkbO0l9iFEMyCUyPmsfk2iL3x9WA3XZu4r1bUmO37mlm4qV9fG
/svb1xozKsGLwhucV+Z26hmOLpozLSkk7epbocXhMUqCEeR+E/uZMpXHx8Ntzg2vjd9iQSSDq83r
RFadLNKcXhXSwmuk662H7ZLkR6Fp7Oiube1gZHtAbCpgze6qXWpUB2OkDelVa7TKcUOqo59GqVzO
ctQDvB+tEHOoJjaDyUc/IX37HhYhMhJ9XAv3oAVqjfNkVHF6lePFPFK9/IkkaXiAItl/Sqxkr2ix
sa6wMoTcmMgX79ohyqjZc6Y32XVohu6jY/T6rzoc63+qgUr4znHZHAuZMS5Uql93TVTbWNKoN6vs
2pFrPxWBaVwUIH+X3pjfbPoMOVBY9uFJixzpXVe4CFAUobzB5Y0bz/tFGpejGeYgpqVaPT3emRvX
qihqC4VDbrz70kUxmjIU/vSaTUbycTJi+xzO4MQej7KxdpRfWTlqsEimrWtsCrB+E5mM5Nr2dfTP
3Ha112WYgQ59q+1MSN04ACA/eG5xZgHguj7aUlxDlyMfuo6UfSW0DSqrOZQjV8lxyrMBTBVCwFiQ
9cijuzQCze8BeRIWM40mf+uWfkx9RE3n9EAxG/1gOD+xF3WjiTeSNLSO22Qh/9wZGKy5+QhzHMNK
OzkQos5U5lTQYZ4TOdAjtDliw4dlrv2so2ZMjqBEWmTQOjsod56trfUltcf2AIiaAnrh9jobmgge
Sl4kV4Sfa2QSsvngFIv9IWrHj4+/5NbqwsKC04PiCdTR1U0m2cArsR6h4NziNGaRHZzsyUxPXW6U
Hvz93NPwX3HlVg8Oj0cWc7hJjaGxCqQaOSrQ7Ls6LeljE+RqSeA/JCgD0B5FfyMdTwn8aDcv5GFn
phsnA8gNlESdF+m+mxZGwRxJpRRde5N2TFkGy9+LNTk74fjWlyMep6dLUegeGZVTcl4Qz42vwTJI
l2RQxxdpbPqTRhX/fxjKZHP8Bp/TKFx/Ot2QjDCU4+sIrtav47A5JkgEgQ4e9komIu5bfyuRZxDw
4+t1xy6V5p4OqBrE10xPpPFkdhrGxhI9SM8pg/iITGb+aTAalD4e75Gt1RQyalDJCeDumvD1qFhL
mNiMGyW5j+La9E8eTO/7wKpf/oeReHVE4xFF2rvYCdBc3BhGfLUkgLswTXUP7q7uzUq5F2RvbXyx
BYXhBcD99eHuxt4GCjjH12iekY5H2uXfDC1cz3DC+cmqUT55PDVV2/h6VF8JjCAJsF1Wt0nRIflS
ZE56tVDS/FubC/W1ttL0k1wZ+atR5RFchRo56hhh1QHHnkD9VUrJ8tleokL2ZBw6Zo94J6t8a6iL
y+SUPQX4NsquY9jlAD0Sa/h3oNJV+Z1TT6abTgYy7I1aGpiBFXq3syvu+uLcHDADoadzoHX9N9vt
j8Cat4KWYzAl16K3hyvHIP9Rkfd+L62kwaJh0W18hxo8/mDN2l+1Ec3znUdp6y5BtxelULoD4nG/
vZ9bw57g01nJdVmM8lUzQ8Ur03DPgnfr1AG3AWn525NsXcxWg7QbQCYkV6mZC1dNYjigcf4VaYr6
7GBL6cGmVc+PN8vWiQMdDSQR9hPR0SqQXmhJtMizpNfBkr4nTq08V2kSndWs63c0preOAZV6ar40
c0VD+XYNl5ACBQFXepWQGPpmS8h60BbHeTIplvJphA24MzVxH64vMVDLlCsI2EUN6nbAyBkgxAgp
aytqqg8cidlzYqnzkUvUabKO3V9aK82HLGPvPl7U+w8pfHkpnwuwHhnKauRWa0ESldzUnTMC21Cq
0S01ezrYddB4U98Ll2Mj2qlR3k+XQcnjRSkU7c91A3CpiWCQVGD3BF1xViX9O2ppupctoepJUWZ8
aIPS8FVnKHfqQvdAn99gSwETJwIVqoG3C23PhtbECDwJeab0b2nQM8NFbnlZ4Ixo8YFGSngKkyaN
oZw40si9Yzh/BW1bvq+LeVThl8il6rWQSvau3vturfhpCESyMIDZ7vprYU0LjKSQfAY51L+seipC
12izOKCDMhQ/FbMoDTfVpORDO3fFdxqoBER6p2r/pDoEeRcKFCiOx7tDLMftvuQ32QCsqO4QDa0P
goI8kZT1BNNy3qMlNST60WzCN8soMHOiLKG9s4U4toqkl+CRJ1SucuM6SCnCyhW2Zqrb6w4m1Y/n
tLX5SOFE80hAFNe4bQSYYruXuKLTKJbe5ZkQJZOz6UAyKZ9yWZuP0GT0d7odlTth5f0FxjxJpqj7
Ylt+r7GMqW3f4gF6HUddPiOEHvhNzTMmKUX5P0ySOiCJMbgQSsyrG6zWWohXuYj1wii/RE1pxKDV
HEn3weAXkzvPgf1XjebTu2TRICA9XuL7+5PGI+GKIM2I7HE1egj2EpGyLL7W2tx6ONSln6zQityl
HJMT8i3Rzpv3W357vU91VBPEkd6QLUKVaI5RiYiu7aAlz7HajaU3lFXRuWMBncnveJwaPm5TtN5S
2lXlZoEV/mulTmsfLLufykuStnPzIodFrz0BHka0Mxrj8T2OIZ39OsSj1B2omSX582KpJbdiH+RY
SjS5IZ0bM52CU4d+HkZXwawIww569MepdlrtkA9oal01PYCPRami19ylG+rn0RwSiHEL6lsur17w
Lk+HMvJKezFfTX4W4JoI7XdUu0r9Gd/tCD0xfYEEG8Zd+ZJZcWL64yRp5cEp6zw+NEu2OK6VNdTM
Qt7FwZ2QFjROqDehLTiAQpeYdFyWXlW1DeTDfsbpF8u+4bshUbLzR2Oy5pPUDBmHPMaGxCtQZSo9
1ejgpvH+FKO/gFxO3XgaUhNlVGNQYSEEpn1U+xjkXVbJ+cT5jfSKBnM+9ce+W5r6TBynfc2LSsYa
PZWDyq+nQf4oNyOOnX1gDpG/dKOi7YTNG5uQtAB8rCgDIGUlXr4/QrGpEsqvFW9qWtWOm8td7s31
qL9P+N0/EEIZvjze9BsvKapOwGm4VUCErFlBuVIunVTHCZYovSp5uvOE4H+Uob0Uaj8G3I9f8sGu
dl7SrSsF8zFIcKI1DfD+dpJ9Zzs8z3V0nZMQ/0dkY7GIKftTPb4dM8gtbQBDRegfPvN9bgAtpY7N
LLqG+BcfuaUbL0yN4F1byjsrufHlMEcgCQFtIl6G1SNtLLOF198QX2WnMjS3b8zkhUzLPHWT3X03
alnaua+2njnq4TTh8Ji6b+Fgf4QlT13H1znH5tyVgrDODlgT4Y79eI9szUwoeYDZAwvCBG8/l2z2
Jr0SPb7it9R4Y6DXfq/UnUvZEQz3MO/hEbe2B/03oC0UuYktVttjCnQ1mmwwe5q8VCccg4EipkP7
0je7efjmUEh4kDpaohm8EnjAoiIe5CJKrqbcD+8wwIuvSqW1h3k23+w6xk4kCyDJAXRI40T8lD9O
djErWFYnE6tYFPpBalPdRQi4OUR6uhcsbM1KVLpgMWBrTJfmdqjONCdclVOxMybT9qRxSs5oXQYB
SWau7eyOjRsEBoNG5galVcgF3A4W68qc5UC7r6mGPKq2OHbv5ohnIn1pV6du7rP31DH2CKH3KSs9
w/8HzUUXF8L07ahVVuaUE4iH8kmPv9OWqg+prtTAy41pyQ90L5DZhJuErKWoxX8NwdfuBr9iHVcP
ONBL2KgY+4gLW7v9EZbc8O7wfl5BfFuUpIpaei85IwZpWKRkT1aHNNpLCNavcecBwCjN+bz6msty
TnwRl+OeN8HGQVUBxpCaiAIvTezb3zMpGBmZcRlf7QkDZqofi9skpeoaUZMezC5Yjo8vho0GmTDd
wsOXTUbtRV4tAJJJQB8sQqZITZAdhj+CZ/eC2xtapH5q1OnZtMrqqIdLeMCoLaHY3AfXxV723Is3
7kKg9RQ/UWMkhFv/EGUw5Di3eTaTLOvPVmDEn5xcD/6X+QrpAPyVuHiBE94ucEO7szWcLL0mdjcc
ZTt3jnod6V5lL8Y7VFWLiwWv0uvIg7zGqKn9tIoqNIub0+OV3zjhUD5+u/1BJyAVvv0hWaCXpTUa
yXWap9C3wJS6MLIWD7GavWrX5kc2QcAhpwKt5u42yds4QLZbi6841muDK5etbfijrDY/iBGrD0Np
J19LvCDORjQ/jYE6kOoVKiD9tr08nvXGVcOFZjFt7mqb/72dNZR5gpOlYtboG54JwbLhHd2t/qPZ
x/2JZLz5i6rDtHdzbwwLMdAQNTLwINShb4cNO7TESyqqF6WYzMAtsapF5QULxGMDF6Lw0IIq8Jer
bAQJ3jxhUNd0C0Vt7J5XUVm40w5d6lx0o7OOKsymizNa00nS4/Jd0gbasUIieGfQjbOE5AuEMMEJ
uK8GakvcWVHBoLFShkcwMtnBHKhxPJ7axg62EfkE60x4dl+JDtLGpk8IsTNRLETY6iT0G107tqMc
7ESbG/NBmoAytOBI6XeVaDwSIjMHoXepQF24k9aoH7sw2UOwbSBqIB8zG3ISKn13GXoL0anr1BDl
sbmbRm/sauklwdiKiGkMY8ld+srUn+UqaeIjIO+6Qvy4LcOnmsJOcnjz4vLpuKGAIguKwKroKM1m
YGGJAmiPZPFY5qX5dUyR5IysZdypOm7MG+4ssQa3LwXOO0txot6sKPAPu5iFtTwVTrDMvHOK8r1V
86X2EsWpu0NVLcHnGL3O1CuSdvjgdI324/Gct38I0aKQUtjoa6IzHaFUUgndnjLwUYSIvaYBuuBS
KAuQC2qVIyZms6eiDOLnkFBcFQn5n49/xf22ZjUQX6XaS7h8V0qf69KoqqGSENiq4JHxe9yJa8Wr
DTitj4fanDAbjRuCF/ie/wcyU48GrIAvKfUbbqSwhu0el1qAAjvoiXNkdPhulRGC89h6DKjg4bDb
XOvGVit/57fch0JC6JNQhvuZ3v865GQ4J+0MI6R31oJaRXjL/JxEUvY+D6vhvwR455nWk/4yZ818
QVQhXw6pBDEejfMoHHZW5j44vP0x6u2FXSkyyfMyh1e1kIuXCCBx6o7KbD3VSTV6iIPbB7R2Mtex
w49VW8w7F87mh6EaKiQQNWi167iwbiutH+YouiakaD71w7TzimbUvk/BTOiXpZXzfh7K4BjCR37B
7965shbSm0UlhIIXME1ZCNnqd9FZorMZQ7MPr6lhdefcMJF4XTLcbnZum/uwUzB7ESMHt0hrZf3t
y85yImkEItzqE67NVgIu0yj7I6Lt+DhQr/z0eLNtnTFIy7zINLx5lVexf4Qg26I7E7dbXkl+O1W4
ti8D4qIpukpvH0pwRwDPCOvSdcRR2ENY2CN3SmJIsRvS1PNDeym/tYWMGNL/MBaYTJCCGheIrt3u
Wisxirwo0vDawfbGYQJQpNGizCTPxl67bWsF0dgmgSIjpYkinsw/c9EUAMEUmdJlyOToU4TJwdfc
HIf3+BQ4fz+e1f3rS4cUKbPfeB00TlchcxtIwNvhtV9rfRgPehXgrZRm+U5kbm8NQ7mMqhKWu0Kv
8XZGWh4aZTDOKDjE/RQfrViXu+c5mpXwY2co/WvcpJni5dZC93mo6u7fOKQxcBpC7Ei8qHRKw+OB
mNFgcJzkSz5PbXIMB2rFbt3N8o+p4enEJRwHJK+0cLT2TMDW+qkhslh8FOGoXLboRf/CkwJAHm8R
mjeRFk+JVzYZHihdKyHxtVhGHHnI7dm/imYISA0MY/qIedwUuFSIsulDHZRsZ9meis4bkZcjZ0wa
yzqHtlzr3hBFZsGTigtnr5MBH7BFMBsf5PzkHMj508G1JyERKquL/TXBhSN/mlunu9D47+rDrCdG
7repop8zq8Bbs7aqKDkvqal9MzMdjmmATllwSKchX05WNkrtQenKvvpQyVVmPxHuz+cwnIrUlXSA
V5pUgomekZf9q7Eh510irWl+kN460UGSq/RZrbt6RIMsb2aE65OuP3SyhOFDEMQ96sB5WJduK7fh
ZxKmHPmvMFYbF6uaMXaLQkENWm4b6maxpJf/UvvHv/nx5tw4B6CBRNNUhiIG4vt21wQx7WA1QpMg
0cfsHe+6UEkLgXwsVJujnfN938IhFwYuY/FU41btiB/zx6ELmqbUwqKJrw664gf6CZOLhfoCz0Pu
DiaI9iLPYl+xor2B7/MXkDNUIEQtDcrY+mLBB7DXGsvG3UVO07+SoZFeR2VMbI8kq7tMecpb3FV4
hDxe3I1XGHaFQZEGITJZXzs/2VoU9HWqU+WNyvaDzaKc8bj5MMI2xllI/4+2pnRCqZNCfNnXOxf3
Rs+Uch7lZQFt4PJe3zuOsSh63vXxtTLgybhFOVSnOaIM5Paoep3bRocrp7UBntu1uuTfwBn1H3vN
IZk0ByTzJqXBnj7qx/PjVdnYclQqRKMJWg0Fx9UusHKIdHEjg5oqzejA00n+mPTo79EU29ndW98d
8jSXLlkAz8pqqHgpdXVJ4Eoh0G9ek2TpvczJf8IWLN0EGtqBnvFeZ35relzByAEAQ6D2uErRo2TO
s9EOeJudSj1ygSiXoNGkp0RS+p07f2sopFNIIoVsD/nx7XlKO+BnBFhsa4V2q0Hvxx8aZThOaTGf
Hn+0jQiHfJhOMuORh69XMhgdG3CKziOWzFj0lJkTPo19OXS03ZPuFBd5LO+cno0haUeKfiSqYPQU
Vu9miKhk0Zt2eI3SKjoktPy/0H8Kj05UN5TWJmnnwGxsFtHkpXlhQAS8K22ViTZSwZDCa+yoPNH9
9Bmz5/IbuGzTW7gmXWPEs2pnkpuDQrgkgRG4o3WgnAEHt0whOWrGde81g2p+kOaC5BkDeG8O7c6b
qqrZ4b5shAqkKdSqEQZAeX2ti2E2DmGdSUw3GWWCvRklScsLOBDWzuy2PqGIRohRyUmBwd1uUAXV
IrMzBQesXXKXhkbkaUlp+9LUzKcyzqTD4126OTEHSo9AEguC5O14QRrkiSVIdE2K/5hlFxjgpcbe
Rtk4doT5ANXpplEVWx87KR4WjMhs6ZK1hXoa577wyqWwvRavo7cfOzqE8HNMNiUp/eqEz9Ps9JnD
ULoals+jBOEj15y/8WWzD6UD1Pjx+m19rz+GW4tMJmCYTfrD5O6Rg/Z6ZCinWSs634gy9QA6ba9c
v7WSgNF4HA2K/2he3X6vDuOx2Qom5zLry+iqSl9eo3DSvX6Quh2s7tZQgJINFKPBcZAd3w41V9A4
lEZ3Lu2cirmU1VmvJlaxj4bD41X83ci67YqIoywAaPR37/HlbcPZwvURsn+hFmdzGtseUEEyQume
tedJDojrxrRx0kPmGMmPRu+b0R0pPQNU6mdOpK7N9nLuCk0YmZE8m5/l2Fm6L1Y76d1BT0KwnSrt
n9rPy0U2PiJPoZ7sIjVeEx3vR88Am/MuygrzM86IxmuX2MTuJsae2nuKclZw5Jkvf1SZlg9eMNjd
c0AuFH5HuwMdBHgfFTZnE8AyD52SKPYtMOyyO0qB7biVDkTedcBV2N/bZUCjKwIz/C3um252M2OU
9YvdFPLoBbE8/J1i09SfkGE3/qIexyNFhpIlvhZFZEKSEmJBbrUY7UmzlfzKKZ3TOXr8MTZiTsoQ
/CnyVyEvefvdF9OEQl8heRypqfkuQ/vXn5VJPogGEckHSbMESOQnym/lztnd2HEUXWEOoQmEGMH6
mmgVAii5VriMAqM8jvwX/v9xdl5NTiNrGP5FqlIOt5Jsjz0wwAxwgBvVkJRzaEm//jziCssqq9i9
2oKtbXerwxfekEUt9Z7JGJ/vT3Kr3rLACAhxF6FyMs3rWXaV1IEz06SzNFvmw0RuC0VMSifia3ag
lE2Sy+MlvCYy9Xd6ob326IL9c1EC9Vvw6bQndGgp6yZBrsV5bxRAEvOucnDSyTsvaKz5o9al885T
fXvPgxpfQgOaIaS666XNc73A0Y9WtaAx9EB0Kz1kad3/vr+qW6OgAogb89IZv6myGDMYngpXzstY
2cqbchI41iPvuof5Um5vXRzE4GQDPsEXEXL/6uONmJj24KxA69n9BwWIy2s6jLPpGcWYDR4Qa0ro
SAN378hmu09ZFM7oeECLjWfFfIW8Gv9IROMAVpajj1M7yg+LkOGn+4vxB71xfalRZqXlhIoIwe1N
fZNyTQb1XUSXYQ7bS0mtZnLlPsp/D5IdPpBWICygQg18M6EIT96bIxc+p+JQJZLlGwOekYPVm++G
yJzP93/a7UFbujWmDj1p6XEYq0cy6ud4ROY0vNBrGE6ZnjcPBhbMXmEq/yyTCaAS1gCQX5V8Gan+
609lSzZtsKyLLuh8y76c9ekpKergkGnpnv69vrH9gKNDnOcZAcu5bvAXhAUg4ohHQ0jfrwMlVITW
KTOmp0DrxSvuk13l4TgEvrk2gv4d8JdhcEH7dK8mZY3uDR4002nU20EHEka1xx9nR/2Od2RuvIts
yDJoEE7zeMT4taO0J5V16taD1n4Mszz+H4apInI12rwPkzommZ+EgbKUXsrxm2MAxvVlo+/fVwsW
29fgxFP/kZQ69/J8xBhACY3KgDwla68dPRjKvxkerlhs287vUZS46na1GZo0JKak9tRhtAOq0WX8
Ukdw+ncegY0dskAqybCpRtMSWv7+r8KDRMcrRc00uuR2PHjqOKPvCGz7w6iVe9CdZbOtjsnShEeP
kI4Dnhirzdg7maEFDunfXCTflF6LTrNkdJ6da42vIq//3oEN4ecw+9y46Cb//lG4TSfgA1JwoN2H
7QcNzOuJKiAO7D6jMNxoqeznjdP50JBrL3Sc4K0KLwRYY53s3MZbU8bBHdUa0npu/9WhCIWVp5Ke
kU7IiX1o6L+cOxM9Vw8d7+C5CIIJUEqQB6eoKqkr1H0DRPj+vG+9r9CBIOgC9bFgV+lTX0+8VCa1
jmTyqDkK6k+I8Gmdv+iOvlE6MmQXHchh8OOszwSu0DO4E2qV3aUw6vA5UZPxWS1G+WU0tC5yg2yk
RlKWKpNB46T4rqDyv6cSfnO4l98LrZIKCGXoGws6ZTaTsQPbebbg5H2Qmz7+hg+1vMP0/RPdXO1G
hlmaBAaHcIEmqdfLQoAlZbXp4EFrSzF+BVEoHOSLNNTYpgZb4QceGnsG/RpLIelmMEgPIf4G3YOq
dPZrHjta9EErQmnwYTYaXwzKnw2eTK2jPaRFSk2TT9xZByGjM/M4pJx8z4iMJvqgBGNqeMiKmICQ
SrUzTlIcS62HQWP6Woz6MIHGN7B2mrqsQAwmTYHcGlZf18dIM4IS5j6oexdLlvk33NQam+AgUPda
8FtfAVUuWqbwIuUbXJ9kJIoR1tTMkbKJzrSkp4sW1Hhv39+dN9cPX2HxwaMGZfCA/Ine/rp+hlYV
RtEXwbmmxfWjN7TobaVko+6aMWn4fxiMe2dRIZKJWtZoNGUICgkl4+CcJUOKQ/MM+knN8jeYDu0l
OjexNfOivwcrg/h6oRpc7645sPpACxBynmKSNmGW5SFPM/swyfPwpqXDc5KKtAY2bO41mW+uHEaG
+wJfnjN8i50YonzMJVs459rBzcmtptR4iOlog8qJak+yyelUk3aHlhvzAQGD8nz/i25tHIwlQNQC
q+XKWV03QpnB7PatczaKILoIYhovTdGbvT/K1vpi9gDAblGBIfK6Xt/WiKk7BRLgF6uxQjcoR8Ib
cvGvCWaZD5IkXsFitx50sn/GT7K+BLyLcg9PGTJa1yNLJT43iU0/wxCzdqrgPZ9GDGEwYquKf02T
FlYrSurUqeH3gPy+HqrVB1kUy34NING8KVS5eCzq3jo2FXHL/fXc+GpsVV5HmkrUTNcA5WlRM9Vi
Hipb1O3nWoMRA7dj2MGDbHw1ShmULmmaUvNfr51ZYr856lZ40QY7/R2qgzgVA2bkh6oRzrdZyTXu
NaOITnla7eHztma4eJqimY54D1TG68W0Usm2OwTDL1XZGydZ6zXhyzrmtP79lbxJWfhoixwAWoYU
TOkyXI/jdHNaoLBMlIMR8oF+28OcDwcn7sYHUvg9bMXGii6xBVzapXhzc89M2hQDiA4BWWpVDZvO
co5VP5mHHDe/T1qt1mfVzpsvHV6bO5vzJp5a/DyhsHP8uOZuqkZjWjp2JNOxykCh0RFZiBlZln7E
XFx7zObmd96owV51dmNxKc8aJBl0wW8VgabcxJHJyrILLo5VcECGV7Ldwi7D1rUEpJdD15Z5cuzi
pNQeglFph0sOWwaHnyEK/4feTgJRiPThR2s3quEOelxUB6Lj+TlTnd5ws7ZsO1cb2KYuoIvwpEij
qbmN0xg215ghvxtBGGSXZjC76tJGTdC5pdXZqhfLufrTzidsFyUnPg9V36huVTrxEzZk4RdzDsSX
IJTF7ziUgxK0ALY4btQ56g+sKbKvRR7G4cFsezl6Moyp/dalhv6Mlv38ZLFhQ3BKsgk8KZvrj/f3
6+Z35NxDiAFTfyOFWzuF0otMJW+LEiTC81npFBfZI2G4LfgckypubMfemNSNtnOJbzxVlHAZGAAe
8JB1WWRupdihJwQUxuqz7pQNaYjlUxvqxnOZts1bNrz4LmEt9w4FsV59U48BEuD3p39LUmQf/9lT
i3QZl9PqvYoVLeuFFoOHT9Iu/bDkKBHWT5gb4LnJteT2ozXPnhQo4fc2V0ZkPui1+BBnWlK52hpe
Zhhae/yN27IVPwtlFggq4EtQUVhdV1RGg7DtuCrLom2HAwO1lTfUFSagI3rtiuvkSmycFGWoOq+d
aiODWmnqCKDRq9/BLG19J7Imqj10XDDRXT15eo+3RCVInVRsk/1FEf6QVFPwlGXY0QS5abiOVBR+
PGLcm6Kv/+P+J1qmuorUuWOoq4BfR8FincAEoKGo4eThpdCb2rWlyXgTEFTvnIONSHSR5UB2mviQ
iHd1b082Ynl40jJKiCgfDjGtOzPKUdTz3tW5PRTZKFh0lnUdvNB8aq3AAcwzp6pz6PpR/6AlivBT
QNSH+2u3PdTSbV2MkHiRrl+jKuyJYpIQjFIuOj+OZd0HlDK7/dDvCehvblmEYBbkLk3lm+PciCyi
k97R/CmWenLYFwcp0IyPmlS0T2NcdudYLjLKdbN87EYFU1wtyD7fn+/mcSbPJpMAunQrsVIHQw5x
j0CmB9P3FUX4mBi4hoLeyhnyfAhE9/lpBHmA/V3K9fZ2UkQ5+2Woia8UsCTHVc1CS3Zuma1Llh2s
AT61EW9eI5DkNJ8tbpHwwts2fI+qYcT1LwvlT1bQtY8Z6N+zUIXYQ1n8kXJdHR3K+2QiC9KPJ3NV
f1ACZQCJKkGa7WqI9rXtdN9LLPxey3GSvxZqXz8Pk5UVz2oylIkb1HIvuxgjJ9PTnDUkpU7XWc+j
AYp/nso6cwFJSa+WxhXkFXOvfEQli8ZvXNTwGWRNSLoncch630aZj6qCVDXHAaTB20p3eFhrUbU0
z5CweEliKzMuGjbJLW5IDYCTaI7abyg9F9ljbmrZTyD+A5l/ZlUHvcTUE1e/mUZw5kQR/06v5DmZ
6vqnlECW8UosE/ESDIPI8JQ8SrRDWpRBy804la+trZSIwDlTbblWouXvSQ2l8gtUhfIRL61Wewnn
MT3keju3j3U7Jj9qKPu/4jASP+9vz43jePU9lqvur3S3CicbICK7UxjpqzrE1mFqrNor9HR++OeR
Fv2yxW+KJsBNgtRPJE6COOgy6fgDGUMoHgoxWH4Rj8ZO/3D50atN9kfhgQsGNCSqRdeTKtratkqp
iy8DULnHbg5Gzyyb0v/nCYF1IxdCBES3bnQOwCinJvxe2Hh10P9PD9L4CTx5fCyE2JNAv2W1LAAV
jim6XnTnSViuZ4SQrR3VBmoOtJXrV2gH87eJXuNn0GjqS1914p1oqvxVqYe4eojlSFC9FVpfHcAv
Bd/uz3vj6uDdZWVJ6x1+zmp1IwPS0FATn2AT1DzZyMu4ahrbR8TxrQMgBfWLY2TmzifdiLOX2vpC
mIKyQB/6egEaB0p9XSrRpQ6L4oBvIz6YetQ/hX3TeRJWqZ/+wyQXzfKFSsRrtZqkXBo9EiXQVZM4
psYk7CJ5CZUCgr1ALuIrRgnj7OpUofYIisv/eL13IdAQ+MFRWGjH1xPlLnSkCnl75IEAQrlaYc9e
Pkf28/353SLO2FHkKyQuOp3PGyfMKXGUzlKn6NJEQai5eCkNH2WaaA9pF+ixa1Vh9l6ibv2jLoLx
3A5VFrlmCxrlIHKB3lsnJ8qxnod650NvXEjsKjAULAHPwzpbDVVcJZseNHqnKumTkCxxEvQh3qRz
uic7vrHU4BkonHB6aFGuN3IWDfRhK4jdajTI36xG1Y7djGH0/ZXeOC6wWviUOpcF3eXVB03kGHS/
s6CxVB6cUZv9GJ3TSU4mL0hxp+2tMvbvD7mxhjhf8MxS8qPEvg7nxFgIvGgdIkcjy3zdDOWTqeBd
YKp5tHOrb5xLbMgQUFyUPpe+/fV2VZFrkGRYpZcK7dHHIbH7pzlOUIzKiPq7YyGVau/en90SIa5O
CEkhPV7CKTbu+oRUmJ8pocIJkbWseVsTeb+0lj09IvwhXyJAkI+G2doSYuiJtEce2FpZPiRQkeXo
QGW/nu6gzqYFfZgyYqXlJ92Kvw61VL5X6/rX/Ulu7U14uth4LijYG34+uBe5HZbjWZpq8g5nlVcZ
Z4adNGprEIJ+mtkLJ/hmawalLbSZQsRFaZPicWyDNjpEmt7sOWZvHQEeg8UrZOH5rjeJZChFHAGA
vPTd8FJThj4h828d9S6LG/DWcuXFDTb0O/tk61uRq8IqB2Nxa1lnFpEjTGNe+r968L6pRO7Zypgc
zXLaA+n9yVrWexL5C0p5qNVxsa6yGswttTZc1ETxOx8DtDraOnnXIM/xu9GN+CWbxChca+xC3deo
N1ouPYzufRXm7YtsztHXJBkCHV3roHptcVX5IYdh/1JkXTughWhUtSucytoLxm8/P53LRfwRuXLC
pLV2OEdIb6d8yi6VZrdu2QfKobaDPaGarVGWvhmyPIv18nppbKcn2LVCKmSiiP0EEc/DVKfV4f55
uf3YbGPYnZRTMXamDn99MNFuGaOuq7OLPJsZjEU5OzWNUp3TBmPK+0NtTYgaPxUAYiCuodW3hpCW
qK0QCIlJ2A5WWVsdGtgNOzJat2eGLjgVII6LQrF93Q3Mp67Pwy5BFqqLVPB2XT2D0UFT5V3QIWLv
qhWQpcOAO8eea8WfHOx6My9dcXhx9In+NMav19IkmYqsMM4vqlAhUuNaodreoPbN6FfjwjRIFBhN
CHcVYdmeqMeapivJo/yKrHb/qciAF/gi6XGf5jU1aTYNbf6jzjtFd6U6DGsXqskQvnHKOMInDEe9
X5Qhx3cGzD/Twz8S1JMTxc+1Ai4JuLvTAEdFdhVBv07JUHfvOts8WCE0AV9EoTqdaK6h5hZn85i/
N8DIZV4ztnrjNQpYa89u8LihkJrrsVdWsv551kqc5QdA96qblBMJoJ419qNdGPzx/b2ytS2Bg4JJ
Ima9VbnDQRDrKU3leSy6BLjLXB1UVNFg5aTOzmW+tWGohFEnWhR5zXWEXKFvKiQNxY5xkbNIWaPv
etpgiWYNzUtT14pnj+0/25bxCNKP5Y6lCoeE7Or5H2AnaHVKmIzJhvLQTniDyqWjuM2oSj7OV/XO
2bst/CFnR0KHyDdMxRtye9M2XVEYKOMqdmlkfpxG+o+kMQNl8U1OUwCY9BusySnEAbkW64ca1s4e
X/M2/qD+Duqc1x+S+010VScRXNBgkc6pkiLwhmAKP1KLzh7bSeRvzE6uz7raADlCrXyvK7a1n0g3
aXOw7Lfmew2eNZMqGLvIMsdbrKJcJxC6a8zZXsF365oDQUZ9iBr0gnm7vgVSqSbFydlPgTxja2QX
1UOJUtzOvX0bP6KJTTClEuqg4L7eQNkEgT+bTURJpNwrszw/QTqNXLkeJw/YxU4s/oevsrra8DVY
klamJKtrL7EwyVIJsmdyCdVe1SksheZDAkryox0VbXBYboPFy6LFot0eqOa4TZ1Kb4YcA5YmjjOv
kPq6fDCFJEwviGLnMZHDfAei88eBaP0jufQJ/VDs4+FcHaox5MaTxp63LMxm+zQDfwEJQ0dA8cNO
2PEbGHWhfKj7qn8XBqCMPWgnQ3mI+yr7uODcfjv4Bc2PphyXZ/gT3Qg/s9G/gVFLrIOJG3Hiy0Ns
49WcyVV5zqh/SRcH/8TBsxF2rbzAntPxkAdmiz4nscmeUsTG3kInAkF7FIYojK7vKpNKRjz1fAal
cLKPeq47rpbo1d4TuoAx1wtJexXBKaCamEutFnLW4mrB6klnx27G6RKXWay48O2tzrVTqWgeacsi
WtzHtaF8MKpSlzwtpX3htsbi+qviYJS7lTSJAH1/uXgJ0IMUbtsqpG1jL3eUdFu994U92KWrlgg3
HJ0eHycvQXAX6a5xst+Sj+D2NJmVPHu9nMY/0k7vaUXO5ve8n7VnA6yq5ioQIWJXbqM4OaTqaJuQ
8SWj9dsM99uD0tcm4nED7V2qLNb4uWy0HH6lmMKHsjQEgtmxIn+rqzj4lVeB+aSYU044CSv5Yywy
7TsEE9s8d4VTOY9BMWNFVVH4DI5TOg9fmznKJZdLvBz8LJQScQAbbDhvrJDqoFsKITW+U07OJyIs
KT3OuhKdpzSTf9pBYQm4lU33Pa8HxIxLbK5CDGCGIcOTRY6Vt7C6x89KA6vzaAfxosSSTNpeurtR
HSOLAaLFLCiy32jJTmZkz5XdOOemRSehpFbqJ3oTeiFaee8W4MST0yYlHbOueJtLXe939FA8y+rV
ndvsT2a93nGgnZaEahEnXt8vVOO0PBWTfc7jXNMPTjhESPElbd08zej2crLUKA4fU8dBpTHviA48
stQ0fmiTsTFcBFGFcwKmFUxHTRPJlza3avQJwg7JNIPSvP2GtsnU/5KVJu6gFZiUvXO2yye5R8f0
oUWzWRzaEKEnb5QGuXyu0EiujmWXiu95ZmVIK5CXl29te3bemvOiGwbMvHkPYTz5YleSQXCXYVjC
fza2/PIunyZPai2cQyRVa7/GUBjSY27JHc56E1h9d470XDyjJsaBmYKpKS7DBDVEtHGfe5w4KOGZ
MynvZG1ubddy2Gc7SJGNwIfkYoH2cMwJDJYn5q8S9gBsP5nH0jmrcu2cargWjtuRY/lCYQ/g0VP7
EZHuzqhbm45h4UXC56PBtG7PBeXibdZI9jmS1MlNTNAbIs1LP656ull9mYEjbQOvawlHZbUSj5Yi
mpPWTntaLhvxCM8z6Qi/ZaEUrB5qK5pyNJN7fgguvL6o0/kJP5TuQC/KeOp6GdCwlVtHw9grBG8E
IygoINcAbWzBsa5yLgvcgKNVy2aXneIYtInsJbWjH+Uh3LOB2ChX8lDRM6QSwqe+KVWMqNA1eiYA
R6Zj90GnngC82cauzm01GF6+CS/4QxIjNuxatUwnM9bGPv7YC2n+pqlNpdWuFmAMi7RnIBf/jDDD
IpEoZjGTJpNeFxIRtRI0hCPnbEtNdkjjHC3SUeQ7o2zt86Vzxv0GpP0G58Vf5PmE6NU5SRKJ5hbA
2Y84eDbL69E7l7FPLbTMDBQs9rb6RtS9mEDSawenLN8g6IzWFlZXR9I5DLJ2PGhN2BLd5g4CRRN/
pbvN1AEgD4xh+o7nyPiLu6h7Zt/QXC3SSbHcJtI652AqgYFUqaamqh9Y1fC/CaAZzTwrkY722NC/
T8hJn++nYMrmr1+yWcJtqMVr4ALlZKHAyJPO1cxNBY6UnraRZC0gASXX30xaqL3DJzs8gniWH8cg
hNVPXmx4WOfqTyJxMq+VBumdo43ScbZ7+SWcWvEAFkX6ounteIoQv9j51hthMYQFXjRyZ2Co6+y/
d2ardSIgx9wjuDjNeXQSlZ7/SvAW+xjnkrKzSBtHGR0o9N6X6sltuTFKa+w3O8bDaTb7kWHGWXvl
0DfvQx79PZPGzcEoiMPxRu7pRmS+CyLy+EXPYxr7xKcEFflIKaDsYMzG8f7H3wg0UVfialwQWiBt
V7WaMhVOKVXMi0by6Cmz2vsl+uT+/VG2vtaCcWZHMx2+2/ULxAwJp6KCHCEDelLV0H10SkQnOB4Z
7jO7+kVbC8hrRxUcO6GNeiqunU2VAMMcc7P3DSKrgzSoyBa3yCfen9rmUGgjL8AFeM9rMJIeBNaY
hcvU4ql7g4m3/CJSOz07WO/s7PnNoQDqUr4j2wQ+eL2KSoc8o9Wn8GerIX7bS86IkJzVfsuVaI/r
vDfU6oONYFCiMUw4XmoRHnHroLSG7fqnMIiVw78vIM8CCvwLlhVsw/WsFuFrgSxncE50OYhcSKWN
hyGkeBgtLpH7Y228EIuMGiYtrB/9s+Um/CsSkppOTcCUOOccjtqh1efkKcqHxLeM+VvdR7/0VhGn
+0NurOTfQ9qrGEAUs5ECg0BtEOYmfElTHV/KgVyS4LTdgxBszY9yAZiVP2jndchVLxAbeSqDc2Wb
xZNkB9ljWrf6Y2Gif2OIUPAIztZOXW1rhjhpITtEq+kWOM8fzl3bB/ZZKrHwMrFmItWb1WNoiD12
4cY9AjUPGKlDc+tWunHqu1hpO0LKEk61P1d66AutCzxsfmOPVN3c2Ztb4+HgRQkP/PhiG3a9XzBS
D/qhqJ1z2g/JMe7E/FO0xle969RLbA7OTj6+sZJkZ1R6FmI3L/Hyc/7anrESF1KG3xYY/Ch7w+NQ
enncFSe0Rcqdk7A5FODjP+8nD9pqW44lpqs5bIMLl694oxXG9ETVx3zf23CN7p+ADYCXYfNM00g2
OeLck9fTMsws1GYz4I0BM3gcp1zyqrHQ/RFcxklSrIlEBMZ8g5fvU6NV3edcpIWnKpX0GIZUvO//
nK2Z0/ZdJFDZSzftFq1m/BJRjPNs2ShD4xX8QEwnHUIqtTvg543jiFoEO2d59nj+VuUVTPoCYQ2j
dO6ycnpTIQ/5oMSSfGzmMDs0rfF+lMpkB3yy3MyrBHvR7VtkeoCfaGtNW7nNM7w7JzSQ2iI8OFOR
fqAX0eyU4DYX8a9RVjOrZDQoB7tHccxMYvJxlUYFbjixW8cD4KX7X2wrkwSfj004X4sYbL2B+iCb
dZwNpDM0D+t11irjjFS/7g8BDAFCUUd7X6P29NihvvBZQaTI8uJZA0pWB8nx/m/ZXF4KF3QrSDNu
cmmtIXlPNEKzapKxRjSt7OKETr9zZDaX14L1iJgE2i3rjFWSEytMcjRNWs0YL3YGiMaGIfvkOPl/
aNaxplACCJMW/f7V4RQgCpO6BkRrjxEQTNUpHrIhf7m/apsHwV7uUC5SwLqri63TEqexMbu4IB4U
upM1NQcDfV9fSqBzDmgYen0avd4fc2sN/1zcwHd4ntYQaMBJymgZTXjRp7ClNgjVHTWQ8ZIG+Kv/
h6EoaeEzsqhjrZORkuszw25EOiPHA/NwSnMva+X8HEhhu7P/ls+xPt6AOmyYaoCrb4DddNCaUq7J
1VC9yk5YI8lnS/TpUeD14ee9SL6SgBmfunD8DyVpwInosVJDRDt6HeiKEXlh4XCxBFHlnEo9T30r
7qedBsTW+SLBolxCOL30zq7fijSMFGHYHHWAx+ZZaST5nKpquvMGKFsbksRRJgjEngzW3/UwFoYH
eefowVlqjDl0C2xkQdF2w6S4Zp2J5iGwZu0XDTIaqc2sjJXftNgVn/JsNpa61TigCmi3neMj9Qyc
dtkbEUJSc/5TLuamPVDeVPdaQVs7mjLaUuZZHLbXWZSqztEIQVY6F4M8IbveZD+cQtUOpjUq/+HA
WkD36eLZoKTWlStlkhuBRiAFjTK3/QVG5cam3J+qrhiOaYrdWo5X0g7XbOujIOKkLG4KVOnt1VUE
stGJEBmJcOQSg1fC3HD1qBgOiB59MO0JugKUrP9wdJG4pdfyR7hnXZlyVHg0aoLYqaWE+ktaNrGn
a0XzAx3kr/cviY2TixIoRW95idBvdnaezErVLqJjUqGGIe0EvXnEiFl5UsCQIlFjhPmL2enVfAJa
upf4bBwrclMueCqRVHrWN5SVINyYonF6MUbAty5aLmA2k3zakznbHIcaGJWwBWeyBtbpZWBGdYtu
8NCkuLgNhrCOiOQE3/99LdknPMI0/xBYXd0SUV6p06wPFDEzo0ZsN+gPdEVjl35vcGmUpPOcEJpg
nGGsfX/krQlSWiSexXR6qQddXxwqzS6zDSizNn0+PNPQqqGbNHuP8lbEQz6MRC1ilhZncDXBoEhq
a6oXCc4oMaG1xHVr+5AVxtyVqmmxZBBFZR3yxMkDF2qKGKneRoJmyaz1Fpa/hVbtBLNbM1+ItGAY
QGveFLNLewyNpIR9n+vy9NRSfYARMO5F55szJ8Fb5Ny4BJj/9QIbmZjkCrLKGXaE8jBSmb7YxVj6
oQnFQ8PIHDxoHj6BvhldJ+qHs4ynpt8Lu96ptmz+kqX3jlAZEMMbmp0wMITj0NrnDCdzHleU+jJ4
4UZc+4U5oUzUhFX/TZbkenLRekrMQ6UURnPUgBrYbiqZItn7Sctnv3r9ebOI6qmSLHVaNsj14jRN
JyYnUINz0cM2dFUny8/ogwfO72lwSuWHgwJp7/KK2ecOEl/8IMGLRKsefwXp0BS6+l6kif1ZnQvj
t05JPvdHa+DhIrbes7RYSinrnwpqjpOCaChg1NVPdbjehtBq2C7mbNceqKUA37cqRhys4l023S6O
VcsznHlsHiozjORPStzq9r+eV1aM40NXZGHccpSuV6yIZV6PtKE8pzmTJ+DRv9eLrtp5uba+C9uE
u50OAJCE5eX+K3Hv0tRqYzOmYFvFsvANyYmexxAqmVdOZUMppEuqj/cvoo0hyQ+oTaD4sBgWLuv/
15BhhvhY2nbBWUtNu/EbCd5nmw+Tc7Cy2HmxcX34dH/Em/BjAU9ZlHPAvuGYslZ2apUAT8I2XK6+
/n2N2tqh0xCSHLM0f7g/0h/I42rzAF4m4TPQJFywNdeTM9IassgEL02MpvRWj5wMQKiVzrIXV+P4
nQ03K26LSQ3WdFWRT+c0UeLvAlHPwpeKqnnVAo2GVqfVzq/AVKfS1SVTeWukwnhfaLSe3FapE8Wb
FXmsXCmX5PbYDFJhXCa1Qk7VapFW/qW0cml5aihGxKGCKnQeKmNsnnsR97GrTmOAH1KqVp+MGGir
y+Mb5fT30Bg8DEM9gIAI+u47OtxCO6ijpH8clBkMQ1M5xXspkbQz3ZUOJTvQt87zIrTxWKBVpfj6
oJvlW3R96OMBcsJ+z+6TfPYDJcMQcNDr+QMI5Fry7MKBY9XkhdQ8xGlRFfxJrUS+pDY60WwRpicH
n/LsA5pwOL2o5TRnfmM7ACJlrbI6L+5VufcKAUymljtQhEVpoaofZfKnHpPRF1AvGANKkTS8jbO6
gtJMSwv90BHQU5k79oumobSHo99gPWmYBH22lba0cVQZrcCPS6vW6ayqGgaIczLOPizGsXbzZqDl
7aRl2Hgd6zK4czghsg2NIrJ9OzJt7qM8yHpf64ak97HJlDO3UGYH59GxzKBGqaEkuxbqDV+x0IxS
lJ9E8vn+FryJRQm06YZAqcF161Z7YGg6w0YU3jjLqAwfOkmNv2QNnX05H4LFv3k8TrG2J8j1p+p2
ve8X3By7HqIAGdBafGiBj0yG0ZhnuGAIxjR6rSt+rdORgX4+NDK1jib8lZFEtzPZhs0nUaNmyh5x
sk3bnSW4Pe/XP2YJCP66YUjn+TggeM9Kmod+AbbiUJq1ehhlO/D/ebUpHRPHkdfgPbBGKFhmzsES
qn6GzRl5+D7Kl94oo9xN0tk5zhyUt50m9vRINyZI3wHBBy6ZJRdcrti/JohlcwcGY9DOA9fmKTDl
2p/TCNNOEX65P7+NkQD10xLlH2a5LrLEHVFDnAzKucfUD9CIkTx3ciQ/1r0R7Qx18y7QG2IRgUQD
vKazt/yUvyclkEYa1NA5V6r0TL2juSii/ei0sUMYqYV7j8LWcDAI2AwLt+XGD0Ap9JJ0PnHOCKqZ
hznqdI9gQvGcJNA8PZ/3sNc3K8n0UCOh/kCWyLCrZ49YOzLAW9JOCaz8UzB0AcY7Uql8qYpZanbK
BDcxzDIY8idQpHmNSGiu11LvsWPJkOw5G2kcBw8FBjM0vQs1P9Qqwg/ePNVj6A65U4fcklH2ru3n
Yifs3lpg4j0gU8jV8/CufsOskjIqsWWdbfwM3oaTbmWnARuy+qAaWfFYcYXuRBa3GFCmTdBEhQku
KhILqzXWub1zHF+cc5TaZvtQK202+xri6gDMAR8jnxVHNjbdsUEw7vSF5ivdEPxsC6GeO6vH1T6y
0/BTFUcC44uqTVs3FVm3J4a63D9XlyU/E/gt2GrYcEh5r46vZM88PxKgthp/q49qOWa/rEH756LL
MoqJ5jxdawKSdQDpqNgYA1AEOlfU47cqn0zMdybMH0IRVZ/uXxNbM1r8gwHcoUt5c5hKzREBWkzO
uRui8UBM3D/GVazuXLZbR4hWFhJq3BMLDfh6VxPd5TkqduzqRKRe2s/5CeHdyg0cWNn3J7R1gJba
Mq4kFDzIBa6HMkU72xll/XOrFHLoWsagfal4tz/0fR78D554FHmUhRtCV6BZsWuip73HMNg6QDg4
UTCjxYyk3yoRUTKhZ10CCGvCOCoETWjWFi7B7ZCg8Iu62Fktw715b3xI+suc2gXjyFW8GnPKCtqU
gUoBMyZvL4q8foBCHp3vr+6fkuvqBJBhEadwOXEhrvXW9UaxJfDV9jnEebdq/XJuRXMgvkheqG7i
05WgcEj5rq1bBAQLM6oOsyKy5j3Ft0UnLjbK2mv7XDK+NVGrv++DFCQBjbMw9GRl7qYneAJm9BRY
UfmlK41Oepz7pEu9ybHCn4Ou58TYUjEfwzlyWk82kCzSA8lSKOcXaeIWLVIt50qUweeusJKfdp+m
L/I4aLYfyMZkP6h6nxmeaOrhm2xNmI+MuhA/RId6wE4euLHp/8/Zee1IimRh+ImQ8OYW0lRm2e5q
f4Oqu2fwELgg4On3o686jSo1q70ZaWcqEog4ccxvGCAh7MiYA87bxaafpO8VExhIz++6vaHTmK+l
pa3Az3r3/me5SB2B0UAx4ZaHBLUOPU43fV3OaedqJjrg5NoRLiEBwkRpvsEtdNk7ZkXJpM/x9v1F
/zQqz/aCwwQeTDyT41Wq63RVtH0L4RgDQXuYtB11eU05wND+taHfesxIJZOoRuz9UcnWeV76onrU
ULp8HtwiPzDKxlx0oE36I+iG5RYH9spxcHjrq9rVynI836dcXM6SC3oBpuY2v2LNWT7MiWr/n/e+
DrFQbl6B82fBJrd6b8haPwCHYC74EJpGE8VlancPHk6X4yHX+uZXmxdGf2NvXYlyf1iUqP+gkkbS
dfrqO7PsRAc/8YBjHRrgAVOBRQVQmN0cMnje6MdBlajGGIn6WNbpLbrNteVpcpBcssHti/229Mlc
ANUJSC6d8SCGIIu0vKzuym4Ux1IZ5QNSPOO2Z0q7E6Vj3hgFX1sepybQY/CcVybu6dPPhpuXRpuR
Afp+94UpuPXsWI3Oq/dQ8DD6etMaZR9SQE6R8vSbtnlX4jtUeK4zSGxXjJh53hmcPVgve7V1Dz3V
1y+5X+bGZhgX8wXarFZTIXbtP/kypWy8wvveOql9j9XHZOw1a7HU3YDC/Y84tklSajtLXpRCi/HG
NrkWgmjlQ1z5w+M5F9OduwKkmCR1rbOu/aHM3IO2l8/U4ZOV3OogXzly0M0MHbEiNEUubl4vUUrr
EsoAE7uzyPEG519X6eP396POlXdP/QTTC/FKmjXnxUaNbI+uaQ0XULG4d3Snjc/pPAw7PbY1PRra
/+wLzPB4bQ0zJUKl8yL7L6yhE39wxABE4n1v9LBBvGrsqv37z3UJWWEhtCUsE01btDnNs029mGAg
45zEpTYGtN9KY3ZRrUMB+YfmD1rzGiBx9bM3bZhYXATDm1lmtkY/1kaU2KszgT6ayG7JMVzZQCc/
yjw9aVmSeaZqWhrSYzfvmAnEH0wEILetHi83ErfLTsT6AoDVcpP5mFGed5pbq/Y6uKD+QdnxuJ9S
DHEyXNtDrwnEXUW0iXDgtEKOTBYNqaJJNdblLX2qqw/sMb/X164IF9vpA4u8XQpNANdruW4fUQCC
HtM18bFcSv/G5XFtKZc5IMBKyG8XaX49Lt3sVCDUG3tI/u0HyUSpV8MXz20+vb+3rpxMNi5YWNjR
a8Re4+lfBbrh0EnLMFU69E5vQyFLmo8Q2LwbULIrJ5M1KMkD9FYv28OLj6K905H1Lmm9fNHTIb+b
gmR6yXjVSVQEo/vz/ce6cg2s3rQQ2ZnZrHDA08ca8grpO70GmtfjXxd6U5v9KJWXq28pQHgvtFFh
fVu6cvyoypErSgYlPcn3f8O1XbuOjhBSsEiLL7yAjLz3+raevMOUWtMPRNvjfdcJpw99adWIZVEC
pEhDWvXCQKLr7jGPWI6zr023aKgXw14KjbW1xH28ypefFz7zEpuePerOAYw6pSKoutBwpmKbGylm
taIcPszjokVOHzc3ruPLsRVLk6itY6IV4XbetPDEUnpT0roH3xPesrUheu9aCymL0JSwIB+a2BZd
aGltBl3Vij+lgxd/ygNveZr7Ir51hK8kwwGlOeUzQQR01tlujymx0rKMnYNZdX2YxnyfcMIRc+Nm
brAzRCe2qJ0ub+9vhCtnDFlcNNQANDGo9c8yMgK6stK2cg/V6P5ol7a+x6QyvdGZuRIyVmQfm55O
1KVTA2VlqUNgcg5D1o3HSldASOp5nH8uRuz+Z1XA9asC1GL6AukhOI/HcZ7gy5zP9KPzqjnUKKDB
mG+XTdBP9o3py7WXt0orQM4jDvLVTk9yp1duXLrKOdDFwbajEsNu1p2bEJz1Cj0rWAKSVvhRXIur
mNPpMkqvrCmec+ew2Kottr4OEjPEbi7/GLfrBL9djPxhzJq8iOBfp0+jwPMmrNVUwpnRKwh37++Z
a58TxjyaSmv79MLrIPCavi+R3j6YEFXvJY2lJpwwZC42uvQhsb6/2rWXjBoKvhs4IV22FulV2mrx
e/egMd6LBmZJkURd6r/fahT4THqBupOHnJ8+Wxm+rBtWATEKS9Jypqiw23mHLcst0aFrrw+MK/fZ
apgDauj0cyIQKBxRs5SPb2lYBpM6BLkKNnHSGTe+1LV3x9YkggIJAii9/pS/btA067RFAG0+6J5W
HSXrYYGlxI13d+UyAYe2Nv+YD6wS1GfnIKBV4gfIjR30rAp+D2q24yhehmEKF3eeu8jAs+w3OZK7
DSCTl6GbNnWxsWzA2zeyscvLnF+yuj4BoORSP+9B9gkTcz8znIOHu86jLArQZ9PgJjIUtVc9mPNg
3qofri1JU2lFhhMLGMWevmO3nz1kj11OAxbGdxja5hjf48W7SxpVHZU13urmXu4f2gPws/mo6MZQ
xp8uSBNdVpafeQecJeUmr7pkRz/J2dYdVlPvn72rS9GQsECj0jw+ny5bCl2sqXBcgB0Q0ptKL9GU
1LklIWje4Easr+k0yPFUzHzIptEpgHx6+lRkYAyay9g9WKLztnqs5G4e5JuBxcC2AOQbeqkfRxXW
3kd9zm+7Ma1wpIv1qf8QjFsR+Od5iJ5bWoovjHdQTtCBgUi6V4QNjHtwUv3eaGG7LFbXoIYS1+aq
pZdOT0td38IqXHvhxLoVHcts6qJMlHgo546deAe9N6qdiesmILu5vDNM5vXvf9srfbDVdYqvu8Km
ycDOgsPSTL6XKVqvuPEh/NAz/v9V5ulM0eJrn8pVkEdzquC165R7UKpG8GBEl+lhKfXpvvOtdj9m
Mv8Iz0r9+/5Psz3z8muwvT2O0zrBom4+3Q127vPomIEd4iIJ5Bvpl7A/TE5pIKugWV67sxcXMqEX
M5x+wO51wEJv1mbgRcg3wZxIx84TIT4vev8xK7CJcj8IgVSveHAK2yleyPj7bAtsDBcJ2cHxCKVX
tP9icuQ3/8y1OyS7FsX+7GHQ6xxx7oDp7icnoyIIR4CB/tFsZAJcaNab5XtaBn0duT2C+6HmBHOO
CYWV5G+AftppI615tPaaZ1XG3eAbgxUF6CrYUdpNY/yvB3uxAnGgMiUjJtlJ/tjLqUvCPJaOArfv
OlxHdjO+lS4a5jusGjH3SZFzNaIEjv0c1f5YDRvyW2YSvdel83Oam4i5lFrQl2Hf5e1xnLMpDjPM
KhXg1LjuQ1dZ5gt6EExQur5d8iNIVaOK0GjqyT1Fq/kgjZT82TmNdKPMTMd0o7cj/2WXxemLZzbt
eCyy1ogxjml1cwsvBUO/Pgmm/ksxWpXpbjya43AQps5IdrUN9G4rLBz/0H/J5iQPMVdbyq/AM3zx
oPLMqO+n3JmbXVdSEvycmkrpUa9sV0a1Mm0kSeqxsENgp1P3QS+FhhzRssw/utaBIIMFaPk6zOBw
fxpW1TwlTWHpm7Hxamc6oHxroMQxIl5oP5ZzO+pRa1vqYTXNBU0hB+cn+g1O/GK4Pd3uqhbtV8dt
ZbExGwfwmIFslhtWQjP1sHBiU21MUesSpeXY/NIIN/3HsMaAjMtU6qFqkZffu4LtgyBHXL0x4vDa
kG59kYZST41vc2xq/TMuvgpxI6MerAfmPNaTI91liqzFzn+PjpuIL2lSlvOefvP0MPiiqV4WroR0
myWOmYeYvMx9ODiuOlZ49MS7aWnkF4/bPtjMpjZ9hB/t3Ot6oX0JZv4X2cs8cwfD9I7GOY2/N5R1
Tqh3MejPaZgXLYfDXHtIwmdeukT4jzYYAWVxEtm2sF46mhzyHoeCIQn1mWcMrWq05khYLajwlPjy
2Zvq4W3o/dHcBFXO5EIHrzPeF3FXWftCy6zxLpNj/Q/EdDFt6qEuflbBWLRhETgwzwXl6G4Z3Owt
c4bhR+UZmhO6eukXbPQp+Jz1qQ7mnK70GCZyVB80oZEL5rnI+jBAY7UK0TbJjJ2N41ew05jHbAKN
Mnyj4pgZayo9gxovq+rDkNMJvissBE74kXb2mHdz/HuYfKPdGIZQn0dkotNNwIzkBTZWVcuN2ynL
+6CMGLEUK4tHZ8d0HR/LzhbpQHU2GvpXq28zrkooz819F+CbqUWdO0DasqS7AvtSB6RVLVY8Ymd7
1NdTnwYx8iyTQ+Y3Wpb20bNF5d3Tbxs+VwNzvjcklVHamGENpo9GlxvuF5XPxR3JKnJkWZP2WLi1
pZqGe1XAu372zCzrHnNHeE2UZEOAgCVWWNtEC+ZHEejqJ0BNemC+7eUSU7fW/iDSYtBfFg9BF0Jh
gn56P5f2L3QWZRFhZB6oI5p+ttwziOwfFI0ANyz1GkBNA2WuCDPp6cNLliuQlLFs202Afhd2WpYh
QZ51ef11yhCE2U32uEx7mdCbexlFXz5pTQxUQMaikNuRjlLCpqtmZ5vaGWIjTW1gSDfzxlqksV/7
tmimL0YKw2mbEF6el3FAq6FqNP2HK/z22dLywQ6tvteNQzs1A3bntKXm0Cn8xQt9pL5fPGVnNkaw
UIMfDLGkyQesnYdvS6dxPqzE7x47l729S7kPAIt2hR/pLgauUWDKFg0pq1TupnY4SF/RKCnmXbIq
Nd43i5Eh2JGgAv811frB2NtG3r2m41x7O76tHzxx2c9j5KaufBZxkygMiuQ0PYrZA4rWm5U3bKys
W4ow4XD4YZnNfRXarZ6WkdeUst2VhemiKgCadr3ijLHcWmZefSAhMZqdU5ldHmWJBP0lC9P5Ndpq
MEJcJcpV+tc2Qhp5bN65AoLmzWXzUYF8+WloY/aP53XWS1n5ho7PdZ3/zvpu+q0XnptvhEx6L8Qh
Y9E30zjbr3TKc5CpmCDhnsr++8qF3FebYGzm74HRxq/SVf19o+r5X3RkFFPjch4/S+pu4kSthiFE
zrX9OpkLJidaqS3drqyM+rNn9eK7iI3slV4yCqJZUYptOw1GxluR/g+noGcc8nezYlM3VfOv6zMX
QEwslc3BGOsmhbSU6s+NrxXtoZ6n7AkNE2S1CqwG43CQgZtGCCWnn0s6ih5FCbs6ynWvEocB+Ge+
Ye7tzg9D4zpfUyBBMUqZo6eHaSfUv6hkAbEubJR2/dwbHjuoC6ikdY4OxwX5qQe7rEURYneaNl+t
eeg2seyJZ06BF0CYDUPPJwMe+KFi3sKUE8IRjht1nv1aRLzYW4qKLNnZg93/kEljiK9K+dUXZouT
hkdtgwpR7aRE2mXCUfMwziI9+EmKVRqqhcGPSc7il+2Mtr0lFFX691mq1tnFXWx0O5I53d4Oraif
TK/qvqPQWnHJT+YAJ74zv9FPGJbIsfoRULykfgkbk7+3F82cuRvE4oG9hAMijP7Ry5fRwjS4l12I
FGCWcfcEpR3in1t/mJZEObS+q3KM4l7H0wkq0TeXYq9AM3CKPyF5zTDPn9u+eyGFNLlfykxgqBHk
QbOZNW35VXtSd1AOdcZk0wFRoHb00EQ/qsH0oZ376WxslVYqfW9Kp7vrkZx2NpBCZfpQmt7ysZNN
a+9NvCBxzNIX9aUrwVNG42B6Y5T6QYGHSNFScBcd0FygSE6R78kXxJNqx2W+cwaP67dI4gVKWMpT
BuBqP1ZNNhk4bU1xjiy/VWlpBFV1cX/XA0JMX99Pey9boWBN1v4YTEaPtuxZ0ovCQ2XYaWEcKq+y
DwWUv2kz6EWnhxawei9EJCe5760+f8hHz2hvFGBXSo+VcgyHhma4dzH3d4ASltxoBnoMwZqkJdkL
CuyIlrn5LYOzK0sBXqTX61k0zehtnWb3BOSq1AZicdyTCSTkUZEXx/0d0i/19v13etkBoYyyOdzI
ZdNdPq9gG0tPmnRqnUMNQXQbG5SxyVQlH95f5UoPgN41WkJoOMJCOZ/sNkM16mMzOQcwxNoS6s4o
vihi0qsVT93OjfXk1/sLXnuDqwTuOsmGqHRerUobmdipDABkklduDTmYD1PtrR5KhXWjpXJlV8Il
BqSDNjdzrnO4hJI4SJvwDQg9jdFuFzfztzEOOfXdEGv9HoMsv8SSa6q5G4WRDjeWv3y163hi3ZF0
BiyaWKd7pSr6VRu2ARCK4jH6Gll8b5Zga+0AoyKoVfONni7l75XaE+4m3UBjHTqd9+cq0vxFQi5E
MiTV3oRy4zjUBb8idJfOQhC2Q3wvgt4nZeRWvr6ERd/3D4hR6+CysGyotnOCH/tBBUFa8Ltz/81E
ELuD951aeWgnumw3nc6dylVhNUjutXrwhprHkkWgTxpnU3oFxLfONoevdiI19XWqW6idwq6db1Iv
bAKVlhUAmxfh3vdNTNKmV2h07Gytwmp16Qbk1FoZxxnFgMg0hACDIT7yV+LlXthrpCezN7pNKpjM
4C3ST/5zDO5k/ti3nr9qwFTC36u2TF86oc/2j86wFF5hpelodySURhKhcYjjJzZfQ59sShFoVajj
XBzv3aSbKI5io/+IGVBToF6Ip1P5lFfGqO6AWpgIzWW1YszSVpob6foQjxs7sxAI9nNdM/a0kVWx
kVriuLssUEa9IQmqxy+5dJHMbJVHyp2YZi6epGtk7hE2Q5t/9hxKfNjfbZHdY2jfiq0nbFRkUw20
FhJm0D8+25Twz4sCYx/l7mCNkRhzDLASqwD06/bgG+j5zPqLqnxZPgLndl4XJ0DwLw2wM99itGZU
WyNIGrFRrswBlTMcsO+EbJY3pRbjSzxVHVdxJUTygGBDX0N4YqIS2lVT9XD+q6zbg+NrX8ZghW5l
C+wA8iRTrf+isrqt6Wkz5t80u1NE8LTFZwqYCG07yFWmz7PlRK9idPI+qkXQf9Asv+Jm4B4bdtrQ
8g6iopmtT7VwS5zVqsBF0nEoxrJ9quKs7f7Nl67+ipynS/ng2LN/nxl+8uBWbooyZS6KMQK5Ex9b
WInZNqg139rhLtT0D9Vk9s7drKExDkfEqL4ENR6z0DhMh3MACOCrnEb3KIQyg30/G/l9SaCdj0Pp
dBDKM9SU91OF3vNmcP3y25hhB43zm7TTsFSF9To6IvhOmZO/qqA17xMGkVo0pk5VPggflGzYNbUW
3JWUeo+lPSOKOxWLl9+VS4A2Xl8wKNgNZU7iUAFGbjYG3qsi5KjqUzi0pv9UpDkHp6zrtA97vD9E
5MqqebPtReO/acvgl51U6cS5QS5lS7KlM49MEugpg5UaCzIbbe5sMIKXH0cdV5sHvYQsi9XRHH+1
q2qpIoB62TdyRK+M3NJZPgW0xf+VS6sv2zYp1adiUWJEx0PpwzbWrPVv5iordkUn3Y/JMqyMDd0b
aAQhTPwkZNk2DD4d6zclwKI9zlMwvk71uBLX6kDTtyh6tgU0ntnz9rE/ZrR7KqwLdg1YjX+00hUz
DBeAgqG0KmsVYnTmj+6stXWU0mM0QytbxuoQiLrbZ30VBNFgpEsT6XOQ6BEpfIWSfwZQLZoC9F9D
Si4c6ZdgtJow1ax4m+FkGYS65rbFjorOorrzgT8sWF/vrCkdmW5gCHw/mnLMIwYPcDLNQTDS9pph
+iSzzl/V6M3+U941nrkBVoC2ouFQfTF5KsdwUWX7LcEzz9zj2Kw2cS6FHbZMcdJoQDgOSXYExrcV
2oljVMygmw7KTLwsxA03f6HmdvFYGtPuxhVxmVOgVYgPJp1qoFzcEqdXUmlMui5p8R0glmMkWMT9
xpRJcKs/u/6Z0440ywDY4tKj985k6nQZw6spStrcPoCMHfNwcvr+OajzGp+DYqr/YapeP8997eyL
VDPwzHNz4a7m4iY0Xyv//n7CcZkFAJ5F6lhH2IDU9PyZEfGtco8eyCFgTPYQxNSnmmmOR/p+3gda
fHm0lMEY+ogd7N9f+VoCAGTuD+LkymRuKNve9PreOvSd6X9QozKoMeZqZ49+/TQZsXZjZnb1SU3I
38C0oPCep1Z26k9IsLXWYU31wiYYmo3fWtmujJsfcVC53yiRKnqVndy9/6CXOR3iXSR0K9Acqs35
FE3LJaRERBgOqABh1JM740aZhU9XS59vLHWZ4rAU7StkbuFtIA54urVobRR57iTWAbjDsimrPnkc
CGbPCdoYu8Ji5Cld7xZh+cqxAUm6Zqv09YHsry/+r2GkdOe+GZdcPwx22x6CMf7lzHpyI9+/slug
ofD6VisSNEzPpnFCpg1y0KV+UMbgYrg5TtVPFLKGxyFegnbb+5lzg9F65bOxW1YlDtC00KPO3mXm
jr0TINuEkDERVEc086icOtuNmn9LzvtyRmZa8JUgLJEH0+w9WypHKUPiJmUctKBZtkvnmj+BR8V7
OG32sUPDKaK+67alhV6uicXrjYh05d1CtHd9UmMg21h9nH7ALC2Q/WVcc8DWeNx2Eghv4eYxaemS
R+Nk/x8HAlzKmoazJDPd9c3/tWEqXGKTatCXg8QbKBJL0ewZ7sqD48jyBgjsUhQW8ACbc4Xe8IIJ
66drdQ6WIs7o6ocqbjjZuub1b72EJRoaOPj9CkrF0ya5VYswzwMtjyj51ABTtDOexqEtoDp6umzC
TgX1fy4u+WlUlSi9rCP289dgt0PvjuReB+R/nI+dZc0/DanyYjP5wv4lDBonN2qu9UOe3TxEenBR
DkF/RQqfvoy2hOXnegWkDNAWB6kjZD8vCN76jhiP9mL70Qht9T9GP8D4FOhQG8EmM9w+iw6Qtytw
hUV8KOas3HX4ajxYuTJ2q93PDTjSRSBal1q9UKhmUd4451BWSxPLYMqgZ3t6unUA3241gDU3Huji
tLCKt3LAEQAiLpxr0Ki5jhkItBq9QzxPUkjBd1I3Ckw7ungjlvzXf39/eNXw6kCiApNZH/qvwxIg
f9eUjYeqsavsSGfwcCdqmDumLMobEe9ie6xPBlNp/VakQeeBHEVBUrAk0Q7anIEtpiGlhbbbiQfZ
Lw6DnCU1LAZl6fLl/Ue8um6AjgnQo5WKerZFYLnGA9QNxM1A8ew7WphH35uT+zj3Dea3Fs3C/iar
7Q9e7OQw8LRcyUh5wFJCIO1s1VRgSG9gQ36MGSDb20w0vh1laUBKNvs1AmrwAsfj6CfUx7lFrBgh
s/zyvRZbG8yTY6R5qNi1jdt0NCsGzBWLcATJ10Rt183j1k/L6cO8BBpuEV2hptAAPJJDFxT5m+VY
Ci18aotsB6uo/xYLfKRpQbrdd33AK/KlD6Q80LiOjTt4I74XSURHkhvxYH3E81cAa4AOGnMCctF1
Wv/X3vK0VGStEGTXWtowQlZe8dDOIthReJsirNK+OaQw7H8qR2T79z/6tcMKXNYnLyIb45o9Xbt0
sH2vGS4ckB3JtmNrDfsqo6/x/irXDuvKeQKeT1ON++Z0laZCEV+fEKvR2ry8c/ROx1kK+lMsnDFM
G6u40Wy9hEyxq/5e8GxXdSItR6wC40PvNS6KuH0VWc2SPCcKSx/+KQjtWUs3VKuIl8RGg4IY2sb/
x0N7nGRj7cWCvDl9aJF6op1xkiVkiPZZaUG3y5bEjLTWgkUfNLe0zS8yJQyhgfGBcYVMCefi7I7V
QA3J1HLig15LxqHShmqHj+AWEOUtzORlqDhZyjx7tCbHEiTIUS0Tvlf/XCpa+8E8+hFq29ZT3wZk
Svhs3diqF+kZzwcMDDwdqGKC8Nk3ZULZoUfON1W5yfuMKXR1bCO2fhaXMizdvvlQJOh1BtCrNsyO
lhvf89r7JfpbxlougmNcj9Jfx7ToHX9R1LtHy6rS51Qt9YM/tgKGF3ZU8Y0dfHUxFM/ASpI6XVwC
PWM9U1vq9Einsnyy4n4AoBmrl7IZ8hv39bWlkAQAErVWwcT/0+dSNlzunJnTUbmB2NBOFdCoA3Pb
F3Z5I9JdW8pmAuP8EbTA2+d0Kb2rhZ4MeFlnc6bdz4ZW/u4tOWy82bpFHr8MOajSOAbqfbB0cH9b
//+/vlYJmXTm2sEUTacn1HNbONaU7Ip4KkAe+Mv2/cP+p0I/DeKshySohSIiFdK5EljX53OWTG52
pPD1P8mujkO1xPiH0TLeynFEuaV3rd2YJ/Mmobv8IMSI9UdhWDeECy9vE3oIeAVSMSFNcNHRd0uw
wkLyQ2Lg7S9B4zB8d1GTs2i5RbZCwSNraSa3tXRuZNLGBayME/r30mefV6uL0pHjXBzbRdcRBhl7
MThbINvF44LsUhsKevAyZHCF5XdldNZxhDEmjmMZ67uei3ng7bUg3258mwvwIb8LCS/o3w4h5EKr
Uo3ITkugTUeznlNY0L27H7Ql2+VSIdBWleLekn2+GaT0+Whdus+b6VbSf23rcxcgpsKs51JPsreN
3tTYI8dicLworjv9uzGOAyOO3LrxHa5tfQYoEE+4As0LEwipJzTCkYE8FmL5GlRJrUe+mSBI1Avv
tUb770YAuXLboogIOBeCD/uNjtrpWbNSW7YkjukxzsdyZ6YGmpTZXFnhCAFh01gxY/iOuNWAXHl2
WlRWZRp0NxpL156aTAZ0K0JpBmSL0x/RF55f9wn+tvSR/R96N7jPcoZTDRuov7fJ4G7RKK8uyPuF
UIKjB1L4pwt6Rp7HJYN2HO7YWg7o3Y+zllf33qSlH0rYbDe28bVLl0LHRe+XAuvCO6mh4WsJP8+O
1dgghT9NKpK1Yh5Vj/mMGJ2MN11uWx/fPzxXnxIiOeeawTX76fQp04TMP5dJduwCqb4r4FhhraX5
0+TQmzaT7Jau7LVbnoEooQuXYogCZzHEbDtAcLWfHr3WXcISuY69Ucnvswu/JYgrhnI0SqIZfbuQ
0cDv9x/22k6muWV4iEQQKi78YRzZAB0OmrUa0ashXOdRameAv+cOGdxlV0ljPJqd6e0SWUyPcFes
j7VcUu/w/g9Zn/LsNqEvwHyDyTDXyvnt5baOSks1JseSAX9Y+m76KibtFij86ipUmYzUUZfxz4ta
GvioYqDddJyz1voNeuFzWyv76/uP8icvO38WullEvT9t9nMJSWtyHaCtaNLptbYA9wxWg+tsyUDJ
6ELgRbXSc3U/9b5xcqFuqlmBIKklflBhCdYV1G8aL104B2zG0KjFiHiGq5p6U6StM2zGWmLXoJqi
0G5d6taVz2CB4iaImiQF56lRSZ4dZJVBKe7aYJq0KV0ecpX2/h7lNVu/y+nDQsp1zeFbUunSAUij
9HsjLsRbMozxg4s0VrUhF2jUjUzqyrFElRg6NcRgKKnn6cYE566sHQ0bGC2ZdqodrF2K+91vs2z0
D6pehhvR9dpWIXOB8rFO7jF1OA0DbBVPkxkHw8RJ/sgI067DEdfrl/c3yx+8wflm4Y6kFYDWL7fJ
WbjxNcoydCuTI/yr0g8n00rfUvDcn/vFbNkJ6LEZEWaiyZsJSEc9aqCG7uyx7mS0ABHon6y5Kbyt
ycBwijBkVt9TD+AvcGgT0LXnlH4X+pqcv3VW5f3sZD7oe0Nx4jeun7dVGC9V9dr4MZBukG2zP9xN
DNODbTM2PeaMGEf74aJjx72bFAN6MDU+ghWz3TT3+PEESThJo3itZ2hBj3qajwLh1DHp9qYpph9I
EvXFv0OKo3zYI6DmbXtBirQ1R7NNXm+8yStbl/zXtMlI6cKdp9qeST93mQc8tXVgXnobuE9T39d3
769y5U6COEbAJFrRHDuPUzLIGtP3UUoWqEvcw4lv79066yFGF9UTfsGfgyY2vr2/5pVMirKIWgUe
iY6u2NlWHKQA0tmw9ec8EJGq7OrQotoOwWvJbgSAa6eMvY5IyR8i3nno4tLPS0bDSPa0zS8R+JJv
Wsyvmb0Ez3ES1ON/P9VQpOkZrBcgii1nJe4c+wnkwwpR/9iasTzuEPnftSXigmGiWZ2KMEjW88/v
v88rD8mlhi3wyk+lt3f2Pg2ExNt5RDVkyDRju0zmTxDqwDWAQu4rSLw3IsmVz4f4NFoQMC4JrOe6
uq2X9ViKoig8dlBkQpWs0Zt/mzl4k1n5jS94JW5hv0TnlnvyT254GrcS2xKJ3q6ODU07oHezMpAI
Kjeq9SuvEIUCnKtAwtGZuEiAbWzThYsgeqcje7xrTboTr+4UpJiWBd3SbEXXJO7m/e925UX+8fSg
1qRdC3zr9NHmXDq9ZiKN3k52u/Hlou0KAWamoNi98RavLAWdHTI940xM6M9V2Mt+zoFWGVhMtLLZ
eZSvj1JYqIy25c3AZV75ZGuaS/GC4CXJ9dkhQEcT0aLFKo9elQVImCI3GkTuojsyZDTVMYSnjPzV
jV72IwOPAZKbeU2BsWpp/8PgtX0k4gp04jrdrreiMEu+e5L6O9A4xhd9JLEGbrQSOYJmxNVTm4ae
iY+p/7b8BMB93uTTqw8gN7ux8a89F0kWChHg7WBsnNULtoInlCitOIos6DYu52sT+424EZGvreIz
50EijuYHReDprrC5iRyFEM/RsZfyTkw+YGBrvtULu7YKNHAG3CSopB/rvfBXd2VOjCTzLVnCjhHD
Q4aTatQ3g7qx7W6tcrYTxpZlgEWVx8xB/N9Sbroz3Va/scq1zb2GIzQ/cbYGznr6LBjqIX+LHeQR
fLeGBA79IhSzm52tL8ONOLH+4NPsZp0zEmUxsGA2dv5x8HlQfb/kxdGIk6yLqCa6bQzI8aMEOZts
UBb1drWp31le8Z9FAmi9c20yLaGmQg/ubPcF5IWuruziuNR2fXQSgESWLecj8L35RvFy7SlBdjDA
Qm6Pbt/ZZ0vbtqqpussj0gdDtU/7vB93nQfmGXgYlve/TE8aNpg9K0aQasYy+/3AeHV9lOFhZZNJ
wiI6/aBZV0yGa/KWB+HU9/Yy/Y+089iNG2nb9hERYA5bNjuIkmzZltNsCNvzuphzPvrvov+Nm000
ofk3szEwpWZVPfWEO4h39E9lYJhGeMnCMX6H8ax8wgN2T4Dr9ijxkR3AtCRFDHfXT2mrIvyFsxsr
z8jWMbmX7Z8GHs3CtdVy79ze3g4qZK4f3FKWvMmDUEtOuybFfBwpFQyJgyl8wku3O9//mLcZHhgW
JGmJWyiXQ1S5/piM5AfmvDkW5xEeTochHI3Mk2GcF24fVMTWKmyDZ5PGy97QaKOlytJImSEcQ9uO
Db1eupZF3jVakvmFnk+fAQ6Mz2kam/IxE0r+K2yN/kPb5JY3JgY8OE0SiEjmaQEB3h6SvQJoa2tp
2y1ybkt3yVzFVYEHWhyFQUpvs3ytwsx6CI1Q9fAJD1/f/sUB4C2+TkseuO64aNWktp0ZZj5eculD
D63swySNneugFflaI3N6svAt2hk6b3Q+kBZApWcZBCz6uat9bvqK3m0mMj/vi/I0mULyCsUYXwY6
zV5nqf9C7HTOSd12hzRtchR2rT2F060DzU5z0uibLHXL9X5H0hBE6Wwlfk2D/NxVtnZA+crZCfeb
vxRUAuZPaDfcTpwl3RaKHBiJPzp1+kEDaQ7IUh0dCFVKubCbp2F6KmCpHG0zygoohebweVYDEOr3
N/o2ayRpQz+MLw5V/CZaBOrQ6p2SpD5kadDmpWYNP8sELrZbDaNA1zb5L5eZ6RlBGfDWMsa6/sJ1
B1K8Iy/wMf3WEbzhcX0cGob+h2RAKsbtkoWVWKt9bez81q29/Xvl5d//ShhofyuV0cSpbxfS/E4f
KtOHC17vdL43V6HapUXBnA7i/fUq4JxLkSHZD1LBMXIfZB7EoiAS3R56dHPrAJ0ghyzLWMKtbkso
D1QbDk9coKvVCQixbkQ/1c5RDyjilDtV4UYIJhoQB+nBLqXhKvR0rTwKK9FgkQ+g8l+ZkyRf1ag3
1feJaQVnI0yLB1kG/P/m47nIV6GjBXQLvORqy1p90plSG5GfNh2CEP1MdXAIYlpgkZo0j2re9S/3
V7zt/VoAn+j6EvVJ/9fIIYyYenw56DVD86C77g7VoFZPttRKzTGzAYbPstprpyqP0hBpNF6fUzaI
Vn+9/2dsbC5iZfQt6IouBIPV5vZNpiYsDV0CC7NnTKgLr1TrHmObQjyFVrcnJb4xN+N3I0+s0CQ1
4dCtAl9PQGQ00rPgImeShkHp9dGkP9X23J5ry6w8mHX1oZ7UBpos6uJdnjwmklC+k9b1O9u+ddqW
dxd01QLeWr+6kRN3uk5jxy/ChI5m2kF6ORmNM32pajvy+k5vwLQrYk+3Z/mRq9wY2BONPzSuAVqt
ex9iGIcggSfhCxFknj7ni0XECT6IYUb9U986L1ps5TvP3kbAIElFZ2npDVA0rc44QCEQDL3DqEwO
rKNZttY7Zy723Fs3codF9QhFP0hsi0LrdVgKHTVzKJQiPzak6ICdYn2alSnwpgw5tvtnd2spsKPL
KVrcxNYt/RxAS2HNeew7EFrNQ9XWc+8mrROk8Db0Pabh1k1BMwvWGg3+xYPu+odVEr7gTSjFi+hY
B3EfdEsLgOCC/c9PqDd7VefmcgAiUO4lUeH1vl5OxEiRRLUa+2qTVQ+MuZG0HrTmgRIRRbvAaHZy
362PSRNuaUdTsd8g4uBgo7YgsV6PlIAfoomOdm7ueAVSYse37xvZNWhQ4jzdgdWXTJVxkqJRiX0p
Iykp51w9JmOjfG21oPLuL3V75pHHAunM6SC+IUF3/RUbVEScuBwTP4C1+7BUnke1xcD4/iobaRbL
IPazgCI2ekaY5pkcfJVlaic9QKFPzks5cywdYZ/DVLNfKqevztYcxS6cHR22Yf1m3wRt+RsWxToq
e+WmEh3jduzkiYzSMDoODFH8MqKR8gQ5XT0MJQY0LvG8cCNJiOM4QQK+/xFuYxrrG+QiDMepQ9ft
cbkVJuImNvmIilSDa5r1Y2I39VEw3wPkC0eoL+fpQ2sl0en+ypubzMWkhQbHkvN4vcmt0nR1bGd8
/Sxsj3McFecm17U3n9o/jXGmpQvQBH/G61WQgM6hSDX8vlAKDosBBxrqiuWJpn4zb4StVGT0o2h1
gmxYn1qOMZYsbclSQVtcBstqT62BZ5KFBwdOp6N8AkU5nIy2MfZcVW/R68va1NkqVRn6wuuKrKn0
VpFoY/hVnyP0UOjxr6w3QP8uk4j+TGsyMs5pKEXPTN7K6uK0VnTkIeg8FBui12YOwZo09dtbOvxZ
C5t9MTm8xXkIre9zSTPIC4VZTSC34uAj5LCx8aS6BjT89hOFDyDwcTwULHN9okZRQptNCIZYNgDt
GCZhv1Z22+ypiG/dGWbAOoBYrHBunuQIZe52Rm2Rqr+DKhAXZfLZ7tW5f+iw/nuEDE5tj504bD4s
UYKdCuKPoPJ1GsJH5aqShHB8GVJcH2kYoGnZIrDjY9JQJR9VdGJahnViFp6iQk3+mo1lb4RoMEcD
XyEeVARoQLJprqpM1JCRjWTNQUJxvUBfAmSgNxqN3cCjnJtv7aiWuN90ZX9ppikwT9h4jNEFvpsW
oHalh3vs8tsXjKE1kFubcoizu+5tGlYUZIgBxn4tq5mfJePotbaRXtpZ2zsfmwEf7DjXBN4eLbBl
Y/8q8dQAkZKm72M/BEz1vuh1LYUCWaTHqYShiUjN+GyjCIPbZ5T9z26hghpK/XZbTH7wMrHjCcWS
Zf2DY4yUhGEMAApE274b5146WFlm7cS9rehKjqph6Ezmc9MsidMwzFs01PiiFYQZq5Yu0IftvQbB
1u6xBurfbB4ysqsvCk2+LxRzYrpaK6YXwio+NC0ey04qrB213tvUigYEyDgdOpCxVD/Xm0fQHrCS
HMhy5rJ9VlpVeUh1WpZjr/TerNnTf0kPwEoyNaPPRRdndc9QtUNsWouoLmdN/qlL+oSNn5X3+mMK
NVPxaprhFfKdmAu7Tp4U1kvU5fZ7OWkxHb0f2bY+M9KnS5uThOim8qBnKyQbUq4fYuvp2Xod+CE6
xKc4e7viIy8JSsgQrpZ7cgMo0UGRYN8MrLcAK9h7qNY3yvNQTvYhUHrmvvd/2NamUlfSOmVDb0Ei
YRaS6EgJJVVr5IcRSNOjiMEeOFGg/wKEuQfv3QwB4EMWsY6lT7ruVKhlgYapxpc0g0FN3VLgCKe1
KJxdpgZAwmEo6B4EVilepzyMq2MZ1OKSjKW215/Z2FIAZEvzH9UQnfzr+jg3fJVBiw3qumEeD5ky
408I3Cq+9PlQ7TwZm2sRXKkPGMUyZrleS007tloEoQ+8Wb2YTlwfHQsH3ESBhHJ/QzfiDqNe+k2s
wgh9/X3FUOshxt8cn2JGHylrylOAas3OKltv4B8qqU03hqfwzzb/Fck1pPNQlADpboqm01000sZf
SiyUfwA22e9Q8C0QVxsCNX/sir7kMdSYeP9AuSB2jmmolZ+xwpC7o15JxaVAkQktgRKLJ8VFpyu1
j4o+9M0hpvJG7Ciyce2EbGwddfQFnbdfbSAwFMPU3gj0rjM3vUBOTS+YuUqmlhyMylbcNBPJJUFA
YCeibVw2liJ08uyAQV33TbI+QuNpiFIMKSciqNS19qGGjvQ9wjjypOnBpOxc762DB6cG0hApMWFl
OS1/bVPYzuo8ZWTfsHWn567R7XMlifaBkZ6zU05sJGUKo3+ajySbVFOrl6icirmH1scUaBEuknIn
fpjrxCzOfHz9Gcqc5TPXrE5lB89wZw+3Dj1FzGK9wJ2+KaJGEQPdyFg7QrPrOAHGPLZG1O78wq2P
CR0Wjwd2kI7Q6mMWWq8E7TJNc6qsMlHqsg1fHaT4t4lk5E5fYeuoLJAb4Hs02W6QAIoUx7HatKkf
Z2Z8RP6zfBwl8bGEfuzllj3ssG+3lgNGsaTui3zz+qkdohbKPXA6H3U33Wt4bb4IZGJcSe+Tc6YZ
ewOsrU9Jy5gcDOUkBuurw2JEiVVjyZX6c9YqKHoMgceRzL1ck94+MrIJ74w/l1z9FgNDvYKsFigt
X8Z8+lEp++oYi2xvoLz5g6AGMzQBJAWV4PqiAa/uOt2mzdVOwjqM9Gbf4Uqou7Ok15/vR/jb7is/
CCoOTHB67jetwqQvQEeVaeLbSNSdJOIiM7DQfg90Njujg5Q8pFUgv7kLyqIIWpAvEyfZsuvfl4Pg
qyqREEgqUmVDKD1vWfnv/V+2dQohpdCXJNNi7LX88r+i1ZiVU61CmfU1ULyYxteIP6AALybUmiRk
Cv//VludQb3KG56FjtZdERlPZZr9iKskeWm5eoeymZLj/eW2TghgNnJ12jy4Kq2Wc9QJXgU+x/7U
wzPogBwcpBD2qSi4AfeX2vyOgJKB6iFgcpNCOjbgvHjkMOqS5JwiTU0vaiOQG4oj+ViHCHvfX285
3KuCeDn3aBGCMr6l3Wnq7Fi5TePFSZT0RCpf+oGURJf7q2x9QHInHIcXHf2bzKbUG5SauiLxTbt3
jgY03ONEp/IiOrX+D3vFhIEKlXELSeJqr2xaxumAV5gvYjU6oZIaap6EyfVxAAWZ7Sy2tVto4/Hx
aCUQ8Fd1VSFmq0ZQFUHOUIakqITDIbLq3Jdn5nWL08POY7kVPxaTS+QrEFu4eSxBncA8yXnGJifL
P9dZ2+APWkSnqGzkzzLG10c1Qs3n/uZtLEqSyAtDJczurbMszmFWJ0ufnA/Q+EUaTpmL5GeL8Vwr
DqaUmdOhq5tv/2FVYqSzTFVuW+ZIeMExtRDXbvLe8iIq6HPKiOiU1qH1aHVKfprnQnn7OQXcA1US
SPXSq1/tZ9k7c1/GNYtiUvOuy+fwI47viZchBLUDFtu4EtT9dKPgF1FbrJvHqhUiwheI2EeQTbFP
gZlW70UCcvKhMCltdvZw46ASTxbsB6xIHoNVFYOwU5VqYUA9jgzJP1VYBee+q5qzEQ0SSthVOuw8
OluHhiEEJdrC1b6BHfMRZzT+RoY5UiwdosjpD6oeiosWqv0JOckavXYk1u6fmeVur4LZUg4sY90/
CdFq+9TK7nozKCK/ypXyxVLGd5SxqOBZVnWwwio6TyIfEddr/kNOtKxJeYAm521fSslr5NVtNrOW
RIO8iaKjr58NsJh60wz+w14uoHXa/sTtm/bUpJIyFKkc+ZpZoBhZxdAMDqVWhjTDCihVLwivZHtm
FhvvBA8g77rJXsIGXIXVoK2yJeOFDrfMWkzk655tsYuw21oF9UgKLDI+YvhqA2MTNe4O23K/yozS
S6al3Vj2e7KmG9Az7hsjP1wSFhLW+sfEIh1Kw1qAfApJxKGn7vvmVKX0UnMN40OCakXuNnmFXo0C
E8gTAjVLb44AmsjIIe10GLb/nAWcugB7aU2vLieDEeQN0ar1Jw2sh+iL7JDnffakzLn5tVSK8hv2
gJ0b4+x6QUU79NB9b5/FWIid8Lf9l9BZlSlbNihjoTOm3FyFgjpNjPowofn9ZMRSxJE2U8dvAtG+
q5VaP02FMb0fylB+Duspsl1jbt/OcwWkITscB+bPi5DbdUbphKE55wW93joJf6VozlC1xY2bV456
Rs252okdW0ePrIvIT9i/xQmLtAGCYpiklEo8fzSsKnkfAlXYubsbUR8DZbQ4NFQcblGdiG+Yk5g0
4QM+G46NZv+aGvQ4SZXLnfdlIxbC+CdIcI0W3vbye/9KyHFesUcLN2w8eYvyB7L+8fiQ2SjHY7KD
52gTIsxPZyccjp09mtL5zZEYugS9X1jZhKr1wFvMNpKGtCt8id4rA2DgNnHVFCelHsNLUunmuTYz
5HwIZDv7uPWFaUMy0ycQ87auAlUnhDJNaUarW06mY2xJthdaQXKmU1XsZH+3gKYFPAA8Aio+IXF9
QlFyIQo3g/CTuWl9lFhR1l40wlGEG18tCyusvNCnsxUOGhKzpvJ2liAF+PII8OIQmNfZZ9DEw9gv
Wzz1yRGGynya2xmeTdug/V6FOx9240UnYvJnQj2gzbsuIy1rLkSo4K6cxw5qTJLRP9kWFiq1XE9e
wtz2GA6yeL1/jjYYgwsD0oIwQg5I+34VBRoy70KkvAh4xcTjcRYWU2FzNrPsOFdFlbs9aLEBp6ik
UOAND+bH2GhDKPiGGfQYAZfKV0UR1RGy5fBbHsK08tQkbeBaIZ+Ld0ggUnjWahXhJkJ77NzPo/gQ
KWOLcRJym49BkSBEjyyHiE9t3RTfEI9WpjO1FLq0DOHbH4yLqvDEsKv+MmpzpLPp9hh6U+pE9iU3
zCnyMkUULzn0wM7rmtZJf9Eep7hDywEhurbTxQXDLaF8VdV2es0Ycu8hJTaCAdZdUFMY7/Ix15P8
pMgUCI5R6BtpUJ2zMRCnvsO7BOXb+H9xyUAGSeoQMk4k7zwpG6cGOsJiC8d0XyUtuw5DYaBUdT4w
5FLLsPBrpYS9icHQB7oe6GP0oj6kTbKHnd+4mOTv8OiRoAbtvM6tq1TW5s6BHZl1ojw6eC55SdTm
XytVS1HpScvzKPL+0Fjgz/qx2LMr3nhK6BY4sASAMS3gievfXFh9nEALJUFDC/ehiazoJKdzvaME
srUKnRZAfOQxTJ1WAb7Mxsl2pmQZsfUF1hT21KP0nI877cXtZRhHLO0IGKfrlKyZeR5C0IvGMOeZ
m00i+5GHRbITXTYKFLSNCNgEtD8Z5vU3E4tODSc/8svQMZ7xJHFQ1dUwpkIwwSuGeW+evfmzSGbR
j4G0wyG5Xk8bhjZwcpLovJWwUbbb9BOu2Xuzlu1VHOaguJNyHld7ZEYoYAmeevp9ihl5YpKNg8CQ
Q317WmHw0gP8BqUHnXW1SRbilgpIJMSLBnyF3R7PwP5QWA205UEC5L4TlPk2qzILOTPGb0BISS3W
VXJYYKiWVWDm0jyT3LoEkR3Wu0KDWzELlg0sYNIyUCmr32S2XVdWIJB8XWjSO66T5cWIuz3NdoIE
tTVaHhElPyjKuGeauZFCMLfmoQPVZQBIXMWsWXLgiiXARpWZAeZUyOkhnqXuA6zBb/e/5PZKCyoY
TgajzNUpHEJbG+ssi3xhlv33wkAxs4FB+zoClN7ZtK0LBuuSPjC5isPM6PrAx06P7WE786PsgjlE
7fitisWpiW1zG7Zf7/+uzcXYM/rBy7Ff5woQ7m1JS/TQHzrRPjtGFLqYPNinckrU48i32JmVbdyz
5WfhkLuY1sKauv5x0ayr6aAVSNRk8XQikZgeZrik3v1ftbFbrEI+S+4GE2x9LqI2HcZJGUO/U6P5
/Yi2uGcyDXzqmmEPxblx+E0wNmSW3LDbZMvESRvFG2a0DFoc3Y9ljKw8c+7qCz49DlYvtDjPNYf0
i1PN5k7I3/qdQEchbTBToi5dHZVcK5TQUtLQxwS3TjxU+ZVPQTzEpSeH6p6a8lbNCZ4AZApTTpqa
6zsgpSLIzcrM/RQNw6MyaYGXyGPqIgUvnXpLDS6R4rxSKOr4A+IBVNFm9ewu2bmKG0cW4iZ/xdLg
YFS4uorIw1ZBjYq0n6qFeMhRwjmMYNXxh3JI0vp4L0fZ2OGFRLgEuAVjtP7ZqlxIehVZuT9oo1wj
LRKF3+RRUhvPUoKJzCUy3zdJuHhQQM+6f5A3rgsgP6AjYFUYr62fi8oeeMwDPfObDIgfGxwYLwLt
/D0NpY3kD3AaeR/Af2uRP7++lmo2t4YES9NPhx5TxqGHGst7fMwbQH5ViC5xUzfZ5T/8ODqOYH4Q
Or0pfEVcooeGNaCvB3LzmOl19lAP+DjeX2Xrp1GTwIKlDQfeZ9nev8prcKh6mUhT7jMZMn41/axe
AsVKvjtlgcB/L5By8roh2cOsb+3cMlKmMWIAPl5TUIGpAF8MwpyueNIdk9qKEN1Uhx242EYAYNID
zYCJEBIO6/5YQOMb6lGKWaxWFrILjEf7XsdN0WOaJ+hs3v+UGzeBhjQ3j960Yt5KRrRkaL0UcBMC
0+kutjU0z0xb+m+No4S5Z2lAJw9dLHUK+MtpLIzz/fW3AMD8ARChGF1SMKxrFD1QEk6NzRRnHiGn
zJ2eyC44sfoHFoMxNuCVUc6XnrARunjLZP/iZZt9mcNm/Fm1GGzRW26F4kpwrYOdb7OxE7zYXKHF
f2kDctUAL0eAlD9NoKUqC3s6WVqqX6h85J3PsBEASUGYgP+JSjeEMAkIv0kPDNe7uio9A0fMp7bD
lUA0c3kkFdwLQpufnUhLEAL6sbAWr6+QZKQCdjHIj84J2ndNbBov5P6VfUIofbJP0ShL86GRxkT2
GiSfTV9LzfoTaqu4tludhBb+nCXaBQw+cpb3j8TWZ6faWdqB0NK0dW0lleFQKCMnooiN7JeE5eoh
lZD4CAZD35HX21pqUfTXGe0smcXqsZVUOx3JN9An0KLfRqA7T3bd9SeN5sPnt/8oZlvQUGhBEpFX
0XiEMRREqpH6yZTgGydjQ9eYCMxl6mTt1CN/StxVicCkfAGbUoTfptCx1BtTGFUZBjZB/M+Q1/OH
dsCb1h0SJ3lQBkc/m3RgTFePM7R37MI4Di3tmzdfH4fAwojNXmCZN1iVWMH0Ji60zK80ZdAPMAu7
xAPrtoDaJrXekwm93UsMTWQyiKXcW8h+1ye6SLrelkPQ5dYSNotkSr9MpvkDoVftzY/cYp2yaMMw
42bktDo1Pa96HuBr56uYJ7iGHMwPVZHu4W9uHzlWQYcJVUuHZGUdGGmTD1pvRwwm0N/9zDmRLyRx
yS8NvJ3lyqHZHXsZjfmdXbuNRMDB8GYj8IHru+kZJbzZWFKNiBLOZvoJJWAVRnPRvDMnvRLnXosU
9XT/atw+q6xIMUtPHl7ADVzZKmoKNEOP/AGDYI/eQOZJpaXsRNitz8mpgGWx4CBu0i7Myvq0YVzv
N1UqLjW+bMcp6+x3UYdPFKVA+2mR83z7VWRsj1Dun8KP/6wylTCiUFFmqtkozlUc2Ll6uBCFBxqF
06caZdvfA9PSB6Wr0xMihMIt4YznO1u69YGJcgCRlmkOSeH1zShtfeCbMMyhk56dA5x7H0le9tog
t30/hobwIulU4bByE7bBd0yKEwILKiVp6s5TpDsXicf7Vaho+Z3Utpdl+O9h+hEAbtRhIOXUL28/
SSAM6bSqnCTizvUPRbZPtJkawh0IevGAK7HiDYjl7vT+tm4IVxPMJv0r/ARW17/jI3d4ztBVtXG7
mbKxe0lqFT10IX7GKWCX+z9qK64tDob0sLD5uEHI5ai4KNAuwEArBDcJFw03MkIsi5Ed2zkoW3cE
30BlQcgt5djqoPSZqnH8LKDdYVp6nWMAMUeLFIaJZYaLynIrLnM+dV/u/8INkjZdEci7C0eZZ39d
83aTVA5yQcEtjGrErBagzWEcA/lJAHn9bWRN3R7gzCtnQyST41Ir6sGxmmf7fYVYHeOdXNi/7v9N
W3dm2dyFgUtWvK5IMxQQ7XrqQ78ZIu1nIuz8Re9Da+eDb+wtzzT9LiCWQKjXtaBkSzA1akYDtoHJ
oTUgw+Jg0vRs1vKeZP6fV+k6K2BjkcAjADKuYpZ0fTmohZGccgjscRKlNX6xWfVUZUM2ubNWNWA0
EmGIg7CQ9TrFPKGvMsZ/4meNCynsEbX52ptl915u26zGB6/qtbNtceRp0bWz6c5hoSsuEo4aM5gR
VOzJbh3jmMdV2ZylTi6PZWPrKe2EKvrWas4wHbSmZw6gjDPoLUeJCuswg9fV3FGRmn4n+m9s5yLZ
Rb8UJSr1Zn6G6DS5ngSCYiycV0yoTYz44nqnLN3aTWaSCFfQ2WbAvPwRf5WlQkvVNmnxgoRc1HqG
pjITUOfq0egH+XT/eG7EIMC5YEKWrbytmtQwKadqwbzog6ygKT8P74dWDZ+teVZ/5PLY7xzUzfWW
WSfndEPIq7dyJPMt3mgpRSQxisxv6HCml57u5XsUfO2dd3Nru9DloC6klrplSUilg1tUFKJTV8sd
8zllPMJQ3zNo3dovfg9axHTabpvclZiVpoB56Y9TGj8qnVl6haQqB6hh5U5Rv0TO1eVbJMNJABbp
cF6o66NRoMeICwkAh7A2pl8JWpOHjvn9Zewwni4lO36ytCB8aeN68O6flI0fiWoi9dQylaedr16v
rLQKw0UNcTKHNpBxQtczeRdlcf09jaX2n/trbZwSQEr0EWB88UnXKkNmrU1IKy90AnmKMKOfC2ys
dWbGedJItVvnurpTwG0cFJV3mM9Kx4QhzOrXJZo251jCZ/4cSsXB7HPtvHjOHO//rq1vCJ2A9sTS
eb5xKDIlA07iHGV+3eh0uEUY+RF6GgdAaXtSHVtLkUMB4ya/oFe+OijoXnX4Y8aZjw7X/KOXJ4FL
GRLB3yI4ev/e/1kbzz2CMIBuDKalPPirtXqCsx4bMoW2OmAZOw5TfQiyRv0UBWqUu6OqFKilFulO
LN5eliYaBr1YXK/DZLewk0uc7vzaHvPO7QgrpduHqXEMR10yDjWqZf4kD85wuf97t77toqZPb5KG
9Q0uZuKW/D8a0TB2phdhBfyaaxpWs6Osfnz7UkvTlb76wkZcZ1JSYqhjklk8BW1uoDiDwLxrlTp2
04MG3OH+YlvBhfcGFC7Ym1vViaFVtCkz8eOQB8P82qSjgr6t1ljYMdbGQzyX2kWBPfQc57G+Rwre
+qa0mKFn8VF1a231qYOcnfSWrMKwob1gZD8f5SqqTlFki527vhVd/l5qiQV/Pa9pN2AnPCpMje0s
PuWx3ZwGXo/fsxbhOVSFwdtHrSCgNQBUS/NvIVdcL6hJTYV5Ni4EnTL8jvQ+eEqbaA+sxTvD/2b1
NiwPHceF1hC9uFUMQwglYswAaCooQ0N/xUnWngsXtrwEL7dT5VM6R43lBoGatAfEdIzuEKLgT7kM
sQTrlTzPDpbSSdPZrGyzPEzCkD/gcqN9tZpMWC7MmrjGTyAbDU/W08Z8meak/p1AUYpd266dV5EY
eX5xTOQmzppdKeLYhHnRuBIC3X6qKFLrOVkSyIcwH4ffppzbOLAUtvxNMXNH9QQoyQ99PwQfk96c
m+OQqXnpmeqIgLsTi/5JGp2mPVVOrH2zc2nsPT3pRIX/sDZnXsqYxvEao+o7t5ArSfIlXMHfjapW
mg/l0IF1HyQg9wcHmusvo6Gw/BjQaSNmBGainNWybqA/TjN92h7JucMUFUl6wOLdGt3JaBnJz8AW
R5NSLW/eQThKsWhJ7bQkuyjGnxmCgyhc01sCmZKL8csoxuQzUcqa3zeOxVzKBeufGv8iNjkiBdEo
4fcmrqLhISt155z1cEYeJHVoxJFsHjtZLZHxlQ/kNDGPciZ0XCR0oWrEtQhf6EKLo3czeIHUw+up
+R/RYzQxhseu+CgkqQYXNcR5/zmeKHK8GVva/GUuquZTGVfmM/J6InNncxjrl8ksw9JNa3P+ZhuJ
82sw5+nkjHhYuV2E0M9FUszaOudylaFwOPT9uy7J1eR5aIZ+cOGfCtujrhxI7zMjEd6c9XBHE2fQ
54uMN55whcyrd0Sm30o9Zer0+lAOJs6GJb2p5pLIvZJh4F1Wule3TvSYT0PTubBBnW9okA32oR1z
43PlGHiJW4B17GdVGgbfKJUBW3GurnKQeWhwLg+LqUL2wc70CHuTJlPc1oE5BdGnHFoPm+q8elCS
EFvUkseicu1etP9WOjJ/bpBi4oxdHRPnQ1NNmfxYtrPxpZOCEACYEeeHtMsRVTQTZtTuBMpNvPQU
k42b2WYlfcnHWjUPAnq1L5XN/EmLEbl/yeUynV1ytrjnUDpT/zBiQf65nxqjdfWy1b6WlTorJ4RW
zeJ3J/UqvqWYaew1kDbeSupC+n9M8sg71pVxmYwCxh9EDKPLtBeAuMGrUzn2r4za/FPVKP/WYznt
PCc3IX0hYCABxQNJsnOjlN4k9mBVMAiw05miQ7Ng7cpIio+TZPy8/3DdtIzo8KPWTEmKNiZrrRKQ
kba+bAxW5puNmn63Ryf7ILTWBHPkxO23En3Oc5c0BTdvGr+A143L4/0/4OanMnKijqL9SLrKKHEV
4cd4bOZ0qNCNrpziwxiOEw6NwUDZVien/7IU2hlAu3lS1iiJuM9z4cgQAYMBvmaWixl6QmmcVCnY
s6la/ur1g0I2x+gQBZtbjkKEE3qDxTTz3mqo/l3cun4pHZOyt/+gRRuXF3LRDFp3FUWEthtgfqon
refa1vMYOwfbjo0fi3zsvHMotx5JCl6MT4HcLeDi67dYb0ttcnIKqASm/pMTacO5Z0A8nk1tJG2t
nGh80PtcORayMu7dwq1jotPEZc7GNOim45dXgO9oEXELG6wjs1avZVdl3Ydcatu3q+ECogEXgC4v
0LUbOE1uRnIbzvRRVQXOf6ISoux2PDeYkex80z/I06uDskAXeSr5ovjW3tQ1qimZBZKsDLTjNB68
pWH6ONVO83PWc/t/ZqjzXsmZnaguRvX5c2LWof086aUmeW0o2ekpGNPouxzkMiPbgcL2/gm72fPl
z8NuDSYCs9GbE4Zl56RjV5r5YVDnh1zVeEeaedC8tHR+9MLSjrY9pocgyPcIVDepJitTKYAuXyCk
yHRen7ZCicJBVF1GGRKMR0nLs2Nalv3ZSKz5SY2Maa+/cnPClgWp+Bb6LlXDOhIiPVwFVciCuYS+
fDHJI9eq/AglJd1pUv0JNOtNh0VLYcIgkpbg8tX/SqNxvZlA6FpMItU56F11ECC2R3UwhKdrbc27
GFR24ZKxLKzKKq+QtJ3i+h81iYsPMiZOr6oR6ZM3TzDiL32HWLabR0YTXjSnsj5nTWMOGEGUyT/A
BdLvqRqAXZpGft6xVwtlPg6VNv/KRwmxz7IPADcguKqkWOfVtfqFM9+1btzMY/+hDunUHa0GUilT
Nhj2LmmPSVMNlN73SghjdCkHrOiAw2jsuDyFfeuKAveXd4St5FONDFTgKpM9fL1/MG8CLLsFb5Ce
NQp48CPV60+Y56E5hjmy9hG/9WjOQfvZiKTkrbi6ZRW6YIwzYeDcBALZinG/ktPMl9NWJc5F0nOd
VXuqlrcQMJZhPkX8ogi5nQ5FcZyaKZhSf7aC6JymwXAk35G9MYo79l8JDmGq6u/DqI1wmTPmf8La
0t4PzK29+1/1JtdZ/hDGgGR+kAhhQV1/VXMIZDpZzP2jRJ+OmBER7KWG2bSsjV5iS5xJguPOddiK
MSzHVdDxH72h1nHTnHkBntADEfn/hJH1D7EkbMulvrROgV7o/8APi58DRLn3CMVblx49nwXZDf6A
DPj6B3O0Si5ZmftmNw2PtZz24M0CrNF6p9+ZjG0uhcgxLVVWu+GAx1JJubdAlxCjtmlwSgKmCmIB
YzLbO4nOxjbaMgNWVFlpyt0gS6gihDah1+NPjVOcJz0p/TKxzKPCqOFQVmHxKFtBvrPoxu+joYQ6
DLhJJkjrZKTWKpPMfM58pLbbfzQcKc9R3bWdG6mztYesUzaeB/plSAXRDt8wvaRxRgXRc2hqyka3
7g3lwazrzC2aFHHCaJJd4PrxsU46+/fAqNArIzB3iSk3lxgSzVnKZ+OBLli7qFXOblDJe2pGG5k1
4166QQg1yWANVw/YohykjCPvSWRYwKcQeMwIlojUnbB2KF4xA2q+zeCHT2OCRhRqG+l0uX+bN7/R
Miblyi4Tp1WMrGzgLjWltj+rifkod8YLBhUocw4ZTCkcTnZyma3lmOvQDGZseSttWJpVPjNxyvzS
VqTPdtEgPGBkKI+WfXqcrakddxa8RdnQhoTegtkkGKXboWXTl7mTZi2Y1cAs34EjEsesLUN0l4wk
/o430XBK/4+z89qRHMnS9Ks0+p4YarGY6QuS7h4eOrW4IVIVtTbKp9+P2b2DdNIR3KguoIFCVoYF
SbNjR/yiFpXlaYUzvQ9E0p/hOpU7OdK1jU/LHUk+qqitP6g6SlmT64BscrON73LYT+j29rUrpDze
ic9XXzHOWdRp5GKAxy7DVZ7Jc22nQ35rZ6Y4WGHsnNBLyW6cKrTuxNxYX17eQdcejd6+DjAORArP
eLmeGo3VMJgdfNgwar+ykjF7KC/rH4y+b/Sdz3nt4dg+HDomTuitrg5Mh9l0iIVVitYS7tqpks4n
pVbrU4kwiddZY/Q3Ho4qG0dMWprs2uXh/8jCMqVIrWDGKaHipJzmoHjbO+N4iLFE/fj61/jnSsuT
/7ESqBIlnEmHbgVDZh9YWErfi74b/rF7DdNrX4x6AmukhRBprM+82uIC4yiUhFNblW4Jju8hawWu
UrDfPvyNp1owo3RD4betk4UJ3itmvKCjErkQt7HFYfdLm/g2YMMm7ZS6y05bpcwLZFtjavBb72z1
ClNaZTJdouS2i8LOG2xtuosqe95JRa69vUVYk9TcuFL4Da0Z6wI4LDrVs/YhmaP0MApjPlZzu9fi
ufZAFDiUG1RWy2zwck/0mUM/qWZQ14YZqkS0k28B7+wh2K7kVmwEkleuAabd6yEIBtxmMta4jUHY
RBdVbiNXt6f2bPRmdIhs2rNx3bcnEsK9UHXtVZKhQ+EAB7jlk+dmBqqASw1ZriSGryFPN3ShUi8b
0/L48ka8+iq54UCJMLDdUBdac8RkKjKzW9Jr2M6TQFOzt/bAjVdvG7IpGF/UxMwHV9cp+trR2FpL
yRE43SFpk5lGqRy9m7Q5OZJcZomLPpI4aOlMp27oWgyLrXKHm7JFDXPnLawU6AtcfJuMNejQ86T4
yfASF2p4SNTAHOmlJ/qxT5AiAFRi57CCJYj2blk4TXcqyxxF4zTFsZVqO89doATdmZx7r+l1bbMR
c/jN6JlswdpNHyZFoDIEKIBL3w1mzRDDtKTnPC6/D8Eof3MQa/vaM3LYuTmubQBCA8UDddqW3qsG
tilpTpXdjnJvPlhiiD8hVbInTXUtq+aWB7wDXw0jj9X3x4xCLdIqz2+t2Ap/5N0YfnYkMbnKCMkd
CNHoOmO65+5+7RjxSIsmzwIIXQdZoWOhYwvknIzckB9yZcorN3AsobtAstTvLx+kax9wUYDDGcSm
373GJ5lNa89yzmL8MlBqtXioTuhFBOTHTaSf0ASKHsdaHny60+1Oqb0E8FWAX7DK1JeQ3On4KJfx
MKqyEFFO4iEDJf1trUg/0zFz/sKKK6IG7vpmZ5R5Zc9crLf6mk0UqL2zjMBFpvSZW6hi+u7MauK/
/EqvLgMXGh4JKc0mByf8Q2+MtBT+fik9SDV8ZYa4O5nMtdCEAANCQ5SXig5Y+fLl8TVl5pbYmPWR
2vc3CA3RSsKu3fTNODMVXzLNWHGNojNVN2pEU7i47MSZn+M39upxNIJVyLcC8KX85KCsbmrZShuC
HzljXeZfNSPFRdjuTA/Uafn62xprEywQiMm4gqxHB3KgN1oiEJrsurz8KEqbrlVRwg7MJvNvZAbL
R0TQchlUbAC8PcN9rctoxNnoTLyrrNR4ipIq8K2xt25e3jLX2kFLU5BQQ1OCk79KDbABKSSzRVXN
aPUO7smkdn/laVV+b+S6uh8TJTgqWVtD4sdD7QCFsj+rWtEpLl522s7+vRJ/2FG49YI8Q4XCcS53
1tQ2lS0pJMmqGYWfumZSPGMom9ssC6fDy8/98lIApS6XKrE57mcHmFQ0BbFXdl3tI1qVP0oahfPL
S10J5fAGUDKkD+Ms+JvLpVoNM+B2ScijVAGzZMFPGKMkPjujSE81yug3U7SHndhGApBLwAXZrxRw
3OCXa45qXIukaGiljwEObEFovKdulPc0gbdxlGXYjDSAlrx8XbJpUWgZs0Mvse/t6RCHsfbQDlLh
B1Jh3sdtuyckcG09FWlDKMFsWjqyl4+lpnWpzQptnziqFLetlOBBHaL0UdV6E/wSxjkvf7prrxHG
J0ANhrJLD/hyvcIcHdHW8FTboLfedZKSPgpZqXdW2e5FTKIwnmAkqZHRrMuoWKeWNxFFuB1I/X+g
mRsc0y4aHzQ53RGK2965rEQBurC3qW7WdUCqM8+aIuBzUEqqH7ODa5JnCdk42cHIUADd0rNhMHuN
bQwjd47BtXfJmgv1g4oHY4jLdwmOA7axBqiuxFbp3I6jch+P1R6S9NoO+WMVdfXF9CCK8kkt2JGG
kJ9DdUqPVTRNR1PpvkgAn08vb5Bry+GvuJgXkBFuEJBJR2IOSx6p46kSXjFIVuJiYBHexWbXnlr+
zo5+2bUvyFyUjFcBbraZYJutpgQDrMTbRqlH14wsIDZoKCD1NwbvJLDbNCX75AvG7s5eHPtt+XeZ
NdFzAhfF/lmK/k19B56/o6DKb4dkEmBDLDIoV+AGrng985H3VZ0qRFEZJIoWdLfp2En3oPYxssIM
8hP5nPkNidW0ce0xT3KEqoJ+Z39vmQWQchmmcmJJKRcLgstNZqupMTBsgOAHFuRtmJbpcWj64D0a
Rv09ntHzDRAvTKwzLEXq3JZdNJs1L+xb+yErrWjnYP/e0+s3BqCH34iimGi8+nUMGTRULHrYthD6
C7cz86DxklTTb4d8sBu3i4wi9jE/zKejNJRV6dsjCqBurGiZ7QFr0nPXDhrT9gDz4jwdKiKKn5Ok
aS1P9Al+ZFY+g72KI5sO/ygaVd55hOVUrp+AO5kchJAAbHQ5AH90k6LajsrYMfNbh9rvoNNEOnYo
DMEJtZsHNUDdx8kQipuqoUCDtdnTsr1yvlA/WfT5F4DspiLBhNfBL10tbu2+kZ4GuRdHxciMU1NO
jkdPaE/u8Upyy2HWUF+kMKGTvo6QHC6pCEMMXurEkc8TPn1ebWif9NEpa8+Y5hmbpKoEgQBZu3+s
ayP/CA9qfO1bB6HLKVtEelDA2NyrZWHiE88084yT7Oe60fNn6O/mMnY1bpqqyZ+0uQEFJs/Zgscy
zi8HtU3CwnxqoQhDyV004tfDFR7MxCpkNM+OBBekBDf2xOyof2D0MB5zFYtTmqd75Ovf0eNipyGY
vQBouaAsqIjGqiYbbWe2Ezlxzo6O7OC9ppqQVNoh1dM73Ridj8hN24g8ZV3smo1dP/ddJZsurvVJ
5KfIej3Ry5Olm8CZmBzOQRq+K9i8j7KJLuqst/Md2YO6V39s9ie/NKIEiC3T2UV0a1UL0agex6yU
7HNfR58SDOZOuhWmxxaqvydavd7JWq8sR15sQjgF/L7l9GAK2AaLYeoZtcbxbWC1rceEGP/vKZS+
23Xz/rUbATIq4ASaaotw53oj2FYo9zr+r+dSKzQGWmnQ3Wu9+lnKAv05R7TyBiSo2LlSN9kQjhz4
zuL5SudWp2d5GXEQN697aiPnDNhoOtt6bXv6hLrgMCBu+PLzbVISlqJNB8uOYSJAo1Vw67tyDIN2
ZMuZ6Pj5Nupy4Y0OBuTny+tsPxtUBWhCCxmEF7pWhOsNThO9KutcD5ntJ3omna0OeE8wx/FRVLWy
s002QRt9Kj4bgkrMlGmnrnalUAe7ztXWPhtd2Lxx0lLc1AAqbkKjKm+V0eldySrLR3tE63zS8r32
+TZ+INNBsYMWHX3tDbil1jNHnoVinXNNDp6Qdsi+MLbsWNUojK8IG3IpO1Yd+i+/5e3GYVnkuLgs
SJA2yXrXCFTj4VicI0uaTyn4Yg95UeeIlniys3GufFAImiRhNI8Yfaw3TpiHqA5qvcSxlz8A0FbP
QyxbR+y4C7+vxuzjy092ZbnF/AO5HuDinPxVGoFaYV4uuujnxGyG3IXu1X4Z7DR+HMscIf5hejUe
CnQEzDk+ImP9ZaJ7eQanFgIdnQDnbA+F/U6qK9lN0Hz8DOyc6Y7S/PXy813ZMIvg5FL6E9bYN5fL
dfj9UasqzjlYKroBru3jlHbKkyZZtds4SneeZa07vrzoJpNenhGhAiY9C1t7nSpCQwGeMjfOWeS6
E55CnM4q18kX2McMyig9I+IofTWyQvlW5o3Ycyrexh6WB56xqLotYWj1TdFi7QbTJJQ3PPRxsrX0
JuAhd7pW11bhpyPPyj3OYVx21h/pm51oWhcI2znXTa1/qtEQvS3j8NV9R4PNwsDHANQCt3/dTs3D
dgwdCfKsFRe04aVWPXRVupdNXznfF6us3pjd6HpInx9RtclpD7VTgRsONNml67B3rV95beCE2ZPc
CXyddcAOS7a9HqKoa4m59pVuUs9aZwc7AevqKnwaoN4q/e8192uMKmeQyOiZz+bzWRlTsPLh/Grf
Qj4O0yqLOQ7ECi6Eyy2ghIqS1w1ij1pSfJxFkJ3yRom92jKHnayV5i8/6zKHI09fMBlo3xEX15AB
Na8HdYyxTG4H23qyyjr83KNf8aTMcpS4nZYiMRQXsT66Q5kjsgYuRM0+Fr0BpT7oOxMkZBSB69WH
+AZBDxwXdJqST5GUJX+laggHhCMN3HdhkqUPsYl6mB8lnfxDLiOzc6FqqG8tYQESLWjr4SyZ9PpD
ZOfZ5OY6/Wc3JaXFxFnC38MCdRt7joh79Zgpolbfk5TnsmugwdMfkB+3SDSzXE78ssYl0MP4lVnX
ZJXmszmnhUzNI1nZQRp0bjanU+yfup3KFeyFkPsmbUb92Z46aqM2nJ3ZjYZ6nh5Jco07o21QjOxH
W/5Wjk7yVxRp1hsovmHgDxJ6866J88kvvcmKt1mG5NypIPo/oZEUlP5gWuAv5U5KNa/H9eVTIhXl
17bvcscbDCO3/ayvggEHTCt6n9owa3wB/e6gBfbQ3QTdaD7gCF/0b8zZ1t5VhjNSiLeB9jkREDHo
12sLcCdKpcPQaWPomogxSsdUiev7fBza2BtSKf0ao1oV3xRof42u1SqNc8QcOyo825FqQKQxig+Q
YEY0xzrVqJ8wOVNqPxiFWnl6ltf6eW5RdkLUKflUIg5fY8MYwXOR4rmrXaMVtumaadRLPrQyq/OS
kv+5tmRUTygXS6lfBzCGfZPcTeZLmRJtCMEt/Dg1AKEYGE3anZVbY/MgqfnUvmlDTf5VlLOieWmN
9ILb1/VcP6tBmp4Ss8RiI6RxJbkAXpofFR+794Y5DRKvbguII7o9lm9maxws10icurmRVLX+CzmC
LDo3LMn3UGHUuEZsJ86zmVSq/NT3Jv0ZqpP2noCLjgJwuApIlpVZ33BIiVKYUn2evA0gl5Y7ghXb
U7iM+hcmImF5K4sR2ACjdJSUz9zuxpc+DMRHrpbef/n+3KwC+RDkFQZL5M9buE4VzRKTcCzTsAdK
HxNUpL5aseHspLJXVyGAkc4x5wHhfxm98j6VAksy09ue+AtcpulugfRkN698FmIk/QUG7qCBGH2u
8h0zrhUZTl58O4lwuFO0NjgYZtHs1NXXLjCb25hSkfx0Q+6ZuLxGzF0Qh+mG2IcUNTO+7xK/CYY9
p6FrS9E2oF+zKL0xJb98bTgbIj8aZ0jCzxImShRsYEvi9ETx2O5Q3a8sRWYKB5wG15Xxhqy25WAk
tXQOEqF5Sd3kx6o2w3tN9M4e4Gj52qv7BbISlgFcyRieru8XYZiYyYEExxhD7w7mJKcHozSyb1Ie
ZvcDZojNTqK/2X6kTLSs+VasyGBqlZlm8IXVsi+C82y1o59jU+HXBKa9tuXVZZbR0CLjv1XwEkCs
MzxjSdNIQP2s7hzPabBwt1EIcc1B1X8YfZPemFOu+bkZlnd9PX3ncGZ+OJvFzVCpnSeast85Flfy
cprXyNRRcoBEWGePDJbwsZlD+9yaFf4FoRMB76/lg7Ds8qs+mcaJNHYPYHNlP7EowPDFO3dLjw0I
4XMGGvvc0Wr2AwREjv0cgg3oJGsnUG63E53sZRpCL31RMF8+yx/Z8TTbaAsalXpWwjDr3Cgcg/hj
I8OfHoqojb+VQ7AnDLF9OrYTo3kGBsxcafBdLhkWEHLHtlfO8TjYfoN45iFQAb0nRb0XoEG1r48L
i1BR8c/ykBsQSYWm82TXDJYSvbfrA7bR5lGVw8D0RIRygzuNlfVXWuDIfkwzkdiurOeWfdTKoEo8
JP2tDyozvdCnAxgH/jiEEEsBDI3cs6VVuqmmtrUfdXiZY0dbqk8xHPsRc+WSNA+NYD09Su1gPDsN
rsOnrJjE1wzc9i8lSfOPhjOF6smhRe+c5RBLgXuNkKV7ORNpLlRnVH+aojHaIzYaw2cLhcDppkIa
yDoEtAO/FDgAxZCXs3Y+Ci3LjrMy9IwEm9Kwzgt1vDoqTjLZvtmjCHIndS2pSojiju4behY7niwN
HWoVWMEEh6gcwQsrpIhfc5jDJVYZeZ24KgwCw49tSahuozvNu7aF9UyqYYNpQOHPUrwy6OgwoA2v
WUiA903kSqMoA1dyzEl19SxMlS9jXpolSPg2g62Sasl3I27iwCMLSH+EjMT0YxE7zmepsiGyOGGR
3bWKEzSnhkyn9DLdbKNjB+n+e5orQXbsjFG8VdKqSzA/iMvRLWCmZW6pddr9MM/DfKdVThQ+OKlk
914AqOuzMcQmyWxkoUGdO+l8F8nTkPk2mi7C6+UGA3O9C8qfAlNaPP1KdAJ9JQ5SCbK2Vt3bTpb2
Hiozk+4mY6j9mrM8/5oKod1hsFIOBzULx9a1rCSsb5K0lW9w3pSF2zk5QJChkH6qJvqHttIYX6fB
kW7SXs2+d01bf24KLBogQLxFQKfsgli/yQLNeTel2pQc2rDs4sMSDaEvm3lSuNGc9L/46PVDonWz
8ozSv2kebLXvsjdYYOFk2kOBbPxalab3fTxCOcqzvj9JyRRrBz3IBeIMVew8ofUk1ZDQh5hBijmL
Q26rSXQuOi0oPVKe6muWwYx29bgxxLF1Zjm9scxA/1WOlVP7lI4S0LaIzMfPuhka65gawbGWw6rw
VKF3sV+0XcgWkKWxmdxBGdu3AVz+xQC81Op7OaR6cEXRGpY/yIGWungOwjwfZ0ncmH02OzfMJ1Bv
HHGBfaqlSOc0mMPbuQych7bU5XdTxIDzpgpFFrt5b2YfGMRlE19TD5tDLWw7PLWW1n6F2wK7q4LT
2H8L1XlQ/NypFcqPdDLqUxTDDsjjtkndWdRl5EWKXQ2+XfX5zRgrVeMThNW3QomM+dGRxvZLU5rO
dwtTAukOS3hZ3EVRSI0hhXF5N0RmZB9CkQxgfkYtU1wYEeKpSbUMQiNccuk0SchqQTIOnA84r43D
OzSleJVqwg7nfBLkn0pSCPEORdC4fTOrRRt6XUaBe8tXUcHVz+JTgFyZcdKLuXpflU09+y9ng5tr
j8x2gRQxrwODs8kG7Ry5bmhmTP3r2BvhPKLI2umHLG4g6M+teejLV5NoliWJJsCNF62uNcPMKhkQ
AmQAa58Pw1HEeGVUbRP5NCmaszVbsd/rybRTr2+yjmVRIIaLaifTvXWSWFTlb2VqmIFjG3zs1FR/
Q3G3J0S2ufF+r7J49ILXoMe3uvF6RYvxNw7hTYx17jERVTx4+PXbTi/3VL+WrPYiPfy9FF3WRfgL
mafVfU65QzMcLeVbrpU+doeuwvGkScEvorQQuAJzIABOZXZMtTj8/Dc2ze+5FcNxWiCrtcuYXl7b
gaPCQcvy2kpYNNn18ZBZAmWFMU4lj4tA/vryqldeLgBGxpTMTGi6rNFbeR4hujEsUhhVbN9nOGW7
tSUlX1FB3evqX1uKQQkfEE8iPuaq/Qb/VxTj8nLnWU+9fkJuW9Hywu/wpXht15JeMFKoiCCQc27n
TpodtPqY4XShFspTTOZ716C+sJN0b5I/kiMwPcuhc9D73NZ8AJOLRb0N0TXYWqGc9AfbYCAT14Xu
OpTyO7XE9gXSZZYX/QPG6bRkV7XEIEfYzQto+mHCjhCSrN2hvjp7IXTnnRd45dmWWpmXR2q7lVS2
+kCCFovJXR7W+U2dFumhyYQ41aVceSiU7A5vtc3J49kIXFTQFJtgli/TWiAWhiniIb3VRZxNfo3A
o4RdtZa9yaVkbn6pSkpuFGnqwGw2jabnYsT6qY8mRXGnKUH/xmBz3XTWYtX88hHZRjlCOIwtzuai
jrwOCoEe5X2k4ycsZXaLm5USvGmDrnv7d1YBJs8HZvq2FvVxtIZ2SGrT+ezUypcQ234kY+l/vrzK
dgtxMBbw1qIXxvxpFWQMAduN2wOlhzYKsE4MQhdh7+i96MZmB/t/bSlMEgmk9PXR7lotFaSYFqTw
J24DoSYP05gZb4J8HkZXpOMQ7xyN7TdavFLp8TBmBoW6RplAhdWccEDuVDVT2Ru0KD5qSrPHT7ny
SNw/i/QZNxHiw6umyGSmc0krP8FWV/qatkXuj1KunhEiHXZ2w3Yl7EkXWCQzWOQW1p39vquNriqQ
jdONcr4P6ulnZk24tsfaq92ylx0HzXe5v5lhrUf0ejLMLTqlKXrtMIn7gg4thDbJVaNqDxuzmSov
S/EwNOOAJW9AKQJgl4wmNLdriUhj2DXWFwfa6TFDavNTWZrmBx65P1dxCANXAou2U61v2SjLLwBq
kV4dU218fC+DTN9bRllW3ECTsOrxlBex6bhaLTvVwaqCInA1hnXWmwbLxV+2qJTUFw4jB/w9A3QK
stRG2EZEpuWGimS8mtzNL8eABdAOAWDrhIHilaO1Bo1KPUyU22o29RNdeelU4vK5E9Gu5ae0R1Qm
syixsaEv3wPyThNpHR8C+10IvrmSPZqFmbrDAA7EjQJGAWU77+Eyrn1+UKPAT5ah6YZiLLAMQHMd
7XzM0o0DWgtE8qE2Txr1+EkwmvuA8PXspUN0UqI976bthUZKh80ILTKwxpsgbmkDxn8VeU4tGeUH
jNMkN0TP0g1yLU1dLHTkna7mtXcMpBmCFxgU+n/L2/ijNYR5oRxIApLDaBjBxz4KJQ/bnMBNxZA/
dFUyL32Paich34YNnvJ/FyWhu1wUhj4hMolJsdArPxmIhN8N9UInr3fl0a9EXHAPYCSXwAuReLWH
AALXnQ2997YfVZoh9Haf5CDdu0SWn7JOyBdDjUWxcxHTXD7rH29RizrI0gEPxJRMfYvbbX5se6Pw
ENDSFbccc/OURMNnSWn35gZXditiRYBtuCXByW4Kqho4ZT1N4W2dqv33EPmrmfUaheG+CmjXRTjM
qd9UhWX90KZCbu7QMU320MFXXrIKPYXe+OJAu1G4UHqthj9dhBiBmxPgzSg86lK5R368sgp8lAVd
RABSNnmlmMuRTJdef4JMwZ0zjJHhWUll7+3Oq+vQRkQ8yFkMA1ZbBljGKEwE7qBMxwqeuln4lEEL
3DkDV7YMqEeciejxm8tM5nLLKHZqqkMuSWe1ywuPQa2Dt7cy0zOq1Ue7SlQvQlj+OQQ+9vqMh+rQ
/E27AY+xvrRVI5L7GIXj2zgM0KszpOCAPLvtd+Ec7USXK6+SliyHHQUS7F3X2JNQ6weV4I1vLuoF
z81gKd9gyCU7q1yJYXQx+BVZ6jdD+/JVznEdd1IXhLeljankQalD9ZeRmg6SP2PW2EdYK9V4LkNq
nZ3a6kog+zclizkXOKk1AC0r+qa0VaAaYqBb5kRp48fTXPljIUXnV6fE5ME2wQVxWUBEqxAzKG2c
AWZDS76K8TylfigAKobxEZMj9W88FhfCMlQD+7Xpp6d9it55YIVIGoYd9ipZZN5MEFEZK8fFsGfV
dO0lMnShnAKIDPN92UR/BM+hMZxGitv4Nq253C1EmvyhDgzfjqW9Qc+1/bgUpQD2LDLWdY/GVhVh
Z+pMLVwE4QPtxekkacNfL3+pLbYaG3jQzGQsIGsYHq0eqHQaYzDJ2m6pjqpDoqXNG2Sj8F9vBu0w
JqL2mfViRZpI5iGIBwN5zunVaBh+h0UdAVE3NHiIzpcvNYqtLpEDMvNBzutzptXKSRuQVK/DdtrZ
LddeKqd7EeRTuAA2O1OKHTkpUFRNs0jc2GMyncbUjneopVffKmRkIGTMspBwWT0RDUUmoNAIbuVK
Uf2oVK1jOeeza8GF9zq5y/wBVTGvRInGbaYuf1MH+qsZTMtbhRIC4h7ttg0eMp6mPgvlKoZPW5bH
mAYIqMtycEG+ZDtv9dqpoI4ndkKKB329Ou8RVthV1zaYuo8hnmHdZLnNODZfp3YX4XB1Kaje4Oao
rTbZS21pkW5ANL+FeZ8cVKTRfG2MIUPH2quxq0isgLTkcNA8gKCy6p8sCmOakyk5RPuueQdwxvqI
OgmKCY4ZmTvF6fKGVknZAqdgOWboiGmsbliJ023pBbouUib6oyzLnTsvPGy1SaSTXFT295fP/ZXX
yHos9xuItjn2stQloSojnNNVcx6hQKyKe41y7BnMVvDa3bFQFmjmIUsPspKR7uXxLp1iVAzEBs5G
UIqDMhQquHHVcZ3SfHVfG2QNbRiG1OwNNv7SEvsjPC/T/DjIWu2sFEbAnTN0GaDjzpwOacdkfict
2gSTZTUunQX2vySUqwcLE0rPRLJVrFbJYdHLNB9mgF2vzRhYZUlMENy0FDpZS0bxxzMlNNXrrA7l
c6TK8UNjRC2CWrl5Dydw9km7EJtmqvPt5f1x7dFAwjL+IFsgWVktCmIrQBJels/gCvM7SBNAb51u
z3plkwzxaASoRXnNoXuw/lx2IlJVny3lTLPLflKLRrvPa9E+kyvo7+vakQN3ishL3Zcf7tqy0MWB
ErNDOG0rVosIcxHPcSefFa2S30hxIh/7zIiPvZnLuqekdExc1G/7emfd7bXAwy4w+IVZuiQry6n8
41OykVS9px12JnuwUhfbUyVnGGLPnxD/FINbk18EfiuDfqzicb4RishzPy2wRD68/Ao253/5TdB1
Qi0eOpOmr76vJCRjBoKqn0kB02OApOZZlYE8KHW71xm5shQgTThTrLQIDK+WKiwhYjSl9bNeV49B
bIvHVBEy6rvSnmnhdtNCNWBIwdCFMpOtdfl6lVZgkgb47oywg7kkLkYwe0aZKzsn8to6dGHRqeKx
CDarKKOOURbnsz2fjTEp7ychCn/qVdl/+RNtii6yPoaOizoyrSu4N5dPQ+u1AFypy2fUvi1m1CPm
vMdxShL1aOPo03uG6JLvzPrL6dTjhrp3OLUNUoVfACV8PhoYMuRHVr/AqCZ6F5qTcha60gu3LaDH
eGNaNKVrKiKr0AOdBkRnTUl9C33PMV0V3tMPyQidz45ZaT9kutKfg6VSdJtAyh87zEJhNEeMw11c
EpSvqTao/TdV6dq3TpMhPy53tJvOWkkZqzlF8i2NbONLpcZR7WehKbWe1Vrd18ZIAFRgoSsx0R5H
ya8ms381nYSnh/vGhbXQ39g1l6/fSNCvS2kgnLWwi9CEHEdflug4NZkxecjAdDcvf+71MQFIudD7
2LvYsOJ6tfz5H7GhzTW1sE2AN10fNR9Ic2ZPl7LKk/Ko2ivP1muhOktop9nO2AKVT3XZ4H+sFYMV
sSetGYlDCZlGGyjtY4ZUv/o4p4iYgHMbxZ1eTmBuwRBEX7hy4e8ZvaM/gYuy78fZ0nI3kRaor9B6
U/USJCHKz4keTNZjncm51wCE/IbgrBP/bIzMuZcH0cqja9eRaaK4Mhi1n6PZmPqGihnlUxuNWFIO
TdWVHsiZXPbCzAzCm4Kc4ss8ObhbVWWcieOYybbw1KpuRl9qoWR60oTEFSiULG0BCzd1eNON8vjJ
kEBve1Zu8oAiB3oBKH2oiudhGNojcJ1+egR7giUIpM7IudEH9Kyfa5U5oBuHfWp50Jb16swcMg5P
ZSda8ybDgA2DAdR47A8vf/zlKP2Z/vFBuBeAhRK4sA21VpkEWWUmcS66c2xX9lmR5C6ihxt02V2f
jHZ/0+SV+tkpozGcXnsnsTRSRtyFpBdUCWueiBlwU0iS2Z81oE6pZ0dVvADjy/ArSnxW70WxOkm3
plD0/KwISfnIaQU9k2eztWfqd+UtkLhx1KD/AUuwVmUEVeAgElH05xZpBx98feImSmL+cPSk98wq
B6gOMmUnmG/EVngBqBuC3GEqSydtrQJI6Z2qsLy789AGvAYzM50nBYRS7cvI0udeoo8JHXx668gv
jSFDijqshelLSdVGh1gJkz1E7fZ4IqPB/QJ6l6SI/788nlEB7mhIg+msI2bzFHZSAmocye25bvf6
GeurDKUn3vayAdC727bUMwIFk81hPnfQIm50AVaiMpFAeXl7X1sFvguoFpg16N2tqps8deZAUnv8
irMu9yOcT05Kk+k76fgmvVoehvDEOoDfKe9Xp8iwshgGHiE7RqnBy+Gg3ILFbA9W3Sm+mubR+1Ej
s4vrOygR5qNSFHvuRtsdvICgafguPUsHD/bLL1fi0gr+bJLPgB2Dm7ht45vaEsAXrMA6p1ozeaUJ
Muvlt7uZwS3PvXiLUmFQ7VNFXq6q9S2QX5xHzoAAlMhVAwvQGBYvNRjFYpTPfZXW+j0iPiS3KoI+
bq/L9R3CAJFwwQjFt5EVShaqcIO01wf/3Rq+jGz8bkwamFdz12yutSx0Ery6xHzOlEy9KxOaTS6b
v/5uMZia3D7t8/EUVRgXgPzTJ9utDWcuznLf6JEnjwF2sJIG4+u3mgF+zdjpqDeNINvwgIBGILGl
yoT5L6hTvCAazE+a1iKI1yDrrPidWrfPZmt2oyenUfklzpu28kbYzDhO6Xn+beD0P415hDlPsKQz
biNqGEVyKA9/9UEcw38RFvKFhghRas56LXrW8zD/IneiSg4vf8d1wrd8xoVICisQ8zYkoi8/o25W
QYy0zXxuDCV4lI3Cus+TcEw8fU6dn4WWd3/VXdA1RzQdzPcvr30lCgKQYrJGvwrVrk3uDIpJbTk/
8xmORFwerEk1/sKMstdcHQ+t0TXgLT3VSYcbPMJUPZQxkohPmUA1BECcaIyde2k5q6t9g2gZKGln
SYio1S5fhmGEUtrUQj4TsAfpUIcTLjA1GgwHjLYscGNR2gaeMulW7k860DF3kCXt28tv5UogRk+Q
BJzgBfd2fTXghFaEwdQMZxCNyTlo5ekgS2nwjkSw2gmRVyIHogXkY4vG34JVu3xevQ0Ckv15hFU7
OU+1SHOskevKG8JKvi2I/H6eJtm/X/J//Rj/T/irfP73+2z/9d/8+4+ympqYk7b613899b8a0TW/
/vHwrWr/QUD4+U3EZfHfyw/53790+SP+9RD/aMq2/Eus/6uLv8RK//lN/G/i28W/HAoRi+lN96uZ
3v5qu0z8XoDfefkv/3//8B+/fv+U91P163/++aMEGLb8NDCtxT//80fnn//zzyWL+K8/f/x//uzx
W85fOza/ih/RP05d/K1gc/z7J/6/v/Z/2TuT5biRLF2/SlvtXYbBMS16AyAiOE8iKUobmCiSmEeH
Y3r6/iIyuyqlupV1866utfWizLJMqQwyAuF+zj++f1fjf/5NOOYnvo8cqwA4YGYgIn/7j/n9tz+S
nxDdoQ5Fz8UnZx+xraYdxuw//+Z8wj+P9dZlvz5qdo7rk2JO5I+sT8dcCjSCGBzIr2Mt/tt//4A/
fWb/+Az/o9H1XZs3o+JvOz+DhxwW4PaAryjmTsSEbf387PSjSYxGMzsMJslUnmuxWWQISIi5KFDl
JMPVGgwVWZWDCZPGsvmrTZqjPsxjSbhNMrElHytI8hhjbWugNTfIW0vtND04/mrKPWhGuc8J2qt3
ZOHOZ+1o9XLHFOgHYV66Yo46FsXvCMew0I1Dlt4OCkp1D3KW9mHajUJHidVlRmib28apvG7ivJ0H
9RH4qn6eOvJBwyLpRueM/gO5RNNQt/0Oo15iHGiJEt1hKPRWRgRtJMtnvZgUr6lJLRFv/vCVRy0b
I7Pw3fu+Xex7F6FpfVavbfFGQkv/UBpB+TUwU2wC6ZT1L6k1eiw9cMvixmvm5Ww27H4Ii6xf32ur
Nay48Vvvh26t7GXUm//g2GQBxXXrbdaVTIiSivKt2RIEHY586qtgKiNZCqwaWIfrN8qL3PrZSEfX
f1bVdjRZCknYrg/1/Dg1NMBR8OuhkzA2RzeoJabKRO++5NQwrsIliYm7Pr+D1E1LvLFlPUOM25pP
MZsWO/QLLfrrUmXkuI5DuQ0H3QyU72Ev6C+IW+nfQCWNPDJWu+j3g7cSaUR8qA0amgzWuuuCrb2p
9cwWbxZK6QsGtgVfAF1bRLiRtYO/FMcnloqazs1DEjjlbdNNio/Tcusu5nossghj6fiWYQgZrnSZ
iuTcqu3hZTWE/72xZoTxWaPqkJyG9VnS5fClMuaC38Zv6n5nddLV4TL2JQmjNahiSqWZ4l7uYBeu
pdfL97Tpm/q27JU091ku2BZC5oTiaVS2kvGx0qxiMba3JbQ0721IJ0V5bWYudoScNcfeq6rT7oPn
dQO+FeEa5yxeqRmjZ2TQAL7v6Lwj7SJ7HNrC52bJzRUZXd/xPYsmdGKYIIwaifKQLq9Wm9G1t05L
rrA+rcNL3S9mvODfZsyoXf++xS4q9vbEjXhvjl1KhlRA2fG5rOT8MYxJQIGfKrLsOwfY6PMlSGzv
slbGwBCymmMSM9Mif8Bh5Sb7pq4FAQtE25f4bpbGZfaoaAExIawCZrQmGbHA9iADZZGmxWFL2/zF
aNzsvUc4UUaN6xHDR9GI04aDbc81n5Xdni1O2twTEC+XvV31HU9TyfMe557cxhh3ifR33dL4NpWc
85TFgl3/Q5QpPlqzGIUbB4VvqSt3yprvnql6dnVpD5/L2ZYCCelwNBGj5dyiRgeyv9ZZOy47q+4S
okdTI8OX0Vr6Audc22HAddO9aXVGfraIpj4shYOnIauM6X5r++Sly9LhiLOM/k1tqGSIOfnGY1Ri
VseM3OVjmgYIjCZr8b6kSEYeOuod7oxVDDhQsOqDFOk25sfJdMw00/bxUNezG9Ht02q+tL37jROS
hOBRLd8TZ/X9cz/QaRVxUvd1CJ3EnJ6USUOrMgEKO7x+fDfTppjv1qoz7bA2dYIpai1LJsUB4ija
hBMkPKIzmcPknTFu5kXjnWEELFdWR4ASGgo0pYsYvtGH2hPJgrshn7zf1/m/dKP/y9v5pxv9//Le
///wRjcNJuN/faUf9PrLXX76C/99mbufWKnBodmUkJkTj/H3y9w1P9E+wOpGbAYVOH+8zP1PgL3H
EHObI4jgOJd7/vfL3PzEXwCFMrBF0iKP+fqvXOao9n4afLnMkZ7Al9n4LI8nlfxlC8Bo67tlgx8n
WyY6GHNcbE2kSgx40bC4SRA2tHB/mzZTPm1dRmdT4wdFHjlbzzY3g2t9ngFF+3A1S/ubynxuEmtI
AC2yRjyu5Wa/zVtHYahKm4veSLoHGl05mkexzOzGol+wqpkkKaCHSR/aRILYUpVS3ms9OlemTDy0
I8vgPC8l1puw2xooZXo8Z/RNcpVVWJWm4gfeUuPznCIDZR0t0hfFwnSTZ3lux2pOzHFvjCm/kZeU
6gWAgro/yYLD3bAY3vcB3Pm+75JpCjPyKd5TlW1ZOLQpueHzUg5kr8+jE4pBqe+DkTHUrEPNeua4
ypcUuzTeZW8lBCDXlhjTuKtqdwwHyYvtTKvlK+rOZvoVC4i+nkba88LED3A6TWm93mcmURgHN5vV
RW34Qsd1PYnbYctltVfeCBJk9UFDXIWngbVrHThT3GClSo6fS+2cd5thnaUph/ANpV5yC2nI8r6a
zpikoFdpJ+JElUF2LubGqUPtTYXDez83KZEpU+5Qnzmo7DACEJ91cETOuT07n8t2Sh4EizQzmyL0
JOyq0XwAGU6ruCdz4Fry86XxPJLoFKW2tz2lA/xd6BqZf24QcCjCAq0KKKlI1jUUMrMKINuR+MOq
FsGrOyx2FnWuM76aC9hoaJdmN51ZRu18dsZ8xScoqulxLitvCk2p1j1am57+2azwI0s7F3lT0ik2
5wmR8zrorjkJHSeG0uI5XoRnfvjCxlEGOryQuNibSvFuYyYJyU0Tx5vPQv5A8TqKPG+a7C5qV2Hc
Flqub7Zq2/dpc42Ppd2MW3dYt/6AjMjuQmyiU83sgAx1V5YV4ZpAmSMfWb/mr5k7w6gN1rZuISaD
6du0JN03BBhZGq3aYTBtVkpWK0yMMtyc+XozFkGYsmq4fGa/8MfQ2obhWzEjvMXvzfzcWlO+NyXe
pR2pPe6FQ/R0EHtr4m3hlmaW3NV9jQ2VCJRueF1FUt0kiC307thbda7RYPNGTlUtd6tjOc7BszAV
hoarrS0GV780C7tOdty53aM0atuPGhCaLCwsinWiJZ8ag17hst4ObKM0s5EUW5x7aLLXyKXG14x8
sfmvXbOZbkTPrWlRgmC27s0iLE0JU7HNt6bZtwyeqa7eRtNXw+UQeNlV51b2EkpjWYyD6XZrDqi/
wYR2G58Fg0/bfRh1k72XVpW85KrdvouWjz6ySBX/2lTa4LMzZPeVyCgMlG1aEBJizAyDoVE4dRH2
W5DX0ZpkyyO2UKcgr8SabqYuy3LUKKb+Bo9mfydVcBWA9Fkxoi5smDq3TXz3tOPY8VFM+XZ0JXoh
bkv1mG+1N57bHH+UWKixJ1awNu95xmzcJFZHGuI2tmWxSxQsbuSvgQD1sd382U+MvIlGAB8/HHrD
Svfay6goalqr05ej7ALzQhvdvNzQp7nQ2zx7fh4ly6THC8iZIxxCahOOXcfMskhboqojUW3gMW2f
lXYWjuQsGE4si4JDLiGWfIkB/vXlbACn3zidyr3dkCkD8+BYeus1DsNUgjenxqso8NDRpZslPhVw
G6zKlhtmEePiWZbb3vHb4qy3O6O8ap2hhXN0O+dOV2Id79tNGfBFqsESnqzIKR+kKTLrYsjW1rgQ
mMyTi0HXDlV8W+6aGhs0aQXAZB7SLxEGhA+pnVq18eRtszvE67YKETXSm+mb5l2HEcgIGL+x/HQd
nkFgx+q9rMolC9mZ/XlPE83URWiX/fVQpppgAnOt5Bc/q/07xbOoQga3hm/mYpmvqdOK15rvPaXO
CZ8VnvV8NmLTr8fHmfdmiyvZN8G+6JW37IXM3SVWZBDdOAZpTKpJtpe8qBMducRcX28m4+Eh8aeJ
HXL1RR/NhLb+IN5l++Eo1NNtXxbfun7xcMW65peEL/QPs5vh1+YxYKHi0PGGeC43782bZ/1kO2lr
YA6c6pHaKLzkoaa1rQg7o/CHeFAJjiVsmf4XeyKA9NIdhKcias8YeHuqG3esYBvm2Z4jR8/M3iEd
P5w21KbZW1ysW0syb2AsG/elW1zhadWfLbeR69msOucZ02k1R8Wi1yerq3j20Demaaj6VJL2MJOB
EOYjUpt9WRNQFbeGzxtIUzDLn5njeGZ5S8psb04W2GWZLd4c6aTXz0RuSjvC/SiT0DF1XoQV3WPE
kMx28ZR7s/Ijsi56SqtIEyNGH994GhZBUl5tQc3vw3ns7qB2Nx6zvLW+sXd1tLpwoExc/2U17Qv6
kL+5qVN/eGmQNFFbud2wF9ouvjZtuzw7VuHosEsM93X0u/EREMziBsVUWIeVpVDnrMuofnitCM6n
MVBvfr6Wd0GvkczNyCaamOSBAA9u5lT3KxxJuxy4bYPGuGxYNJ51gacnUunYo50aRfCBS3r9oKAo
+DBlZ3A61fImtzcal+pyULdOI+qzLlnba1Uv40vj91UW2+ZIMxtF6Hiv18LoQy1N6zzHde2dsQzY
TtQk/nBVjXZK3W5OAufOMxpLx+ZWjWcJzn69MzeW4SjzV9EAU9rGmzsv2xovXSbbs9WhzTy2ydE8
JzIwKEO7sKxHn/3+EW1gGuyttWgLwMyCqndgRmaupfAfR5U0bpQH5WCTdduINmKzM4573/QS0L5k
71J3KPOwUbadh+CZ2w2aDFPHSmt1TtKAL8O8q4obLdNquqnrAtO5U9TpEzeKUZ4XQWk+e15vzZGN
8XifKVdV4SKMUcZr5tMzY3t6tffW0lRi1zSD+zTajaEO5JXLl8HLqiW27ax83AqjuyvcOU+xvQtD
hQSYV1cc6my/gZyokS7TN6bZ9bXSRfvN30qWeG88fnR4ki1+So+POuI77w2h2XWKr7mbjHcwKNmT
WirShXE5bRiJvdUwokSU5eNc6KSMcci6X2GxtssmzZ1+79hzEFx03ki21DAno3mu8oRKrKPb+bmv
p/YuDda2Pmu7agG0MTMVI07tLs1Ez1k8yAZD/gD33+Le6b1zxBaTRbI2RiISHYoqtlXhXmxNWm+R
zm2IJZUpoAye4ZJLE7bLDnXaJQffnjgbN9i33UaFR7pPu2Vs6EhdzBdmBNR3umVIjP0+UF+y0RUT
OJeeyhAgAVEHWQygcXZO+/dZkKi8iASd617cDFvwsDYb7iI4oflRFqTdtpTgHCUDTTLQ/WNlX6iy
nd99r6jSuKGWY6Pg3SHIpmxFflnKOrvXvQJuSOfZe6y7wmxD7vj0Jh98rKGm0a1AiNhCrVBUC3/b
77LgBsEWwQ0FX7PG1uLFboRnnxWCEoCo1RQZi7nsM1CU1TnqnORTMRXs9/Ow8h9oHZXcTrbFzzA3
SQAVtZqpFc72bJdRoDMj/X+AuP/HL8T+ny7EnzUHEWj3H+FtCDn+7+/4tv0JfPooVkY1SdqW/wd8
2/8EF89JwZOP3Pa09/6Ob7ufDPBm8xjsCr9nIMf9w0pMTTf/PswJMVcWRNZfgLd/q/37BxXERgwf
hSqcXFAbiJt15md4O7WswS2IaAi3LjfZfQjtHfdEg7RDWFWun+19s+pu3dYgJoRSpvlL7TbLpZMm
sxWqsiiSM1mY6XMG+piFKlfNFpayKq3IXMx6X9f18R+PM/auYNnZF1NWOyggKrFvhp5UxpoU0m+F
2Hqgq8rT9sH3VD6FME/GEiezU1+uKCi/y0WzFxKhQyAP3c6UFpUWkTwxzI5lRfbKEhcFRZJZRIaT
nxisPo2ja5e2csdVNhwaLWa+tblKkT1YG8r70WUZAluqPS+qiNp8ZchZxnhuNxye2nXL7jxVnhbh
ZKwVM3hz3NNlkm9BOKbOWu8gvyvcmG1BagqIw4Yrr8q8H2w02XMj5nnbG8NYL5GZLcG9JGnpQ2qd
Ep47q6fBbvl1Aj+1vww6zR4sqjzMsB91vdO2xWw0ncAx6LDmtmh8IDM1gNuHPsN1FZE4mfjnlFIu
34egIFGQpOdved505P8W2QJ5i0KsR+NR5DoGjpjauDxid+YRxQu22YIoSZMHkiu9Ly3rShlmRVk9
MvMAAhoq149cPseLFGfITX8CDG0iVV/yI4pIVTN5M0E61YeuM0xCEY+II0wqaCaovr4YJgR8oRU0
wowT9MELJ7Pp9tfSF0CY+QnOVEEKtMnQNHz2T4BnL6bme3KCQa0TJJpWR3g0nUFKixNo2p8A1P4E
phYnYPV4uLLSwmDIUJ/A1/WIw4IAt2cTH2YdEeoAUFtMc0+J7QnA9e0ufzeOqG51AnjXNUf5srmp
QPd0AoHdEyCc0JfghuoEFG/AsH1onABkvkeAyckASEngzRFk3sbNYfodWpCDJTW5ihtTCywfJBV9
1L5cxDmxmSkUiL815OZQsy4Qw1bBPVn7gNwMapA2UgwvSzXiaTNlZRTnbjIkn0fyuhMVSxRX1hN0
j9O/0jjsFpertU2fGbMn/0sjHcqjvdx108h0RLec9YNIPuu6JOpaC9CT0JD4hcKceqXuQbgsd0xA
goksMtwcwilDJHYzJT0LPe7CdAylqrzs0LAwF1ezNc/XJhYLTWqPAQPFCFir2NKtWe7oRd3Gu8RA
JBB3jjUy2RpqEgyxDBhr6LYZuRm5KopmP/YFyEKzFqa+mFIHzNwQLcBRWZOaCUHgpIw0ZTpdKazq
HZNHr/uIzJ2i2Dm/rZwu7AQ/oGvcm23Wf6asoMx2fSmd8Vw4i3p0TwvsWI+w+fOxqYmpS3yvjrtu
gJthDFumYcGbyTYsaR7/Nv+2Ii/pfANWwOK8HHfo7rROG7RrFaEB9iCYFI4rdwa4zj9bffd1gGjr
I8tX7lfsyKzqveOs36vj/m5Ydvrem7L9oE1A22FXOCR8Wae1vx3b2Tj0JzhAHZEBp+qG4RJ/VflG
3EnDu3dCEUgGgsBJ3dq96U9AQ3sCHYj49l+dExRhp56PTFJVVXGeMt3e9wFO/0NQmEj7bIc4j4hW
NMCNln4MPxItmEe3bEQiUqR7iaHXRNs+eeUWLieoBHtjJXc0HwKhrEc0JTgBK33b1TfOCW6pTtDL
eoJhgtT3qPD2vKTe9bL0LuYSZ/wuy9pJ7DjcInRCgDrmEd9h9ODf9eXQi2g9QUArYFB5goXIBDHO
CKw6gkV+AnCkjxhSeUSTdIuyhmVrWJCFHPGmZAq0jgE8gKHaEyS1+DXwVHCCqtaiX/uDPwxrCZBZ
9F9IaATWcpvtrTlCXTbyzy5SJwRsPaFhxqJAxqAlQMn0hJQoDE7oGcgcNUBVrswPZ3Y0IMQJa6MS
MLsfg9X5llfJyhJqX1Re40dBXwLTZgVlJvO6uEyp0zo9kggCqKeVKz9bJ6jPOMF+o9HqV7JbrSwq
j7hgfoIISesALgzyDb2OwLAGXneCFNe898+tKTGBTiE6nqcT/GifoMjuiEoy2wJQzkPNhivQnYTJ
CcKUdlK/uAm/3zllPMFZaa5jdhDZCf48QaHjCRY1YZsexToZXyZXHEGhhjEA6pU8q3uJuCsU9do9
pE1tOLsEPAa6bnKJfKXuslsj5EXl78aB/2VX/iB8OEl//jW7cvc+6J8HScax3wdJ1//EqEZMJMMY
RSXIG/7OrfhwKzxz9BM6PuZa5K5/F0oI4xOKZxSfxFMTmkGQhMEf/s6uCNP/dIyutsi2IPMysDDZ
/IVhkkn2j6qio776N+8rdC/m7F8jcTInIUB8KNJdb8AokLW1HVyz/HeGp58pHCxcx1ch+ANBCB05
/Eo/D6xDN1uATmm6I4cY2N4/dEH+HSjmWrZZEOfldCfs9uMPHNfvqpA/qkCOQ/A/huTfXhO9CYY1
Tq6jpPXn12z8jqU8UyKek9XZGSIRD6lP4aujtu8LMO710jCF/vlr8rH802v6RA3DlcGo/ZPeEvlI
utJshf5e5F/MIBuhudMthEWr9n/+Sv+nd5QBlVw0Yt54iI4KmD8I1s3WoXHVH0W8Lmp+bhtDxHZq
VFAs5EuuTWKe2cY87te6qc7//JX/6Xfk9bDKYMHFF05CzS+fZbAVNFhKq99NhT8ZcStH83PdonWN
y8TK/mK3HeY/GEnsolQ1u7jEf81mcGB/UmXKYYcOiUafXE372vSysz//nf7pW3B8Ff5HNBSdjthl
fn43x9VbuZfdYafhra79BtwLsLjb/bVXITPXwu3DN+2onUPU/fOr2E2HViNPhl01NutdMFlib5lu
8xefweOrsLYeKzigTPD+/PwqHce+aqpU7fS42QxQ5vy5tRP3ouvN5PCXfyGajUmvMI6dCsTh/vxS
pe2MDtCK2q1EvURBarfhXE//znbz64fDL0Q2APZF3je8kr/2bgykOmk/79Sum00vxgkAq7tu6V//
cHD2GJYB141A93ji/vELVQ2qLTFRqN0sGIRUXaBq0H77F1+Fg4Gz/iih5GBHpPPLobQ6hWQqKwDG
+6A4Q+G1gNSPopf/5ng4fv3/ePjR9kJhw/FwOKYhUdr482/DhzBMOiAE2TPUsmMtV2eWMMqvqfQT
KLdSNnd//ij8Kpc9+hWBNiSwCc8seuVfJHdZ3TZ6mnyS7qllYQC0jVibotwTSFRcoOT9nso6OGxj
Zu4IBVWX1N/lV96crv/mNz+qA3755bGe8rxwO4LBYA/1f3mTlfS2yZvqaTenliTxVrXTEIpp85rz
rqi7DotNR3JILPNCWvu5HIL6OaFs2b8fE+JQD6Ka0/fVYKW6sKp+Udf9AjLwwlQtx7tWQstcBEpk
IKd2PXC8a7DCHPbYGh7EUhZ5DDwzp1Hdym04q4q5u1NmSXh6M3fDldFONRgwTYio46yufETwIOuz
zFWedSCDXxPmueZ+Fh/7dcddMWrXiw3WHspEpjwwUQvM6xubfrHtpjHZ5EuKRXHpwsyt80sjZbp/
mB2h1ktVpsulLpw5CA1vrKeIkvQZWdHaUfFgkjJWikvEQ6N/hU6hdOI0FZoagJb1qQqOq6ZyjPaJ
3Jyc9cBQ3S7AQozSQBb5ZdGsQxGXVHE+Ek4Ljz4n6XqVjLbRvTV+XXuhr49fWbfMvSKqpoSShU2b
LUajKsOz0VZjDXa84JTb2bP2vihvkF1sWePg74S7GPIYl2T7oSOVcwc4RTaxNwh5KbnpEIxtuixi
wxnlvhWKNaRJbSs7ZsayCdi5Ba2iyLBx4sa0NmRXavEejNpjXVPL8b+CD88fdnA/64fYhiCLDZk3
6P1Von4UYz8DedSZTneOsaTfMlMFD2AQ9jeRzV6D/GtFh7HIkjDuQs7GfDBKC+IoL8x5uVddN39V
INofG/b15xZ64UX3cview3cmcZ3PiR0lIDgKUHtxXwhM9dOwTwLU/Z1U3pU7BJAglvDFLa7O7kc5
dXZ2VpB4Q4Y0ZD8hCeggEIYUhbpI0ZbCUHkuD2PS8liHXpmpvb22KCcmCyBFpJ5xM/Tu8Kwa5D8H
zGkIQxBIdka0FElwgHV2bbohugRdJjeFE3bLlJewsVl9EGXhfRvTvHthtXC/zDa1UfWdP7mYAe9x
I6vtWgdmqzVp61ZzyAnEYCHJrOCBj8ySse3goECKkGIkaAL68dxSd/OuFmrawnxerOKS4OqpOgwe
ZXH7cig11U2jzzaM26wHjNKKnW1OHe+WQEhphxXkKUHQK3DKVZqRYnY9DWY5Jl9LapJu03SZWcRl
6r5tVsUGPR5ddMSMsZr6hA4JCj/66Rup2g6kTUcOG6LY7QgOeUQmJNPcfMbp1VcwHEl3S1o4C3k3
moDwVobeLTLNbHrElkVQ9UD25mMJKuqcL7Yub7KhliRZs633+6pq+vLann1JneuELsQcF9PAZJNh
XhADGWI7crsKN9LQdXacNZlzbdW1+e7l3UaWD8qci5nwnyoKMo9eWIeYQTQYAQxihAsA2OS6L0xT
RD5dJFtoJqY37xHyJLHILaSvbtMcS08zkanIyB370qPQodsp6uz6XUCPFRoK4a9OWBvN2ke6EePH
LMkyjlYOmWJnNE4wXWSON11N09CvFyjBWh7KWZD031pD+rbiWJmHnTkY8trpuuy15Spbw2b0caCs
zuK8aznVz/YgVXoYtCW/rr7MvpUIcZ83c7S/VtvSe4ck7RwTDUftFjEqx+Uz2mET23chYAM31ZoH
fy2YLYy8rZqdQ4GgQ7mNJ79Ws72+zmvfPvgZiHZMh9vYAzMs6HFSIkypDlITAIndWsmjYQe5dQWN
uk5Rl5UIE3mHjR+tVH2/02nNl6fiW0HVXUo5Tejmyv1gQavgNoepr84SidI4rJ3U68+dSdtnE7If
jos6679UyisyUsVnUOO1k+37QJzR5UYGjxnaa2B+dbAFvtRDuQR0qgKL0etDvWyk05yU0YIsPOpR
7VJm58RZywPPsiehw/vl+2bMyowqi/zt0Fn1pC61bawPflP6H0GDYpWjmCkgqrJ8E3E6Vd0reRLO
myhKQfiCFO691Y9OCld81GGkwVFYNHEH7YAvld7l7ZTdBaaFPode5Q2kvQQXD2csPa+4O0UeST8P
cr4bWs87Kn/MYdcmZvk54ZlPgS4sMR3yAcyXzqRW15cdSqBbUtNzkvZst4U/zypd7ZJs6D/MLCf5
xJFpu/dGLyeibsl7NKrkCt3bTjffVMiLf4zLBFcqBp8koW71VyjnYfg+k3x2zEkuxOORN35ZMj0i
+U0sHn2KPu23lDtoPa+M1WhQzdeILbq1Xp39KjtziBrbaFAL65Hzskw3OcCuZsXdVDWkeOKJM+8N
dINdiHRe9Ej0rXGGDiy6B3DCHmWDkWETS5ql+qDlKFjDimTzBjZbrFdK25O3t1j67q0RXQLSvgC/
Gaar1TlzZdZ98fMFOSCRblCWvRjz5woWEmLPa6EwstVeP6QayO/XjW6HK9nUiXUmAJpThISwP7E7
GDArbuuV/aVic3mgzoev9jq4Hh2JwqXoNVubW3MsYVDrta7uA1s7blSPle1e95XtCQoc4c6hYc3p
EnkeoDnSkeR+4YobOWu1cT1gp5BhXybqiTMHspaLPbgpcAEYkeFN7ju6oPkA8qneXXuDo6zWipyg
lF6Bz4Tab16YVdiPrr0gW1TYDkkbhKuaxTc6YbcXbXgbkRwSTzvN2vJW9sTQ73Dvc7P4WXW+bhP3
VOOaxCWiIiIkh8oUHSPPGBPe0FF+QT5m/dhgs850JXUTdaVlPbcrGvdoG3JxS9WtC86c29m7ZIS/
ZQwwXiUu1p7QeYe2aeiZ1Ym7RBqvJgr6O9qV+3dmO0micuqMTyLpK2R4iaGurZRI8x3J9MkW9xMq
FsRa0kbFnohHUZu1eR5Yc3elB2+rInjx6XWr/bmPtUUgbKhgtc6B5f0iXryRwa/0ZRGOYzCWzMRU
BDbpZCXctkn5wIK5bVRXdfIzXDKWvSTZWkSDJCIzPrkCcpj4MqeJu26qqxCfGh4Edw6KczLXDYSw
CPMIqlkKnlePOqW7yuOEi5iy3G63yaB8LEiZqaISduK1tsyaRulEmXfHji8RoXtNfJq05k3ioCiQ
v1jHiMF4w3jwhOXPvx4kAQQHQtCTaidrZfaPeqMFJCpqI9Fngrkh3/FRqTWUdTK58EbKQtszITNn
kO2aZScnuhW4hnyMLmmp8jp2WloKdlIKTTindruMRGX0h2EwDrJn8MBKThyCWp7RbHajhZkx6Wuw
V7yqxwSS2YW7sRvn6+iPxi2ZgqTE+XPBILZqijU5cEvxahhdL2m4mOsnPdQB5BfdcuHSm42KDdea
7rw6NalOAnaayKIt2z2BU9uwG4iALPZNtmTt3ii3FNKyL5GnsjeZRjgHU3vtQ5JYsU1HxI9+yBBc
ulZfFwzKq+BGnbHDcLsHxxaJLqjfem/SWzR1Ur7RrrWht+9BIcLWZ4zaKXf2PPwgApWWXMCc93K0
tYHQTI0sFmnRrfuy770H5jmNrKNv8qeJ7aDftT5xPrKtE3iodFmbEJKz+YE/YrgSxMa0ceF4Q4X2
t83eEdo0t1M7qBeDdIMn3rX6vc+73orSItk6KNuse91UNjygUKJxhWJ65uC8aoJvLeWaLVkAg6Il
bbWDG7YfY4wooW0oL8sLa0JGeKSMLLnALiX2SEAZXFLzNE1r/Wh44G5hYPTec1L71RvVsrV7FHb0
58EEuYDGbXSqc1hZl2Ozmvk9cs6ma+u/2Duv5biRtE1fESYAJOwpgDIsFr3nCYIUSXjvcfX7QL0z
Qxa1rNV/tAcb3aGWmiKzMpHI/MxrulrWHS1MzJuyCkPFKaUKKIkuRekMIMbPn5VaG0DEdSNkQK0G
t+40Smq/pjT0O9dOeyAzRdyNd7xfckKck48fITxVfQPpunkxRDpYriB744hNaHuuq2qI96I2M07K
ZJxCkF3x9FJ2g9U7wxx3T3Nl1Y9mWEOxwCd+egtGGUeSMLeUs1xJsG0R6nSrx+WgObIOdf60bUEu
rvI+sN6spMp2QsOQgdtI7Z47fcp1TrXA30tNkl4Eky5uNbscLpCB6AxXMePqMgxaLjhBi4C4mjx0
i8JX9mEHOFu4Ut/g3ALccXwIC9sXTpTPGrBekdNfL/tG/OrYCWQjEdIwjgmg8yUKEulCKtL+rQ4J
Apy2ywlo+yzmgdFb11eo/2TEbkM93E55Z9728fJmZrEUflikqzejgvnprpnA/hCKDxqpi221kTe1
2G54k5LltQOuJr+KQen6K6w8RmA/AW4RbjYg4JFXfv6aWFNfcq4Z9HVjvaDtk8gTuglKWSigx3M/
n9xQMvNfetIlCv232iJiMlp5BMMQEIfo8OteYHKDkpQsFFWEFNUNF+c8aataz8yM5wnc2fGj0t5N
g0kQEUfRfGpYeK44iEdYv+Cgy7VTpUpNvq6kMhKJNco7Jpi3Rz0dwukURVJNhq0kdeoq6e0+d+pe
YSMYZZuDeLQs5Q6BX+MKSBp2NjGfKfEKrGmeShCD73YlOoJBFIgvuFHGcs1BnV2EVT09zSD17kyx
2Pip2Rh9+HVVl6t+zNtfom2D964fketI8jlvPSuQIqz3jKH6mFjS0Ol7wyy4vwyuzFrVbgZA6aFb
50WwBVmnhK5lTv0zJfjwoaNzHC80LarsTW6Hios8iKFy6th+tDY6EFmeH9ti3wJmjVxMHMnYIAXS
ygIpZw87JKnLEdUL+pVOGOEF4Ni5QcmibmFcrAwud7TDjAwYZ1rQUObd7UCLqg1MMq+emv6GOifs
rEqRuJ6HUSGJE1XZFE7vNzovMpsh2dZWFgxrc4QOeJ9IQdB4dNDk1A2GhN4j9mnmu0mGcyWb0fgu
SWXcuHA1UXSHTDGjR5IHMjyKVBtnp48y4MdVb2ixq9dz/OxXMCa0uKmAJhudUjuNasWGRyPcFm5Q
wi5cFSIEkAWnD85fb7ZpBv4QQnW5j+xGnEHq8++02B9ycdsqlW+od2bQyrM3dL1d4+zejVZo3c4t
FklX1CBCARksb+OVyVcfzApPwzAJg4Cbo65eEZCBHAfOCKEOupZciDh9VrobpVG7lYuhHL0xVEbw
YZNFabOsC23caXFpRCvDaGFF5nRweRvh6f0y1BhzpBiK3UTbL85hm4Y5v9r9QiOwo1E+k4qpupfk
CqkQtZyKe3C12k3cZJbutsha1vgy+9HDmIS1TV2wmPZ9XI8fqi2pb22cc9GpU0oOhJsksghlQ6pP
rzROE+KZhZyZKgPSIypYN9vNjGS4bBEAQAQFLG6ZhfVlOglkQIOus8NNhk3H49hJerKSsZQM2DBU
i13IK5Dj03oKtRXHgM09G3VpfhLgLlc9KnFnyXsUD/RoVWjZxAnYgHVfTabCk3JU/EYXRiikTc4O
DQE4eU3VZOBoSemJCnJC34qRCcj9vvZmGs643sthX3eObmW+trG6cByB5ugoBUO/CKyPPOXWc4tC
QASo4tDaDeVg17djBDvuPM5FYXl6OqZUNWG5N+3Ony29u63DYYQtMooRG6o5oQLolHardVf5iLbH
aTmaYbsPp6yvI2RTAO2f2+nMpnSKsjd837FLrZTu69acmysB72R4BptgpOdBObS9vx5UKJEbLUS2
01M6lm/V+UNNSZOXtiWayZPAQuwpD+2pxgA2n6Orsmkt6Appa9pg+IVCetlOtk03qgUkwTUpAfqt
sr0CiwFwEsR7UPwe5J2mAPcBwJj6htpQ1oKyZEwQOAk5ydrexq62A3lNw6lmyWSIQGJtaXOZkkaL
0cZuNJHqcF3NSwoiA0B7D1W5PkM9WOdYq8BgrZRukPRfNM21eTN1sENXY+EX0DkHQV1SjzST5JtZ
5BRr0AOeWhnbWLKEO47DGAipNGsTGixt0oW9cOuSs1Rh6RM9e7OGPjKpe045xcIWbbP3DCM+DhTK
aDkMkty001NZrWJWDasuWkdxw0L8iswGo9UcMWX0SEeOmWo/WkE13Op9ocPG9QGTiMsuR8GFmhlM
cdjNihIIxYF1IKGSNEhaHt1wbzXJPYRryAlJaMwhtC29iu8myVaLjS8qqzpNal2Prsd4nBRHMUYB
AA0jM+t0LKZ5JJ8EkJwlsEFoA3h5LhfqBEtHKwzhdYRzyLlXVauYW1EYkjhJ6LKorp7ZmfqYATi6
pttTCHU1NsJOo02g13EynkxKMyrzqu2NMbA2Uae0EgIfTRQIysbIrnQ+5WQSJjN1hdy0wLrx/eSw
dcayTOv9YIKXITiWdER9Vwhedc28MsyMhvQ/3ar/DyD4BCBAR/hTM2URdPiiuHAHWrB7mT5jCH5/
x3/BqIsGE5JEFjL4xm/Xmn+LLVj/QpKShiJaJHwLEvn/xRAIQAQWFQIcPuiAL9ba/4UQCO1ffA/9
oX//UONvIARLZ+xTrwlcA2pRMnIP+C7R/TEOuoAgwnpNGyjkz1kuPzUpbogd7ItbIrewPtLcPGh7
/zMWKFvBjAlnDoWgALhHIqoSsTJzs6HhjCxAry5mkAnqDR0NjJskhtKs1+H8D2z6izDIZzjBQRfy
n5EZE1IrYqooGn3tqFmjACGvAvNOgqoAtQ1KvczEkUH+uJToTyHUirqGetjVz7SuFUnBIJFu3TQW
rol+f5YclUdaPuu3J/ZpmIMnpvRFM4HAENQa+ui8ywPLGapaui3xcuQa85sOQxCaI5R1OlTu0uQh
miGCjl1wRMxe/ePzRD8EVS9No4l80DUcCCdCa+B5Di4oOK9xizPJjTbcCRuFX6neDWtyAQeHNJe4
+GpwLTd7JePewfo4sY7srj8+40+fZvn6J1AFZ29kwJIXq34ICg+E4F4aR+0vnzEpF+ZkqNrxgLGn
sRbcyqdBNG0aBozJxQpqhb6mFpyeA2sQaAaMxfbTOXL5zxP9ac+aBjAU+qB0ZgE3wMc+GErgX662
nPj0AEAqJ1wsYdua3s+jCOtw2zKOaQJoYM+C1eC1/DoOPu9zCXmNm6WmpeRo0hTOWxUXI1zJKTXm
G63vwnBTRkJ7Fepgz6gx+LhXgsm2VUq9ZCj9CVATKhr6gAOZQ3ztlxvZz8bkCksFqF6UYWXtQk9R
YACOXAJCp20HHJvsWNHdCaXl5rROoxGgL2hU2jN5aRRXUK1a3aVZJGM9GlOgdU0pVa0z7NaD7CRO
oEUmUTGdW6F5BVlrD8ocrHlayZRwpKTCIc8ORmU95GaveYMFBc0c2gIyaV9pljfCrU230fLrpkyi
xt6G9VjGN+hWlnQOhqqltFZVhe1JZW7fQzrz/YtOkMxuaJrpKjoIeo8JkgST5VdGGk/iOZTKE8w5
+Mm4R2IcHYDja8H1EStaCmqYXmhj8VwHeRNvWg3jTzfPrKBZz7i2qa6c1Rj6SGZBYBqHEhUOCpZr
+EtWCN3dF5TOFVRthBW1J2OWZhgkzZJ0RgWXYCwpWutNwzpUucCnAyiv3Qat6oy9X9APS5WoW+md
LJ1FdMCrzQDmc1oNRmq9ISA/Cmtj2qN1GkgT87XNCcqUJCwQCMnYpi8C0FC3qgnNJnxkR5CdSdpU
M9kOJINsaHLJxSZMuVRrld6AYUzWZZU3+WU7CPOKnoiBHW0j8JkFbn1t9yHByRDaUN6jBHC4C8Nz
7j0hTc1HOBLdeARc5BX1CJfBKbVwuEW6UqcxZQwzTa/QtMhtlapWnL5U01/cnxShBqWvniItbzO3
IeO6zQLJyhECl1Fw9YPoHAAD9oy8sHRcwzKczFVp4shMdTdInzQ7x0iUeFii3yJZ5UdCq/as8iP/
V0BF+TLM5rlyECIIahdgdn8xTGX+MKUyB2xQBsEFhClqiCbNnavGNmDSi7yBJWVio3Az9m31Bhky
Kk8mfxipylVSrS0JT/gwV6Mfe8iCFNAOI9iijoaS4HlLiRs95cpq9/QootTtjaa/UjuR0ucR03Au
AmQ9XK2HbFmrCcWcgAz1DuKifUJhFtqCmppUWwGQ69wLskS7dsqAhktRL19NYdbpzhzX2HdFQU7N
A2YyfOuEjX6hSnU0U2QxJfDiaV05GM0KGvKJIt7oM/TyaWFnJKqaNT/TvcHbgG1mXQxVT4WFwtcA
Bt5M5WfDzpGElrsIo64iL7Vr2+95L32abB8FrY+Xdp4As9igh2WH1Y8vcr+c7thS6VsYwIT2QJeg
YRNOcVmhm2kr5xDdWCZEWZXrhjNEcbSZx+BW0N4Mdy4a48zXM42Y2BDt49Rb2VnZTrjxRuyY6ywf
0RhGqjF7z0VolU6NOQT7lsYmZPJJLrm38ko1tloVZ6eIa85Yo2txqm8TlZfb0YuySjxFRdZhBQR7
hvReD00GZ7rrUhoxaYWT6jwlnYstWvGMzAG9m1DR+8sRTNfopZZVvcuyBNIcqBz6bpOkjHuS8lTf
R0nVNk4aDtG0NiMTBWv4sba2GnRw9KvK8HXNyXsQLA7EC328KuMyx823KyaKi1lZ+Z5aoGO785uy
riH/V3UPSxcYxkab4dLuFTi99/acdVCwkWW4CRvKUhu4lXLo+hEOQm6lCD3Fozqu57MFfX85g6BT
YT3jzu7gj3uhB11crnQFCvM281FeWs1lo4PJ97sq3srTVMG0rNNRbLXCXB6Y3MKPDgytbFyIuVTz
Rju0b3rKQiiARxL6CLmcy8bGqIeYY7A2JKj2mTL2G9UO6ElRT/cHl94czBaQQGG7Gq0ugbJEF29G
N7GU5aWPhrJH2yGlurYSurirJJK7agsqBgJhopv0scJ0uDbqMoL47euqOAVYEA6ekYK85CIIU2ub
ax1BGuJL+uWoDjW6TeYo9FUoI1XlznlUVZ5S8OHXmV6o0qnSqXpNebXoaTGZnKixUpd3BJiBtrLC
vj+HZ4a5SIC8nbUCEgkwpgBJLIMbXMBviRLZoUuJWKlcQ44Nda8nBXAWOJMpJGM5FOmqLGK1vTVo
XAweF6d40Ef43lttHEYbPonPgqEKUo3rJVVHXgwfvsHh/dILjD4VuhYAjvwehYZISKuukITs6B0N
FEex2/iMY5VGsVWXxok2qdBC4JTcKGYZwX7HY/MmjRM6a7Wv5gSNMGY89KMQw27xfEIsVlHTOt5b
Vj98lE1ipl6dxZTyM+5zkusZr+2NGYEb2KUgaDUsebLFap25kaTmpvoQMs+LKVGNR3TGy2kvhVJT
cJJJoF/A04t9JZqQYzAy22Rd+4n2j5vtX6Ws/5daQV/0hf6PpMtl5P8IC/6/oRGI8O2nIPBbynr/
nr/P3Xv68jVp5Xv+nbTa/7JwEls0e2gSq0gE/gf4bop/Cc1ExwcM5G9AJ1/63wxKRf8XKQBjk1Gy
rwH//idnlf+Fm+KiIItTGc6bKio7f5OzLuj6TymQjjEh6TQcSswo4XOSVR+ErIh0ZJRKfe/+AhCB
8/YcOZeRcxE456Fzfvm+udt9PL7tbj4t0p/i8QV7+9/E6/uoB7H/zLmnZ/3ge8+Vc39VOLcgv5xH
/vD6vsd+efnz+2b19PByfnp/vn+5+7i5O327Gpxjn+PIxzjI/+RMHaU5YfJFca/Ir3V49fM87a/w
0+/zPEgIVFr3qr7Ms3Ae768yp3Ce7x/vT1/fEUhwHvn3OXNm5/b14vrk4vn2JHBOrp3Lk+vrk/35
9fXePV/tN9cnm+vr3fK71W63On2+Od+7u5ud+3Rz7t7cnF5cubuP05vz3ZV3evpx5PPrS2L0w3M6
xFBbBvrjUsfnP3s+e7zabc+eL55PHx83m9vTs8fAWe2v96vNbr+6vr64vlhfLB9xd3VzdXqzOt8d
yeF+J08/fZYlmf+ULwLITMpG/F7L12XbsJavr7fvl4FzSx2CZbx+v41Yy8iJ+C2cQed68377zvLe
jstufuBvPpTO5VPofLw8nX+8Pb1chc7u5Yrd9XT5we66uvm4/3gjDuWf+6uPe1ATzuPVfv/08nb6
cRM6V29H1lcs+/ynOR0mpklLoUtnTt76zNueect/146zOlmvN67jOiuXPzhbb3ssVV0W66eBxdfF
hFs8ppE/gsP8vQ2v3j5OXy8y5vuKjqpzfc5a5c7+aXf/cvlyfuRJLm/VT2Nz7n1+kO2AvbM1MWnJ
2FbGQyQ/B8kl/RunLTunkO9/fgd/e+0cDkfN0DB1oSmIVh+ssZ5gqkUI4XtzWZ1Fw75rxBakitNr
H5WZrZAXeJ7Hl0gSNKqvtf5B09Ak1HbS/DIld8N4G3S3gYiOuOP+8dz9pxxJHQ1rh4PdnKRzDjIg
XE6G29eC0+86cl5fL1/2ly9Pl+dvN7Jz/3bsdf5NrPi2FL9roP8MerAUMwA0C+rcYiRD91t/MEEt
JMrpON1YAK3Qo0Tf9FRpjxS3vl0xVEVIDrGhV5Yr7RCGPknqUpCskKTBts1DIgKInZUNAW3zfv71
89M+HMsEJ6cpkDC4I9HxOzStq/uhrTFmtZCSN/uzZpjES68N6nUdR9kRpP8fh0L+l/tZVpcC89dt
THUykm24P15atfONPgdt7E6UQOjfzNndz9NaXonPD26Zlk5JmRo3JVeKWF/HMpE47jTQaZ7WFvqF
3ej+CknK9Mim/NMoi18wKlCCwEI+OBT6uh7DxRTAs/Vu3vjgcjY5YuxHzp5vu3CZjGER+lCph5sg
DiZT6pFA3wqhEuDoxjqkxv0wzGlAEwoFnB1C7Cp5rt/GXpVYuked3f4V5zqYzb9fU6g6lJhxqYY4
djBbswuhCBST6SHgYFBO6hEbASDt/uUouDVYSD9SwJMRtbUPIp1GD2uEWTtaWE0dbcBmg0CAvL35
21E0TbahOlGThFp4WOAM6EUPoWHSQa9kmYpgTk0ttIMjT+7bjqc2je0DBF1DWWg7B+GSgfJPrNNJ
8/JBsXdhpdgudXqSdRpjRx6OuhxFX3b8wVgHb5dtp7Q2LcaCX+EgH3SdWSZQ5nbbdf5JbDarVMoe
CotOdW+6wVxu2WcrvBvWythtFWPYmum40sf5BXdyj1L0OhY9YjlCuRvjvzwIUKEHc8gRoFFgJsY/
OFVDxR46stDO62iLo3WGpBUAoEmQD6KA0K9+ftR/fAhYb0AAIzTAEubrUSAjEQzDhoUReVysW0s8
CiukAx7X+ZHH/e04WB6BxsZiYqDvl8bZ53ua1D9LRYFAgy8y44zCoQyuDg+gn+dzGCKbjMKrQfrB
XGhkLZ/ic1jnoxY6VpR1Iqs3Vwb+Jut06NVzAzgsOKNQP/l5vG87i7YVGZVM54yMR1e1g/c+aiWo
b0o9ecq+vtQvuvv8rH6037TzEYjmQ30a30+X83n4Mn9El/bOXyFQdCQA+t0j+7y5Dz/CwZyHsUrh
VvERintxI19D6TgvPoxNsBNXAxSiS6tzpDv5Mp6c6qTZiguQcUeO+sNVP/wEB2dwHwotRC0cm+sq
Rpgl39aBtlb1YVdU5vrnBT/cRrweAm8ueGhoCSHTc7BhJTSc5bZpB0/pQRYqsFNuKNvLj0dG+cMw
sKs5EgQ7lXvlYE2DUvhIsaGmpoXZiVWVA85ryqMFs4Yi9UL0Ad2V7MLyDkDIZqQj0dl3Zla5VHzQ
sLJwYLVOdbt6nId1pyOUFp6m9bDNNOwVpDOVsqgio3IFalDEL3Y4UQ97bYcnRXkaQQn55YkyTZtZ
flN5gLL0YCJdkhhIwA0jnZW3oi0p46ZrvU7UIyflH+ZNw9mA4UBHlnr9waFcxBp4Gp/pZsVsv474
Iz4XWXrk0PnDIERw+Fxw+qumph8MEitG16rqhBYvTuzrvu6vzLQYd0ce4cGRz0ZhEKID3M6Mpbbx
9SQYDSC2ktYMng4t2LERZXJQ+j7mpfKnqbBei6gAu4XffB3FsAcdY6t48Gi8iD1Mzom+WGcdOWUO
E7tlLvgNcsJYqhCqWN6/T6eaGBg4rPrBG5MEl7EhtW9senBnYzXTUw4iPKin8Zjh9fIUPh8rvwel
c8D6sY4cbl8H9YOsSDMEl72+sYqdCWOkQmIEbkAqSTK9Euh0yhwmHoLjyt/vQtzwiPGBYRCB/z50
P81XFxl67UnOquoi8VpUfDyANOr273cIZwkoCya5pE1fJyisKcLHTeq9JAvMdayn3U7hjj/m0Xx4
OC7rqC3FNwjkOtZfB+sopfBkiyYbPGixgo4K3dFqUoPLfpisHe5b9MySMVs3Rq7yV4SyaoaiebLH
dKv1g2A7DaYTp9ltOZgrmoTHbMmW9+DwMRsG3ul0X0wUwQ/2VqB2Y9JxW3oKfW3V9ds6f9VHpbyo
I+AYYLf9a8Po8+1MNkwarwTNVTNmeg3SLYVyg8J9/uvn57IsyMEnQgIOdy3CegThxMERX2vgpC0F
kRtz6DT8NQRYOGGG67Qbjr2+y4/6OhQnAw6euMcvcg+HebNeWgH0qr7z+sjCzMCHGoFiTbLtDfpX
fplH+1nI23BUr2lrjEdilW/zVOTF0BcdDf6zbPSv+6+t/drq5Bidc7rUATKt6dIDN/tU3QxhWiur
n5f12z5coAqoLmGiyFFFRvt1OFlJAenTT/PQCLpIpfaxFLTxfHN6pmcsH3mDvx0eKN/Tawc7xa/4
1RxEexKI1LG2zARQtNmu8Ezoz/Ju7k6MtumvsZntuWCGdINku7X+eZrfzsrfIy8RCcvLq3cwcirZ
XV83duIZEx1OVSr3dVcGLly059out3mRB0ee47c7gBEJoU0FV8Ul+TtY2Eg0I3V1g4Oqgo9dTkvz
ei5S7+d5HTy+xf5HLDApXgq0a7RDpFRGowgM6kzTSol1sc+sKG2uUcYaBZwAIvtNEY5J+VeW2jqD
onPGjlnGpCV/GG3lOhpQVltnnlmWzS98MZMNfT6a650eHjPBOljGZSwdbB3lCO4aBB8PXvuetMBH
Dz7z8PFVrvy49Bf57fLvHtbvUTBZguKFyAuqIQexhz/TeC6bAWh6LZLNrITxS42g7N+uG/sBGQru
e6A7nGIHrzaw18AoZtZNL7vMWmeiyR9UeSrTdVdXzZHo+zABoOix6ABxkbHLcI9adDU/hwfTrHZp
1QOYRjNAWCdmqVEJgbtvR66FKap2JU+RDnAjr6bZuCiHOn+aS1QVnUrvpniVKnmB5F9kmuFzVqf1
qxQkefxu5UgkouOYDyucItth6f2pGgw83zKa035WG8vD0cE+UsX+tg0IuwW4SqJualSKfBC3SQgJ
1zXS5K7chkhuQg1yYMcOR96mg1MCDQtGoXCE9Ti7QRyGoEFQVBCXofkiiJhfq8gqPFeS1T8pkaYt
pF54U3TLjrnffZsbD8qiL8b+o0umHIZUFd6vYLp4UGKObYSrIdbSr/aPxDXfTgoEhLg4OXNkGKbq
t5h0sqseecvUs21wEyhf42PkDaRLlgskWXpWKCzofxdtswUV1FttEjNY35yHBxu+Ze0Qf8wzj3Jj
tRpiCL06HN0jL68ivt7Xv4cxFKaG5hW1hN/V+U+BYaJga9PbQeZV42yhlRcG51goJK7cV/NOGazy
pkphCwZhFKybbgxhnDajoyjVuDGrJthCNFYefj6Xvz/TJTInxdDQXFkOya8vX2a1WpTFi2UQbIZt
hDDIGqq1ODLzP45CjIrIzRIwqMvCfJo43IooyypGiWs9urHCMLwcYqQ4/34uHI1L6QR/SEKir6NI
jYVKJgRVr4zU+RTGfbdRIyX/H+wVoh0VRRveAmLjr6Pgj6ljOG2nxPR9vLbGQfXA5BwzHP7TinEW
IgSnMxA4za+jzFIP+0oRKeeVkn4U6HatmgDvhCNL9u0gYeNbrBVPhmoTyezXYYgJGqldhoG/Ll0h
ElAiuzuDTMErbkPNMTkxo+RY5rL80E9h6+/XgCuZ4gShK1M7WME5apFtJR7w4FMjCZ+M8hZjOMkF
Opbd/u2W4AAhPiaWWxC2hwW1BGgJXkRj6FEpJg1TMEzbx3hgl97P43yfEnvB4JUmlEfp+bAaPDST
BtiOInMeJMZjOZByVA6+tqqxsvVWFe8/D/f9sam0JlBkEJQ+sT07WEGoikZDKMJwRW/uak4JdA2G
yc6dMofOlExDspV5tJu/HZbtwkW99HkWgcLl6P70GsdTHgOnTCUQRnk1rAwF3d6NXknFRdvVCIco
nFmxF2RZfaSqfJDosGOWfcpuRCaQq+93a/7TwCgl9Ii1hBIn5eCfhoWZnSTm4uo2ThMKRjDSpTSR
zoGbIQCU5cOReX+/kqgnyYsyFwUZ1LwPLnUQK/WYppLvmmCAexSR53BRxFbifvEcpPxcqlavHNlS
yzP8+pYwKJJVBjcTebey7IFPc0ZGD51bSGGur1vSCnIRSNE4Ho+M8n3jMgrrqyqC0gxb6usodowA
BnVBlCDqfh72SKRTDUTkR0JpOmZjHbkIvg1HRKmiSkR/ZjnXzINjLehGTe8slAZga8ubLovvUyFr
WyRJoiMn27eR2CfcAr9TU3bN4Uh0JG0wv4jmJv6Y73DEhRHeK8nVUNfB+ufX4iBbXKIxlZeBZ0TW
Bn7/4G00Iv7XDD7RDVWzvkcgfuyvDBxnosmJEyEHZ2S0prbBtD3IoHn1cz7+bcBO0rHUZyj18pNM
9WBZ00ar6VUhTSMGriOpFPkIyz5r74vK0l5+nu23fbmMtagJL3kcW+bgEJikLs4KK9PdMO7KXZdI
xZmqRcfyxT88PpM9TxFU4bLl8P66L1HTyjOJyh6CaXJSrSRNwtMkoM4qAyoNzGMlu+/DLW8BoC9k
+GlSLtZ5n1+2EckArNhUzY07oz9FkqdZxF2UCxP769XP6/fHoZZiDd1/CmrmwRsXJJDy06llZlIl
T16vV8ggVZJeriuMko4E098fFvP6NNjB1lSiEn2sdtLgUPfDulRzDEsxgTpyPv5pSpTCudNpzPPa
LV//dFRxUE0qVh4aIssm5MG4rc3rAHQ0AgqW3v4P1g+iKsYJnFZLu/rrYChc053uWL8QWbK11qYy
TBZN2qvA/Y/M69u5/1tklHYCGmhUng6L8LM/NTEi9vjBm11zFc7CgjycyLsuSicPb6nsyGv8h6dF
tQK5SbRUsRc/lJvs7L4WUdFobhG1CC5kcrC1zazwft6AfxzFgFiFh8Vy8hwsYKPYZYHNrOZGkQY8
Pk7Vk6yL479OhKm8UH+nFU+VmvT+62Maw1YtbDNlm5vF6CRNHm6UYZ6ObIY/PCFNWFR5OHyRzjxM
FvnRc4P6H5ZNbWC+8QTLVWcEAHmqhg4mCPP+yOL9YavTWYPTSP2F8Fw/OCjgo9QS5X3wGRJUFBc5
MlMDKlHJ74u4RHfkElvu+C8xAIQAgBIyfGKFs+Kwxh8hKaajXihcHYKwa8RhG4PYH+yzYChjrzbs
i36QgyMFGVLfZRZfxkWfnOSbO0Ul2LIPq5BtH8/qjPsc/fuqvS0Vvxq2rYjaPXAegWlAqUN3zNVG
ehJ5kZ7JRjZQe59KCxG/OTbXiZ3XJpIXbXQdxAieOY0GK6FroHq7Xa1buG2JILtJkBcUiB0VgOZb
o0YPmTCuLV2IVOENslCFDnu7LU6tEsqIG1iBDBHRMHQKeNKo3qmV3jxlUNkiVwnQQ3K7tlDXgTn7
IGlaTful8c1nCX7xFrYZ5qJAitYdZOygRJUr6cy2X4coV9xmfa+c1OGCsCiwNdvJCCu+25KtnOSZ
8NtNUvnxXo/wgNrwZztww0aPL4CyLMIF1ZBua8x8glVbYdpVaBSznK6jVOzgcVTsIU/gFxZGlWSu
p9pUITHEcfBU+XIJJSnA485p5FicTgb2JDtYgBaVMERTIQzgcfWQhD1WuEbsd7ckhMlTh75nioIV
HSYnkBTluivKePKSieveoSIVIUlqNTCFVKOY1so8Nm+BIuGVhaB/cmtbqZhOchT5Hmppzq9ANGmJ
k0GcuO1FgQREk7bRaVeiLOLGvYlEagXDapsGi0o8epa4OCG+hZg/ckrSJarZMUqjlJvcNiysDk5J
Y9EKiBdzTMnC7AuSmoRnZGNk1cZsAx9xpFQMszPgdxVBtCmHraSW6AdaoSYG3LnC6GlSjPBJSJWE
IVUzqvqJtFgJeB34h/cG7NeeWJhFm5q6OJP1aqwdX56DvRQMOK+L2LReYuROVPTKAjNz0WnE0S3F
UBD3Vi1tX01MWFHOiBLtAcUDhOSmRj9L/dZ4ruhsm6dFX4aD0/VmdZmoHeY4mY0eigMdsbkOfAkN
V1Xzq0UVYSpxRDFMX0G+oZpjLC77zFr1TSlO9GgOkVgggqaXjsoSZuYJg7kiscRJA7PkNVHH9NIe
+uKtC1P7AVJtPLozBd7ToKyzZ6XUmgc6adJdhAvFryBfhKGQArNi1FkGFApNs0dRJNIIxIyo16YV
GmioismiE6Obhz1KWBjEGGhaCOXWaqdehy9lt5dNH5WmS4BnGesK7VVSxtBITwUb6COEr+l7YyA1
eDYMPibURiKCm54T/raf7OlRsuQOXa6mmzrk3sYBfQ3NQmksxBJthSWbnq3JHoN4XdAdRQGwD+fH
lFLzsMbLvtnY6iQtWNMEr14EXtFLGjRtvs/SvjoNyCajlSRK7W0ye8zsTGU0k61h99WqFiNKCzWx
G+YFtj+hABbUUFZCe+52MuWkB6pJs77OeyGdVTA9n6U8HtsTsAv5qYz0D6pEkLeuIstKtXXjt8FJ
MlcIRNIKXLTFINwlawl0T38yqEQU67mZ07PG7PV3nJPGa0yPZgNBtL6GdMwSwGDN2lr2VHVOb6UK
myAJtvuFOjQQVwPkPYLF36c13DaNrOdZGavzLOZ9dKY0C+wVPctCX2fI/+16MY6mWzbSZK8ijP4s
TM5HE8YbtjG1gxhjHnsKxQTAjsQhrJ3e669IWQw1AizzeM8lZJibrpl6BE4VVK3WiqTqUGmRE8rX
o5XElyrGdDIqNbp+2yk9tpGlmELEhtu6O2/mDAnCHrWIxC1VM9Dc5H8xd17LcWvJtv2V+wPogDcR
N85DoYCqoi3RSeILQhJJeL+wYL7+DlAd3WJRLV7109l790tTItwyuTJnjgkmMt+YTHrNH8GO0uxX
tpqK7Zrozh01iZ9SATNl42Cx83Xo+/64GE38qa4q5VHnIP6y2FnLqgGemwycVhZbBk4O66UA1OSn
ZlQ9p2kLsrWrlyK5blXUsNSb5vk2Wx2mkD1n8Y9mTMuXhqGFHSBBudxr89rWOwE+4bmFfNDFAObW
ou1yk/VTdme2vf2NAL5NQwOjjyuq/9pLNJXVNYRKawrcea6/jS2TejPkvfHdKyGT7gdOnZA38et9
TIoWb03MPJxdPHHs3qYGxjFnIk2HH0Zk4vzcLMr0Ha3SpIYe7/vSygBt8epKRq2NmjrEIFdTg2gC
orvRYgU8mat4Y77Ty1R+SrJI+URVVvk2q8t4tRYHHsc6kuwRoJoeKroKBwqp6UAlA16IEU7pRH40
sSaqIHTbUWss8sQ8M6py+EEwJe7GaWCwrRirWxVk9Q+cR9kRYFLjZOQVWvsttuXM0phF7CSWVups
zVVBB7PbJ5Uv1QHEKufj6AEy0WoOSUca+/BOiLz8ZKgCSxjaAA04g1PRZH6OB8+xM3vxJDH7PEyr
BSXsswjaYcWHY7ytLpVNR38ZG5v93Uto7WX51oD2Sawtm1eXS4OdqPKdGG6ZMnX2o/fqiBnnDY2F
WDs24LwMRT5qOf6TGCKvVprSBLaIAqG4yF+9NhNnpPV5rseOt/Pqx4lBUn6fv7p0ekIBWYilM+6d
asvKR9OkOTwUr/6eTcSdbqxX30/QPROf9NUPFMBXawFAwhF4OxPM6iEmUuAhXZox5WbJNRw+vVTq
SWjaDa17rO/WQ+Qu1ry3abu8BaHuuUGsJDVAPhR2C1L+1ck0gn5tQAvEBYeWZ56ic5O63rVziRGq
KVdTVAAV7uf+1SpVxInXwS0DtLsxX+1U51RiH2a+2qxWrTfcT6v3ak9duNsqMZYFvJbemzBLw6kV
dyT9c0s337kp5+yRzFR3reAy8WNaXV6VRKPDmCIHWEEU75G2Y9/PLttKwR6Wrs9c2QBeSq6iVxNZ
XR9oGI1ywOKhntoZ+Efw6Hc5FVp1KzulAVWnjTnANROH2kEU+ndoyDUmmnmX9bz4yWXRwddWRVWM
k47AaWdn50BmfavHbg4Q8mqJi05Li1x8PpjyGaQZKdIfupebzsab2lwJc1nX9VeP81e6Vdhf6q2K
4vYWcHHs0Ywa4zU70wibw//j3e8EZL3n0VU71K0LFs+hMpTlF8JOOpo4IBTLrhcQIxH9UNq6cKI6
jfYThjxMu3ZdD4d6SOZgMgAwMZrd7kcmLXUIqTGCGGRbohs3KbOZVpq0VLIzSQbW3E4jIjiiM5ZR
h8QEmJMzEok9D11kanY+9HEK2ouu/wwPjFSh4fHGhWynBOYoKufL1JbxnZNP3eiTPu3yeIsjth0f
qHEoy4OrdK19Lai5LYemapfizKkKdKB5OhBd4HLq6sW5AgSdZsyhxhtokuqcf0qMRJ7FGX7H29hQ
FfUMNnGsn1mllYsnMyHIxHa4U8AelJQwCxo5ywEPKki4827EUwEFIEUyLwoUMFrxNpGNTM/MnC6V
r9jaNtG0p9DSgizGoGj2zpDflP1FpwEs91lOzOG2IL4ZzieZzCYQK/ZJdZMitukCfreRhXMdj979
UhaIzUZLut4eexLDvDEIeSJ/pEaX3daYepb37qjnOGtqjprHn53BBdcNJdhVv2QVSAeVeTIUKZun
xZGBP2m5h95sJSZUMGxVjgQohjZ5U0LrNthHNd/WgS5h1F2WKgfEQVph6rBd7uCBjvmd1vLhLoal
TOwzJ+07uctqEcHebFNH3muw8Zcj6C1bw04Qih+CvBFNfups4spJ5LMbRQCFs7QZq7DFxV1FGA5r
+8HR+7S4bleef+BglGotW7uxIhV71NnwQjnEffooGurfuNyNHFs034H4kvhwrTt8jqGdBfGA+OAO
j0FlYOUYwU60RWROt6kEGNZiMSYVVoO4rr/0g8bUklai5aERLR2Rnm2tBzL4obyGZoq5MJ8vPTTN
AKBt4zlRC4CK6KK/atRKsrjS4FG0oazhMpyLiBzCi4d5ehEANTP0b1DEO/eytkshbxq3sIyd6PDS
ImrsW/lAL4Wzbv9jWcyfZ01I6PqOM0TddblUpOzBHWNI6eOl0nHk89JaPKm5mxOqCUr9ZCSs5KrO
UO758KuKQy1TuRz0TLEwu5VaX87bRGmrIkwTAN8XXp+kPY0tmSOPmjrhdClsc/jqSFoZro2OxPnG
6Dp1eKKRw6oC15Ly85TpLNGuM5rt1nQ7GIZxgUUsRSKtCow5xVMAArOJI52ajdVuaBNNxztWOJwo
PNPq1HCZugnonJYCJAmyLmobQrp2kc5LVDtadDX1mAyEcl6Me1hq6YgXMvFNOIg8jW9KvXSMrcCA
QDlHHUCLBRb2arnxFDObkCVmUr8TfMQqhFNQgrqPsgo+sVeY9t5p49GghVoIp94t7VRj8NyDnQWt
3ovyMs+w8bhccA3I2cj0XAZCGZfmllz+1H4dFBx6zi3ZZOJ+NOsqs/G95vwGHwDkxc5Do58e4iFf
qQPYzCqhGLvmJcKQ74vmLAtOAko3OAcY1nG5UWPdyvYyHuMbz0v6chObFO/8VjXGAtpHm9d+2sR0
sQ3kvM8oyRowYsuBYxSZNEU7woWcgXzqE2fWBho2S041RvZ2sImO+H94xEMh6pUIOMcpO72X2QQZ
eGPDNqmnWX6f5rzyjtAj+uh7umhVcpZxsnTP4Y+4OSRDkhrnaabO1UVi9Lp1Jbnx5UoxdVwQS6gG
nD69ohsqvFAS2A5mgmpz36gT478fG9OGzYGFWwcxZTIcYrslLh+wkVOaxyVrp+d0Gi2r2lcR17mB
AzlHPnI7rQyAQatnjtthi02C0nLn+yExapCdsWrk8T7FsVs72mpRPmggVJxgGtToaDYVZ/V0qKJg
aDL6Nnhh2UvMlPIwPc1cI0zATIAoT2D9bnl09xxrSVece53K8b0wPPMsmjLa7/PJGi5sqwMlIPBI
qILWgnqxQaqhv4hRQ9ZFgoGdoc+b9ocFi5aDWO9Mx8xBScfsKbBkqO0cv4e8r+Mk5PehstOV2PrC
EbdedsswFfe45SRLUMK4KH1YNj10H0uYF3MW10ZQy1rvd/3a7wSyBz+MHeyZAkDy4uhJ0MnceVm6
bCdhBDQ7aM/yoh40t9g0XjI8sjeX42bRRlB0M5kUrEXzLD93qhRi4oCx9xiketMGWivV70afVvq+
ztZ53qntyr3OHC8NqVDO25SWrTvqFGQRCBuiG5EU5OsSa9Q7P2tn+cMeNftpcuKqAJ87LTeNKGdy
bKrWXjqd4TBgF936LLpssDguI/5rp1JbfIGXwjcQLriWtKmc3B1nyqq56hS1gYySqpMKBb9I5ycH
+1sWc+jENvYOOO59s5bSutC9CCcRbxpAN1hqJm/JkLRagPdud1u4xmJuS31JJ3/UmuEBfgqgjGpE
3LsdEdB97VwP8qE9mp3uz2net5iYN+oLlqrwbieNmoU/j6pYMJrWSLsqXdY88+EKkBWzgrMurWbx
owsxicSA2Y24DHhm9kVLIeb7ji7YPGOvqR5rvGmMsJHKDGzdlsrXsVoA/0IDyjVtL6xBx7DHiIlC
Mg6Jg9/3lQY2Z5Iar3jqTTLYVd18d4ysLreREiWBN0zlc6+nPWfYevgC4WtwfBghCjdsKATmCUeG
e/r4xnzjQm8yt31lMnK9yU7v1LSLko0Q+IL5+ixfkooED8YK+dLglRmbT52BjY1fMHaujWhCwWgT
GZO9dAV4ZpKRw/lsWtqTYmXDBLTbGe60EWHZlM8G8UVLum9fDKq3+NZQNhoGP2NSbT14X0+VyLFc
7eou/VIJckirLQbaXiVTl4q92JzrAGiq/Bq5uYaZHQTPEkUNumNX0lVR6M75YnRGA2Q9ztINpEhy
ZywsggNw6dVfJ13rwFREAFiwRy9izmeGAFual6W9bLtRYbHVJqLaDfPY1VlnR4tkZjePnU9LUorZ
PbwbaJwt67mMTK9kVc+UBnc51zgSDBHNYgYPEZfgsIfyPXFlsy7j0k9d9m1EcXA80SxqcX7IAfa5
GxyDMjsA4pO+KKBdLN9yM+vLlOP4s43KAd8SM4fcucU4lgRx28ouuZIySvMgYkkbL1O3ACckwHvj
mNA1OnFX3jQXxIrQdRPQq5oPEHz5bBq4uIXO3A3ST1n0OGSKoQXuQlOXu2aXnOcYvGniU2gv9b1n
UUs9Nzt8EYI0rvtvMNEBSjtyxX4JU0AVrITRQ0KhuDbSoIIrhJ+QaSEjY5nFbaMWc3mlKImbB3ri
pY8MxmL2XbZcbWtzKNqB/86Gg2zh6wYuif6KhYMYAn0q3utbBw/VeIfbSrMEUKOjLhzwbeO4ozoV
NkliavpNZrSYqJBWlyxFlUfKYpi6OiGCrbUrryt1ddPGQO03tLoXEyBPzawCBTKS2DqewHCnxvKj
2ytRZXoHACv4paQChmKZkKjaYjId34zw72+9sjwjDdU2W349msY2BdEDCb+DNmUO1qxvVamVXdDo
npy3OiYSoHxaU0ZbN19sNZDWnL6UssXaZZoWIzkUNNjF9pbTipxuoaP0+E8jhSNt1BvOVeRygvGR
BarP0HILzvmEi+fNaiC2MxbssfDOIHLcCkOXN2JwjHumRyf8jirxRd7VGnQtpRiuaGslj6GUuaTA
pahBDR493sIeY/qQ9brPcHTQGQuu+jWiXykNPEjANG8ayJKArkE53qXaxN+essqhJrJkZMK12oHh
1SUpZoduEZHaJVui3HZZmcZs7rX6Q4vSlXNLZiY5LKMopl1K9cPd6LJqrqeKLMAlRV914MQwzOAO
dOmdZws92uflSEDuc/hVq30jrDL256pmrYrd3r2HNqyw/RFPpdsFxZ6IbyhsJOWx47RxlcKES7YO
1LtLC5D4jwZfKdy/RLsahrTLnUWVCpMwYEkaubW0ANYkNXRXk7m22lsJoKmBxmYMeas9Pg5WyobG
SyanNPfX0zAsBrjfmQAJnmZ+3sGJgtzs2oS91uScsXIuX1qLXrbNEje0ShPjjXJHSlXZi2nFkdeT
15G4UmCD/dTH/R0Jp3mubkX3/CwuvzX/9w3K5tWW9F9gm//5/2TmvPkV/0toOIgs/rMB7Oa5K4en
b29QOPyFf5JwbBNyjUNZlAI2BzB7JSL8E9/Kj+B80jBFedYkN7/+6J8kHEP/B+pUpPo0l9D5jh7q
XyQcfkTJ2KQEvzId0efqfwPCsU/qjhaV27UwjHQO0b6N1vFt8bYFg2M3ZIjDScsPiZXvGkqbI1ok
k/VNp5HLukHMvZX5fBW7+b6UYsdNkceVvpdol5mT72oF85j5QS65r/VQuXA6grXODOj3EdJrV1HO
GmyPPePJFI8UisHSDXsUsZ+bvLsfhiqMiINJ8uw1uhKqkaJSHU7NshUA5LFt3cSZ2OGM/TmmKXGy
oXrXHBOYm/h1bBTb2BG3X+SHzPD2nT2WG9ce8WZmejOL18JwdkdL7JfIkzcLEMoxVYLcE+c2Vmg4
3YgyJ9hkbcEZ75dBcPxZQv0VvnlSr373Yk/EH5SVJabQfReKtj5rsDsY7aM5ZIFsrfDPVzqp8r+7
0kn9vWmbPJkaPqGnHxX9q9Q+aAxbccW/1oi5wNp1ZuNo6xDL0yR2MkYcag+0DnahG19iy+6X7i2E
uVyL2ClwcbiL9dr3mhHYZX7VJOdGXYbgubZZdo2q2e/WWl2Dy/fqIaFYW1t+Hqgsq9rDxMBJcLPo
MfqBe77JBPgxfpdo5wt2qY0t4o1jfFJmwJiUiTLWOBbYYG7qoCf9iLUe9SLWPSWnWyaHmIixoHWG
Xv4DKdsrPuOXIvnPF4AmkTmCvkzX1xf0q+oFeRutprILSdlxx+lu+pHFqu8Nn4daYtdNURRkvsPm
BBS94qUUehRG3N6fP/Rvv8Mvt7HO5V9uowTJYc8UhMKMegQY1g1pJWIQwkxL/2BMnYgf3j3xSfdJ
3ZjSw4+NZYEUCs0Pm8jCPEz96Ile5Wrv36yNQP6VwHEqe/CSrqFXhzfb63dJYx0yNdoU9BJDPMUA
/XPnXcDCJOg7I7dzsyhXdS0DIkqdWslC6r9qVJgZRGm4zfcfKDJOlKj/fAX/vrUT/YeJLF/22dCF
dAFx1HG2JFGQEsCabOOAFNgOE3aqFvHNf/OR/33ZkwXZU0hjN5KP3NoFfkkwnvCa7xsZFtFHEs33
CwfzelX5/vPlnyxRWCyQuhm41DwRAeMDF5ePf36Yj65wsnIkA2ZWXscVxvmxc+764YOl6fczAsyI
xVMYoCHezgjUrkRlDovsoF2L+cfgMDpiC5Lhjz8/x2+nA92BgBro6TdfOda/zDxQgh4mR1ynLVbG
4Y4Du7rc/vkaP7sW3k0GF0GOtUqgDe1kfvdWTKNgyYjDLpAVDhXfzE6Xugd9UbciJ8/sRhASCSbL
MUzt895SCfo4bDrGw8TxkfjvRbfS63QcVjpjtmpn7iUFVCwNO8CLKX8URiw6WblXoIaW032Wo8gv
qpAsMlKC5FopaPwf8oDm3x1errEYQ5U84eAtV8L5obZPisnfd5ozpVHPNI6DpHNc8s0WBzEThu5C
Xf+pN++1Gmu2g7A4KZn5FuLmQWIuVjnM7pZZo9BUlFZhvOB0gVfHZmkO0TT5CRCeiCNStzy0inZm
yGxPwX4vxl3TcIjoiyu9elbPUq3+nnbOi2XKB9tabjn13ghnJ/QrALufhsJ5yQaP9DEVPDwLo0y9
RVlDxig5F7y4PuGkXncAEzCbGDwK/CqHQGdrj0fMDDfK+NjlFhUvY2eN1o5DIKB36MjxFVYZAUPk
WIr8Cq+zi7x9Ggghlr3zSbQ/ctBB7I3rI4yVFUYgfGcFyc63yv4RL4+D+bnLPTanbxZIpmgicTEP
W3PytjluVkvTbVHqBcLD6YSeuLHPLhdwysO0ttjej20bkmk9sz1qzO6G8yBytOwym3H9FPXFOlyU
9KlNy3BSs51jJjd8ni1GFf7ATrF638W1dTEn+pM7TCEe0LeocsjBqw45cS2/APNyWcMtwi0WMrAc
sd4a94PT76b2NkrwnpvPS73fNm0aDPro66p9DnUa0DcZHHuvltZmXLcHzsgZGh2nRp2sW/jpdRT1
FcbGd6XMtnPCOg7dvX2a+ENpibVSNW/d78JTAjsm24cIC2T2wYnPaeYjdZIcsuybYWQEZ2rIO684
t0pxaao/IwK8UDNl2NMc4HecGlcibtkYQUkeSkgPpdc1Ji9b4hBv7rc9YZ8Yvq9pSVK9nn5VD+Go
HlV66JZW8bM+uaEKEgLZ2E5NuaWm/4VsE7sfZmIUo5a83NboYSB4hDq9ANHgsR7rl14iKdDooVUX
V51jfsvV7DE1l+vKrq/qZbzpR/eiJJSFIa1F8RntBWR2k50Yfgymt8GO58FQim3k3MuW2CVp/Lj+
LubnETNgFZWbOWV7OEoEQjPGcv2tvlRQZRe/oICcHIcUb6PsSYvMjSHYDzWNtnu8TIRP4LQzR5v3
0Ow0skuUX64m2m60vMbfx7fBhWSUJotkuWgK3Jh0cV62VEP05nKKq8eG3zboeuDW1/BquQPoyeBS
YnFd5z3vYQxcFHY024fUY+nSfigszg5tuR+UkgFphXnziETwCP8pSGw8mkc0tHHjC5Fduu4tvnJB
pFq+grWKnCJqGnrQK9jYEEyixrbj4lNXWodxpJA6r44nU5B2VQju2rfU6MEwu72d2VtYeuFC+16V
kJ9OA2wlL7zZoWE8IkSDV9uUDVIOhmXZHzxn2ShzuV/WxnWqvOsT5q64tftpJ/VHeP9BVt1aSAX5
OLiR9nV1pJ57SKry0e2UT6nozqY+QnlMSisGpKJcKDi+YBeEufBjpudbpCO4tOLFPHckXfApiG5F
U4caF9KaJjTL8WBGRdj15t6IhsOUekxhGZqDh4ws3uS1F7jqkUBza8BFH2142wqJ3zLbx8oWFdAF
yoKAFrVdlDvnSRd/9liglFxclPqLOiG7VI+JR/JTJmSgIeXGqBjjT44ur4z20dLjm26YDlJeNm6/
RaYZUBXezHoVdtj9qNWhWuFjRb4zWO7GbLpCHvbQRRUuacl5Z8trzSkvlzzfDxbqT6yZdAx60x6i
jfxAxv7aP/VmE+RQu/aD0msBPBawzdstHdtLSn3ksUIrrc8yCnI2lC2LpDUOZhQsi7CsOBLqtPfO
uDwOtM+rXmC6yXku1UuwN+Si5FFJHrBk+uDW3gWEJ3d2sj07kFkKArKOGhHirS66VnE41LNlY/UP
VOtDry9DIf6yPYK8wNv3cRKJG9TVuhllaYi3vO+ZD2LIdiZqqD8HH94a67177UiQWZjRA9Ky8Pa1
J06/dg/mPBwwAnuw95ZCtD2I46CCllacLWmkQBvH6zUAyHCjn3VKystwTm7xS8ynwDaj0Vtfzrnv
DOc6hXqLDN16Rk9GDB0ZV+Zg3putwaGRyqY1w+t3tq36ZCUWs8Y+jPaDuBHpHU2KoL5jP++1DZAR
uTc4EkqExFHnW7RFqnUeaOaXJgoMk+gk7qmkmVQSUR4m1g7VzFVniKPpLKFrPKd5fIQPfVznnK3J
B0qaX5C9bekBORbU3MCtXUayCr14fEhsLcAk/FPf6I9jOftOcmvHqHkoAoflvNz2iopGYthXc/Qw
j/aXgjzgwtFE1budQjqT4tymcbIXpGOoguk5B7Mk6nzb4xWTspEYGRM6+ajh9rTV+OcA+feXO+0I
YgmMOgwu1mF5pbImJt2tqYRrGsdd3AvJO14ehrOhr6lf3UbeB5Hxu/wRXSc/k1G0rtJpsEbOv0TG
fetOFlXfLkTw1KdD2BySq5RkMPD2n0P0r7KNd3XJf39MM/5HzPavlO3/2T3XV98oQ53+qv+F2Ufj
j9nH27qoy7r6P4e++FY99b9mIde/+DMLiW7mHxokRrrWaKn8JQepWdY/LE03YFxxVrL42b9SkIqF
gZSjQhuiBKdpOLz8KwWpaKQnSTbwI9YLRL3A5F6TvfFz/c/MGInb/2ittCYzf1l76EQnCUo+0yLM
hG8DUOftGNILYXaFU6ZH6v3tnuYPID5R4R0M01POarVtghKdo69KKPdWLUVAJbI+VlOVfaEw8Pzn
lfD1lPXvlfDn3eAnwMkYLAZctZO7wR14EiaE0yNyNedLZNaaiS/1VNwZdRE9j3MBqgsNz6VlTjh2
4NwVf1JbG5FD1xgl7ArWr11D+e8Oh9AKD0UzbfFqwI+lRgxTjR/Mv9e2zdPbpQueaUiz/Xseq4G8
ycbZJz0WqsAssEZ8d9fJuu1xmHSUozsnjUt6tsGGlZrPzTRbdewbMY4qWLVfIYPQ72XjTnf0nSzW
hu/WPRck5XbKZEefZmR6Lzq+Gz8sM1nuZ8QEt8jZb3BUVB7+/N7fpgp+vvYVCc/oxJyMlq+3g0BL
kI9REkuPtj5mBzfGzpNwWQv/fJW3B/nXqzBc0agibXL47yQhQUuWm7ZiSo8luritNLXRb6a2PQeU
+xHLcw1UTj6Mp7ow3RjTBsSd9ee/rIwyT73GtXkgJR1eCglcT3Bi6BV0J51n3f/9c9GsDSmE2ImC
wbq9/3IxjC0sw+3M9CjBPJzHeC/5llnXx8lgV/jzpX7zoTyQIKZtQs/3YK69vRSs4xQzmy47ZlWS
huPazLFg3rH9L65Chyat/HA0oEG9vcpcWmo6YW9xLOIyC/kTXTC5aN/+9ioWvU9chrZoCAyYCrx5
bbpG78O0aNmRRQnFGkXpEPtQ/YNn0dZX8nYoUEF1SLPxa6BanaJSxWSmWHXmDAVqsttKL5O9ggxv
g2HrxolLXmCr6xtndukywRVyY9D9+kHD4Romnt6Crq0QixXxRArr7ZNmFkaatqRJYEz0F6RH3Y4S
LnWVJIZuuKRUgVenUoGs7YMZ9364oD/gLdNFrFPKMtaf/zoyiyICFOZmx64a4i0dMAOHnbb54EO+
n2zgmKhP0B9IGIIb2clVhKvzT5od1RaXX0ta3/S5+qwU1baNpw8mwO9eJVslWW9KdgZ0nrfXgn2d
zL3ZZEdBFT7opLACqObKpnWbZIsjanuxmOjJixK7rj8P19/sTdZaFqShmGXy1QTjzcuUyeCinuuL
ozs95r28RMoXjCQ+3Ew9UMm7y3CA0WNa/Kto6zlqUC632B99o/9kM8106eRksYenP9/U+w9s0/zp
UaMkRiDKOHn1tmwT3aqX5OjRB//g0YZxgwqr2/35KtrbRsV15bYddgUa0uFwvkeJ4C+vuwi3s3VH
y2na8HJ/HG2xHz1UIRi+OHtnUrKvdjfUAQQcb4+iow8xi/qIhvf+84PVX0lxDLe1WfPkpDRqZudG
MsuOCUnTfdMYIsiFOgVFuZohqZXJyXVJqZp2if/nd/B+kHNlevJ5+hV9c7rI0z5CWWRi4E3Y/tK0
QbYHEasMPLzrrmnqUD94528PvK+vnKMguxduKQ40n5Mvq2vgx6yYJ01R7N8taEVpYJyURmww7rWU
jakDY4bo2ZYHpUhRLkbx8sEj/+6zE4UCdwBDoMG2P9lFmzk1ZlOU2dFpNO/cEJzZbGKWTTP0OmtW
Xh1IM4rbDAtfEmi27bsyZe9D4fNBqeHVMOHtCrpyfNnKDYwqTTrQ3k77odEA98+lOKapYLNI6gZp
MD5L9RAgd0X0nillMfjohuJzlD6BjYFYu0GNUZO7QNvd+22pyCNZIMSfdVRi914N9C9u6phm5j1k
FxvISG+kaDtF5F50otK/1iTlt/Ece+6GNi/xxZHmdFPikT34nLuqi5ZWsBtn0rqbsrAjsRlpWKJ/
jcbCl4bWPfuvl1ki43Um8i9T/hQLk2IJaJZJ3h9rRep+XxBw9hpigcRaqEa2qXH75xH/PlwjAFBR
OuokggjbTt654UiXJrOJ83vXNntQfhahLAqCrFb/roq+DnYuxfIFhgI0HV/57efVhqbFd1rrjykb
8pmSG9HWyVT7r3fDNaJR163KM4hzT3bDdoZgOr0mJFSDETM1nxUzl//NRcigUdsDj0xE/fZRaMVJ
bHp8yd2gvA2LJdY3s7ekH2xG79d9yuHg26y1KZ9V6eQqs9I2SMMFqZZYLwIEgd/zBPnjnwfA7y7i
6vStO9C0jXcEZneGToXx4XAs9KEPaEd+lvPQfXCRNco7mdkG0R+nUMJnTiAnEa1gj/eEMw/HDF3d
IbZmhHmeWhwyO46DZTFKn/baj7aR3z3ZerhGx8M3ApLz9iPZTgtgaja4qIrsIbfkgKqr+Mjt4TcT
yGKtcjjsEBi9G9VlpXWWN3XdMU/l7HttpmwVXsBmQtP+wXg4SUS9ziCgIGsyiIjdYPi9fSKj7F2J
CV53zOqZOg+u9wGdzlrYDE50GenCu9DNZPIho7dU/3Toe3Fr3BZtnQW2dKZ7fRTGBwS33zy+TbjE
6diAeMqK9faW5iK1SedXglCN3lBDW3BUbAqgEeAiPhhE2m+uxVliNTxjs9IN7WSnEo0ZF2pniWNe
Z/GDMnc55ZnYRNCUd+MuqRFs070OpNKUKM9p0h/n0kcrbKH1pQCRIYzpRR/ObvUZoB31s9aryyr4
6/nETg62ck244GN98kJKmhMalKTDsXSsaANsvDlYUzp88Np/NxTeXOZkKDhOo5dkEYajBmshtBCQ
X5uJQorSGhNU4ro4xKOjHRvLU64dFeqBGY/KLuvx08y0ePKdJXE+ePITA4TX4elRc9ddpsPrav92
LFRiTqJZs8ZjU8PazUoU9UbXOMjtIzn+sLXUotiO/SASfgibduiZVXckEdSofi+FoBWV5HG/nd0E
Sm/iJNR/knjusE/xBuH4dFRQw2ntoQ8T2pXHjYUnae6TKGmOdk1r+geRkbFuSCerFukS5BsuB7p1
43r7PG61TNBBveGYtkYf5EmX0YmECWs1ooF1sJrclHb2nDnkoKK+l2eROKNHWaycg6ywu2Cuijhc
qPJuuwZDEWPWyR4VhU4CVpdPI77CK/gG6UvPk6aW9UJLinl0TRmHdZrpFxW0rcOYjd7Opdt+OyZ9
f1B0eh3oagd2hOzjg23t/QRjvTQ5awCHZlM7PeM1qjNwilbHo6r0ip8Ir/ts212NAs34O6TNOlYg
WPJO4SRz0iIiePtu22mQpr0441HpZmOX9MVzi2h3/7dzkYs4pIhe/+eczkXFaEWXVGI6kmobt7WS
OD4pvo+MEtZl5+0wIeGFwJNVCRkYqdy3jzKLHIMEzZ6OMuufU+GeZQ5VEwAmGykoxvz5kX73iSDI
cxlAziYJ4rcXi0bTyss6mugK7ooNnXJzWOa0NDRK+5E3w+t6evpgbDckPter4X/69lpIPLNotvL5
2MVW43uxmx5aCJahTkF+KyulPfPmvP+mpbYufD6ffe6OLkInq697au9j6QkU6J3hkf/AJ30nnHx8
yQw6MD54Ke93es7sFiArTo389dMjzNijwFXZhY/4Lje+OuDeane0Zfz51f/mpMRlOCJj97YmeE5T
m22pK06p8T7Y4NQ7r89lQcHfRNY12h3Qvc5Ruz19W/AjzL7XvtEBGMch3Sr9bTTE80dQw9+MO7Jy
WJGRcGLzPU0TWnFMN0zaLMdxSbVviwI4njmdHSun67fFBDTzg+dfv/fJeHhzwZOBjjBVacuWCwpa
Oq7nxSt2namneIbb8dmMUoHDURN9qdRZvRVFYYRymv6uWPu6bhBkkekysRYFaneST0xiB6+oclqO
raO3u4U+FFq6FLGtjNj84Hl/M9WIsta4lROSxcr4dvgPC304aTkux8hGeD16resbA+Q3c+w/UkL+
pkADc4sZhp0rWQCyAW+vBdqEMtBoLaSdXGMnST9DVjLj8zzv3L2SSJMUBN4lSToPweIh+5FGl/qZ
pTR3UadlH4z092kJ7gY6NXYI1ItI3b69G6Xp3Aqb7OU4szhsek1a9zS2Z7Q5Vf0Z3es9/ghiDnii
H10nlQ9im9+9d1q4obECuWdSn4R5Gpl2kSHCOUKE+SJiBBtT+f84O69lN5F2DV8RVUBDA6dCaSVb
cl5zQjmSc+bq98PaJxZSifJ/NFNlz7SaTl94Q/6lFtEagPxGZ4dyw18jLb46klD4mPRwaFM5Ji+A
yxxtr+k1cmCO1jTvJ0MijJB4SYtcqKi1U+dXOrWIIpWHqbHBhAjKcJ/8BnWVzaiaegdysWq2lO+d
fK9kevXTxswdBFWC7MszJxQNbk21o+eszNEgK4vAL9dyhKtbYXaxQH6UhJG8BIXXy7UD1DVkmqmI
U2XH5R69HuUws4pPgYFgyNbui9HZOupYhRsx6PnZqQv16xjnKp5Ype3F4GXMCXtoBwZ2DBGTh6xX
PsZKp325f5ss72wwENi9CfT5JG5jEAQuf2cYQrCZorw+eZpiEpOKCUJYvaZcej2KRSkAEWud8Uw2
9OUovUxjgWxCS3kj+tCVvQ2bbkTlfuWqWH50qmekmDSHMGPgeViah6Qg8O2yqvqTjnjFs09Cuylg
+X1Wwsx6UMAhflz5eDq/+++rGOgqQdOsxUw7ajaBvpxXkWj449WJekL0zfrZxEnsbUrN8hWQq13n
u0lk0QHIZyF7l/+H3sDMFyAIQ4L/X7WIEQOtar9CdKcLwq9W2dYaqkiZA2NZq7UETZCZs5ESPKWu
1QTyvZaGMBGLUkL2479GsU4oCOjJrK1/VJXmv9RtAWyqV7BTzANTbRHyAM3uysyjvhZqVY26BCR0
A5EhVI82hR7PwmqV2Z3SFtGybdAb+N8g0w/wvAGxkm+hkRcvoWJXMSpvQ/Hz/id887O7/IQ0xHGZ
gBqE6Q9J5eUnbFtNjbOsbk9OqAWUNtE5PzqInrwzSkRehPLZjKfxdcKC5sHGYX6jIkObb+laRLmb
GpHzqOZT8SuDLh9u4glg3jaNQty5qjhXvo6dpdUIsVjqYzCDi57xDZkeQk8LgDo2RvMjCOwCGTdg
z0eWl5VJeyc4qZWsPmF4T5PBT2zptlMVq5uobQrx0kbQ0TYeWliPadvAyhByVKlEjvjcbYB4+uWu
FZ3xpW19xBv8OlIOaWz6NmRwnN0xwNP7l2AqBShE1Ii+ANwD959XVEncGS0Wu3XWtsWmt1vzTB8Q
IQYTq6nH0WyQxdA9b9pB+MtAzTkjSgtGY1XTk9KjePmod0bzWY8zAK9dW7e261fg9p5s2Dkvij91
5zy3J2uT+Op/7LAWyYOgRWkhSzw8JUerBP9KttcjLyzivD2YOmo/bDU/BzTX5Z/COC4hV/YQ4PGw
L+Jhl/qZCSHeKA5plo7BsQ1pBQB29aovukEKA5klQEI7ncQ3T2oQdrmcK/twfwMtrxaiTcBcDtW/
2WZQXbbT6zEN9bbQ25OKPuFOQy1/hzOQ2P/zKFTMaM/CooSstlTIL5LU1BEEIwY3bAg4IgZUGmMs
cH+Uq/4pk2EYyYRmWKDzFp/81UP08iZtPaUdgWzVWF7KZtrFlB/dSEz9YbSG72auIakxCkDiLZk2
rjr1SrI2Z9OL8zjjEecG5iwGutTJBBrroWjntfRPNW2bgeOoujrYUCHO3ASZq2OJ9orljL9Xpj4/
8lfjwlgnwhJIqixDr7zpLKHYJX2DGrdNeChK/TXlM1DqVxznT4aezB+HKCR2I2uS7wqpQb6aJuck
FcVwEWf5omV9BkGd4HA3amPVbOzeR9q8gZi80iK5+Y3oS3FvkQMCs7i8s+qsA5XeGt1p6DoVAnsR
HlKtd9yYao6LuhYk5sJpSMCsfzPLISZlg9gU7edXG5XHJXoRyZfBbhPZnVq0E9xejUjtKOG69xdj
GXgyCrVEWJn45yL+vex+ZFreWKWq9KfeVsKj2k3AtO1w6sAHEVS9NqgR4fUxlsGfBuGm0vVKb1wr
+9zYDxw0mo8Ak9CKXRZBoq5NqmRUSOd7ezpqiMYd/FEPz2bWPThJ5X1KG0v/dH/eV+W8eeKEuxT6
6VggPr4o52GgJr3O18ZTqDrQRZoNUdw70sdPOt38sVRdHsDvXWJswVSfCq72RJvhkNF25XfcuNT4
HW+IRzJLDsTlBmvKquHi9cl5hmZ4sAPdeEKwyHjEDMja5GLEYUoP0LEotAJNEQ2dAHO06BgpyE+2
6Iykma65QHbEbuWHzQHN4pSS6bLx5guKrHfxgRK8TrQ85ofZXTtAgAj+2AollzIK82OtczWWZgNk
tvPj70kk7f2UozbQZASw93/Ijd3BKcCwYV4orvPFB3JyD/bjnHT7fYvSzpC171HnUreqOZSuL3L8
C5SxeLg/6BvgYTH7OawkYKb+Px+Ry2WRZhIVohhJiUAGHTzZeXtZxPWhnxTvAahYhuqU/7HUknZn
oPS+qaKEj0G3AA5OY5/JshC2zDKNNn5cPhuROW4UWPZPgIyUfdVO1kOHqejP0Qn7BxGgWjZAO9rq
nWY8dqrxBfmlYMetTObAykP2zxXwxx7sn6mHVpJlKbXOCjEM1aLF0sQ7GooJBiGjeDHCLlvxKVwG
25wVemJzM4kvgpr4IsOpDcuLukSbTvVY1Tu7Q4jRQeZ1G6Qo+EX6aKw8TMt8dB7PQD4CPwDTphE3
/56/3sayoUUftx5bT2/7UyzRDEQ/stlFQZUf7i/0jeNHNErJWVXpTdHkuRxK8VEvaadYRYxJk8d+
CoxD5yhrOeKtUShq01zWAZmhXn45CrYUWpSbnXqqTSJaPeusY6dyju7P5aqmMX83ycMxQ2KRYn8r
p/313bJJELbXgXbyEh5ZEDNz0CcIqs+dzOJXfxi6r6YTBM0jKj6wg/xBS90yMa1yr8SGWrpJXkFa
uf+rbs2devBM7mcPYdF+OXc8eUOhBY56chwbMAnqL27IXbsyyhWMCAgtnUfiGKpz+GAty1Q5Oi8i
tDL9FKOsgYyT4+OIrKYhIlwIdX4ReRR8pYILQc3z/fIUdaIlRYtDqAH9hIgdLUQjPKKgk/2QdlC/
E0MCk8xCZ8lxDQPJypVr7fqz8HtxLQLYyL1G7+rys0SdQ1FtNClxqCPPKipQW23s1jzrr08u9XjQ
ecDY33xYFhuPRN9GJDLXT5bk8mgFMplGKZrnqU6CY9RPaAvcX+2bA1IYnl9y8CTL88RT509jPekn
6dnBFs3EegOYSdv1pJbugPvB9v54b2HQ5UXNDP8acLG9KBFgi9QK/ZSJceNbYbRFhuoxNKznqAjD
vdbn9rFTGm8XOb23R+/WOFCwQSGhzcsP1EOyLerU42Nel9+HGIviknbFQyYnZT+YK7HW9bXGT4UE
C26PmgVuHZdLnhlmBMqFn1orCKHxvCIfB3DSRRslXhnq5jL8NdTiWnOIeKaBLsHJMdJmS7+AClNi
aBvZj8Ee5uJaGHlrN3O6kdsAb6BSHr+cmm+MKNboqX4SoeE/+KHKrJC5XZnVdSjwdrJZAexiVLkk
ZnjFmA99rLO5zFK6yO9bp0zGkWsQk+zR1bN2oMmcr/d32HUG4KgmpwcXJ6JUwGqXU8tUrXNSOxan
ZhLSRYHnj1qY9id63PK5VlEBp586ffdCBPLvD3xrDfEwQJ9hhiACbbwcWEhcSUwtEqfBLMIjt/a4
pf88vTNSFBmcUW//h/FsLiTO7lyMXtYH28I0W90fxElBjwf2qxK+WE5VuGlgYG9PRXgltbpxHNgu
5Bx4r+DCuwRCUfMOx6FNpxNJDkFcNOoHuxW/UVWKV0a6sTtpSoJUBqbEeMtioYfSXR+a1XRC4ko9
ZIH1Ag52DUx3YzqAgW1WikHoVi2WKxODYc+uAacWQ9AjMVmwnXQ6NF5e+SvzubEz6MWAuSZtoDX5
Buv76513nBQJ3EKZWClbf98MuXiJY5li0jxqB0qBycq5uzneLBVg6QQw1tXUZpuJWQr3FEWTsbdI
2L6WSfufIqz43YQa8ko74kZtxCGIYQtaJqZlV4WeEQG/wgylepKFivJx71RnEaRIFHse+uWqGex9
u9Q2RWJ3exPP7Me6j5WVDODGcvIbLCSv57gFQtHl6cu0ph1TnvATsqTFPkT2j55jJA6CKuvK572x
PYnc0NkmKZhFaRZPGIIVjZQgb09dqHtP4wD720f4deUeu2ouEyHNTTxyQQcsAOHY5YwwXbXTbo44
RssufqLGy4Ms0Gcz0QF9rNUkeFIbv3/UUQ53hQHJV/aNsheF1A+5zNOHRIS/MefSjv1YZPssBvZy
/8K79ZZT75hZWDNA4SpMtqvIHms1VU+j00IStvrg2eyj7hjW4etQz4VKTYSPSZJ+1f0se7ZGFB2K
gTpwVkTmV2UEOd5UNjiKDpx42ZtICGRVtW2ymNLSSqBza3+wagbO0JSxaJ1dfk07K9Fs1k31ZDU2
XEmshj90ljGn594ajejGCzR3KqnVgecEFbAYSkcVRiamr50S3Jldk97Dy1Al2btGRjWwYEebuVs4
pQd68+v+ityaJC8CGjwmUpp4Xl5Osg/1Ooi6SYPkgZ5REE7/1WZvHpNI63b3R7pq9c+7k2d27g/o
wNDVxXmzvWZCpLvWT5NdvMvpBBw0P21+8DRkHxORyA01ohoGfKL9pw25/tmsk/EorHDl7rkRYnDP
keqqeApyuS5mPARhiHd0p598vUK9aTLeZb2NtC+Vku0U0czyfO3j/am/XZ+LEJbeOk8G0mkmT+H8
m/66zgurU+LBM8UJMchq5lwEyTMu0jQMaV8mMZK+8SNimXDe7DzudPROKtNCgSDJsByQY3zKSvMP
/cUq2Oo0VXbOqDpfpaPIHwqBprIPLB8pKTssQEO1Vpz9iaJ+6JG8qovYRWQI54VKQe10Z1sKji92
6ejftDYd343m0B8w7Vbki2HWwaNVztoobPMSpYE0ffLiXtKSRVO4oUlhFvU2zD1Mkgql756gJ3W0
q6Z6hI+mBkm6HTV/KjamppSjOwSaRO2U1tmLZo0aQAYSpRwQtIISuzTbenCT0ZsF/9gqB9OSWKEo
WfYTwphEE5dw632tS5BqUCmRk6ZmmLtlY+dfhdKr+hbRahuzpqDovhZTmKIsJaJfnlnlxUPT+uZc
7cOQfpP6xSzF5OQojHievwYtv7WpQQwhMjZXTiCVLq7ciUYUFgC1OAHPeW9NhfaMk8/0GQvF9o8x
qv1jA4lxa9Hze81UTxkAxBf1Ow0D++P9PXbjiSERAmbG863B8lmcrn52qNW9XlBizfwH+ogwES3b
P/zzKPMR1qG9kovr+uIhy6xa9yLFE6ekDO29p8t4B736+z8OolOp0UAEqVheS2q3l6dlkDrqJU0j
T2HTl7vSkM52wtd05U2+uvkYxUJ5eqbS6TBTFu3eVguMQfU06zSgzL3BvEN/Nyc5x9Iy1q6+q+ud
ZhYnf2YmE3YTQV5OqO9jA62TWDnlViRQ3S0+xOrYbJI4Ux6xp2i2qhMMW9vI1+BVNwaeUYEkGFy9
UFQXEasZTZOWI5Z+krSkz1ZV9G5Spu0unNJftoqEQRRPzRblpbXd+P9lgIsrD/z7DHSBO4j5KPft
5ZxL0KeoQ4fx2a4tklSqOsG+xlPnpa2VcNrSBFNoEGtV90IvMDrig1zsinACd5xCODV8lcKFxPDm
vYG80M80j6wvIaKn7zs1xhrQ8eo8/0RhJUToKB4zb6/5vaz3hD/5DjekFL1zLyhrpPZ0pB3qesgf
S6nr5cYqgN1suV6t97FmNe3GaWVeukhIYcZV4WZ2rKbCLxDrmIaTYzp+iIxkEp6l4nTnJOUAuiO2
RyetTJ13KOsk36Ncw7zVrh0UURIsck6xIuOvUTBqHdpkff9bVlM7IYdT6781yxtQXOnLdNP0Dk7B
hlG/cItG2qHWyvFrY/a+QNlbpDis1+YsJxjVA/rJpviVVr76J4cCTFYa1UifzIhSZ4dsP7znwAz0
h9EMY3ML47T+HafJg8LNxPXvezB6RMNmOCpx3COD7hgfG3NChdkPE3ksewxlApSdrGnXOvjEWSkg
hU0dmGOwrRrR/uoCaDtu2HdIyHW66Pboo2X1jpp5eNSURPdRt2wpptglfXsro5Lu5ai04J30XyuS
+GtqgOFgbXJHeZtV9Eh1zzhRKIy+GnZZo/7iBSa6T11Qf2uMGvswh3jrZLdTtDecwn8o8Wh6RQ9f
AAAtWvEuMOG9YLWUIPc8gIv3Vy6HqyBh3r1UIegascbUBS53b49TikVoEJ7VOvAR9lCVnRbW+bY1
imZXF2hTFRhvrQSc19VdOiAWXERuWGwpnSWxV1VKI5OtHWN0TiPO7MviC+zB0S0VpTjqYx8dbMwl
DrhHmLO9ln4UdHQnLICerFqG/5qCwokmZaEQQxsXNvh8f/4Vs0SS5XViLz3zO4IdnnJiGw29samx
BIHc5TkrT8t1TkgsbdKnpAnBmDAgLgdskwStd2T9z1oUtxthKdMhiuGcx3lav586e3xSY8Sh6yLV
DiH+HR801Jdf//XpoV5hkNqzDjzpzuLpUW30t+0s0s+W7+HriBfNk9TTcWWhr95q5CdIf4gWZhI3
3YnLmfpBV5WyDgw6k7pJ6GPKLZiqtQrh9QPHKLxr1E6RGsSL9nIUbi7dAppmnEyj8l8sAx/AJEOX
yUNI4P5Xu35mJPVGogJAU2+rdzmSGWBUpFaxcZpqCCEBbY8xG6MDKvgQfTtcJEq9FVzI0vlHfvis
40F8QemH7iFk7cX7lo0BYNKwNk6V7lSuVKz6uz+Uxt7pnfExln2/RfYm3+EPsmY1f+OsUumeke1U
fCFpW4vjUev4+aRlap68dPwyxo38ZLUyAkNqBo/aLMiVl+MDl0uwlUbuvBu06MGRyaFRgh/3P/7b
rXD50vLIUrehuw7nlArD5de3NXxYKlFE52C0lG0WBv7ej1P9G/51ykHNFH9bNLZ2LLTKx6PUKx5i
UVpA1YTykTfH3nlxJI7Sju1jqLXWbmwhCGte0Z6tOgsfGzGOO4hOJzSL8NgMI1E/WrVdHyXQiEfc
YrRtlKGZhLj9mk7mrW1FfYbclBvYumpKykLKxGlN81R7XfvenCgJbIqu0o9qoryyreDTQo5JCWLi
6fP9jzpHZJfflJoshKjZ3tukN764B3j2oyINhXmCUDG5dhumz6E1+A/pmPTv88p+iooE8nTE4+CT
aN0f/MZNyOgwfmgnAhwABHm5oiLIMJkaCIC7MEftJAsLvGzQVcdk0/7PQoR/Exg1Zpr8rPIM8CjZ
YdhYvb//K65Kgpytv3/EYoM7ntXiBB9I+jyd6g6OwbbqqRGYDdoZqAaEu/vj3djHlkppjKXGtpjU
fBElDzAieqzA5KlSUwXoXJTE34SM0u8mb90HswB76zaqnfhuUzTiGyGRhuNDE6PkH+rjLIQfeLif
+gg/J/u2r9FqlABvvxETAfvDTEE2mxIoboELVh0ficBNcCAkdXA+cDH7hpuCrkB+i9tjoml9jd9D
r/wcKsK2+zO9RqboJAI0vqFtMjSA08v1LfOBaLKy5Wkc6PBjoqo8OHXlvItSr91Ts1Q3Kj2tQEgP
TGf3Hj9edBH4sQUuEvsaB7e13ur1WvODyE/marOKPMBiw9V6jv16XsoTmL/qnGXOb26v/mgFqf3U
44L0z+8fw7G56UMQYJCFXc4/BO5YhuYgT5oWimczx1InCLvgYeUzX98f3IdAxBEQoTcNDf9yGHPG
mnMzWycD+/ofAPupT4zBWQt1572eo5rqK43yTYxK/anDz+MFA7GnJnKUXzDfSAz01Dd3vo5zylbV
U+/k4Ky8VRMRh26mdeMKAmM+Tpc3zvxj4YvTXuPeWcZ+VqKGRWuP8tRb/gSu00deEtwlbMd6TSb7
xnfhbpkT6zdo1PKgxbLoZVgI6xT3OCb5jqMdlKlCdVQZkiN+U7OCc+9sq85WV874jZFNguo5soTn
fVX2z/DZwn478M/aOA1H6k7D3vdTiaCd0iK1ChujqmDhekG/hs+4cadSDyeUpU3OpQ7e53Iz1NKL
A2uQwbmvg7OO+usOg5HykQy22IalbmyGqZ82MXHtGQXfV4Faxcrkrw/Z/AsQKiRQofiI/NhFQJ0b
jamruRmcAdqQGSJG4NIga3F8BP3YgoH+5wCe8cglQNpwz9DcuRwvVlPLHxM7OEdtiRGKXadHv0wN
t6tsJJZY8JX5XedMM3gIdo/kqTbB0V+OFwCGTsaKOoNqRYhHpAqiLtFDMTgZvsI+0jIB8vcrR/zG
mCZ1XOhLM/AGiuXlmC1wbVrtWnjWUWL+OGJ6W2/KAO/GF39U8LT0sqT4BCkUvHKsN1hT+V2OUV4A
xhGSk+9H9sbQu77fCAMR5maS4nca9L66lWOdvo9Ela1pVt7YBbSagAXT2wPGs7yUpIMQaY7v8Tll
EzQVpacuDA0Sb1yZJBqO9z/Q/M0vbxVSDAECGJU6wuM3TM1fSVxlBpPZ2H50NhNEZwFbRVvdrDEB
oKq8kr/dHgrQLxJ0c8a8WIqEojr+Y3Z4BrZmY6yXR8+5GqQYi9f1ys6+zp+YFV/PoZXGbbksunZx
qfgVFptnMZX+ATIHVuYGosj3v93NlfprlEU8ouBQNJkRowQCn8pWxaLVczBIVUttD61m2v4Pw9Eb
mKM+vFWWW1kd+s6yOzU6W6NpfCzbYnK7ccQgM1Ccx7YP1kp0t44ODFtL2Oiv0Y9bXEdBpdpGgvfx
WQfzt4dT2uDuKvEa0QmlzNmWdgxL+T9Mcm4vA4pnkhQWLs+rNaY+JqxedJ5JM0dU1fERBU+3C4Lw
Zy6itUj6OowHYU0RhzIOGjhshMvhAiy4A6Pp43OEsfPGEtlTMygf09L4o3fi7AzRM/7074Yy+1cF
EB45ujxk9jrkbzAJi8Q0oEhiagl3oddyuYe+hc5sOnYrX3MhOwyCnGG4/Kj4o+0D6GixRZvMq71A
pUyFpgl8DghVzdcMHo266WMSss2UKOYDHlNY7TaS4mcLrRP7vw6doVBHpBzwlKH+xvruFExTn7uW
N9Xmzu6jaY8a+dRuUH6I18pcN84VHA9OLXT4WcBz3ph/3UkD7o2Tp1AZtvp0bvE35SGUcXiIp0i6
I4zNlXN842IiqpoJ+DQ48Quag5K/xoMumIy2F1FVq7rXkHL4Q1R3v6HFrMk+3biWAJtDS59hRAw5
T/yvgcrBc9Kis9Kz74dQpvPIcBvdGlYW/ca5tec+8SzAQlHHXDyzMh01I2+N9IzkD102VZHbHuqa
m0sn3mXoOG0r3bB39y+na/DljHwh9SBzmYXqlh8xHaqxU1o/O/daZbtgKueQZcB4oBvUgw3A4FAF
eX9OBwOsfY5iW5Q45vcC7fctKTRSyh4i146Dy3EoIENVrV2+M6bVIuKNtbYJLecuGJVbuIOXS9C3
dur7cszOUdLGT7Y6UWNXcQgtBrtZWYcbq81SUySkWUWxconpaBoknSyo+WcdrSe3yhREnhPEtO9/
+Cs+LUccoiUIBF6Ft8Dhckaq1WtoL8X5GUKTAWBcmI9eZabfprJ7O9W0Uui5Pk+R3x0o7OT7ItbL
F1RJqRmYZrkvpgaKj1L8roo83AOeynaVlwx7jK/CB9klr3pkQvXWi+mnD83OTRQ4aPfncOtLgVGg
O4oEHdHIIvRW+lkZsrNzAlFV4xauJToYwRrH5A1Ntoh1ZrEcMr6ZxwMa7PJL+VAAAfk5xTlrjJjt
GHXhATl9JN+wWhfJthVF+COI4QpvS70RX6bRL6xNbxjed1oT2rkb9OGzp/vFx2yS8oeXjXW9d6wq
Ouem7v2EUofJsyTarOACNBommLaXrpyzW59qroLP5ec3ucTLOUxOKcowj4uzMPJZCKHBV3SqU+f1
/orcqEDAeELBGMQHLEni9stxfEcWw4DBwll4HvIKPUbetFPinm5YTYW/3hmttotK5Lgns3bboX+o
e/Uln/5Nnf7tAaNCTWOULgtlVHX+Hn9dmQKtARY0i84S8yYX0bnhITJF54rIqQ/O1P8ZM2vfek31
WQxZsoIEufEVCFRJhW2wiRIp4kV4oMV4aEPJy86V6Cw4pNrwRQSYL8ApkocI77t4UwjsUUw1D156
1Eh3hezsA6TVyJVBZe4yQ+QrOp033nSur5k3CF8KSJCzeB7hy/lBICjsWWLwv1d1jA+jAMX1OmJ0
m26UUs8xU8HOHu06I3yKykocDQGbbtP6murtQv7Wj8TSKPsOYQS9pCmHPzinQGCNMk+l0Ydfz1pH
4y1wuzx8DsktoBpUx3QSzsXhi7x0SGCXkkPVRvVBlIH8nPhzCc6nQYFuFIKT+Zb8w/FwyrPKB1ak
OKBKHSpuHyKD75am18b7MmuNH7mnai8Nk9vr2VBxzgalm7232wgyoKfglFZzF0JjlK0OdH/U41On
GLBzrEKpXzEL5s/gCdo9mq0dHpUYkry3x3C0t4Uo+2KnwYuOt40TjS9YZvvmlirnALfHt6EO1E6G
lbtXKHIvSuC5u96uQ99tK5EU20ktLWpVoJUeFL8N1EdlCuoDhQU9xRHWzs5SqwzwwtVUYVrjo6EI
okDZkgW6TWS9Q9VoOhU9II3JnORPDGplufEMpfrUNnobu7oa9N/VyjJiF/QnHjJFHWc/Pa/LX5tk
kjiYaHZ2bGzUWDAa8HC1GGgX4w6u4G+7mYZBwWaoj2VLFTMvKlfjfke017PAnZRpZp6b2Cx1KqT+
+CuGf1S6o1PTQY2QUcJuPUGJctPWtf1nNAqasvfvHOfqbpuP2oxvo+IpKf4sNrZQDDOEIzOdZRkD
IeI+QDSyzAsVI0NMeWEgTxYBYDs52UFxkl79HAF03Xd6hgogSBENn21lGopNnVfitz4M3iezw92V
nkvkuxUuKZwO1BAxYEG797+im7zGhUXXP8G7VyG8sgQfwpakbtf6hv4a2k2QbsapgiluiArrv1Eb
nvShmWDlBlXJ0IkuZrs69XuY6dOXXE04OLNpsdh6iZqcNBS2aDY1Y5zsYPAmnptjEFXsYtx4fmBY
1OnbXLcbfdtz4omBnLGHopHYpHb4AovXIczqhyZGB2ODIGc6HsyoG7tNZRj0YYakwQocOJa/t2q8
pN1cdI65t9ui0zYKjIkG4vrsgWZhN73DoD3dRnrkJK4o0WIofTP45RV+HgKY9IPETRNNBo9w+xQS
gEgEf9Sp8b+i8Bl91LAhtp/KSqIgWMxMBUPM7oV0N5xdn07g0/okRipeEen0FEOaznY8kMYrurYe
l2Xr+9+90oeE3+sdPLneCmYXKeDlrqKU3ksQp3H+zm9ivX/EC13tDvYI7mw/VXn+8f4eu6ov0hCc
ASfcHjO6R11EGkHoRUnYNvW5j+zENYsCq1m9OteqX206E6VSM+l/1INwVoq38+12cfvBV4BcRt+a
tsUsGH35jI0RMVg0jdW5iBPh5i2SyrmvI8PoGeWh6VbZZjfmOVPXKSHxiJPRLOZZRxmm24bHeIn3
1Ca031pMqQH7pk8Y8h7YW5hN6uKfs1qiUOZIpEmrke7nYlhd+po96V19DmZG9CwUv0skwvz3F/Eq
hqctYM1QVPBKlEGWcVw9pRxPNe3OWmmdhzb4nqiG89xjKb+yW24MROgjqR0CmWbfzH/+V/DhNcji
+HrbnnOEsbckLXA0aQns47JaC+OvNwg1UTBYbBFK/NT/LofqNVALxI/DOUN42OVOmHZQK+0na0ws
d5gx8Pe/4XW5m3rv3wMukt5I5ICW2mE4T8ag7Rw4g64zQsUXsY74Ba/hActO64tp8iwXAe5iFM7z
lWD2xvc10QAhIQNP4aB7dDlpA5OzurKd4eyI7E/umPFLNk7YSXN8V1L8axgm0yWrnWNm9gzlhcuh
ZBXFpVkpw3nQtfygpLJ7qrDO2lVGPz4BkrDd0u+jD1nuVUefH+0CTmu3Smmu/ZJbc34T2abgRBqy
/CHDGCGRWzY92blRbYa+NHeyCfJtjO/wdmWNb401QwoxuqU7ri9xkkjBgN5JquFcm+IQJ/5/vW2H
r2VZbuzZLr4NtrHwD+NQPoCCeAJY/alhG24KSygvVjWqsInl8f5vuvGTWADAjjQSKYIs84qwFaE9
tfOSyyE5ICDZv496UI6VTmHp3++JWcyKvNgBrEUd+HLNnTLpRoMayLkyG9BpcWR/jHoLAUmBgNT9
aV33pikcSXqIGGNATAPncjmWBAelBL6hnXtQvOR/qpWpe4PYK9t0jgPXL+yjQnHx2yTkTWdlw8+q
oinPYT2gkxvxyfTNZJn5qeTh7Ddj6+F3QTwdzVqq0BsaLxU7UIDyxwRR9H0S8vi61dD/GaY8/smr
02Jm2CvTA/xfnmZrAJv2Mnl4Nq6cpFsLyK+bs8M32dH5z/+6E40h74Q/yvFsilxAF8EBK6Cs9YHm
QrmSft0cyp7lIDgrVDEXZ1bp2k4ZY2U8O2M3brNZ+S9IcZ/yx2BcOypzvfXygaYmB6FqbjxSO7MW
64cWXK5PkrHMJrTcvMGdx1AkuucZsuZCCV5gyCjbGGb9kfV47nUnX/mw8wiLX4ChOjcUWwhFmOVj
Q4fTHAi+x3OdAPtH+0slRvPRO1Um/hXF+NdEzbMNcWa69qDeeHzm15pOOKw/yGSLx4cu12QGbTKd
TfIanEPpAVayL8mOcCAbB+3fzyWNVhjPENTB/i615nAArjrLGtWzA7vHCvXys0hF8zD0UNHvH8sb
1z4dzpnrRPRF+ikWAUmLu+1UJIl5nkBTfPYcevqRg2WqW5ZQuzYdQr4PuQIOAX/rBDkXZ3IGfesX
MZiesra+3P851wnOjIqnBMz6Uhdc0h2N0u8QELW6c5xnMeTiynGdXv9nrAba5UAHZ8+puXSz3MqZ
7oRlqZfUUI0g3vddxZx1I3rQGrwW467RVgoSN2ZlUxwx53gMAcElWoB6PBIcfmWcVUR9Nn1GEazK
nWZ//9td79G5agfWy+EZn1vWl/dOW9QVBfNanrPKzB5jyDDH1hfBgTxiOI6dqv4ruon7YK5jA4qf
V2qpse3VZTKNxijPdFY0NyWu3bVqH7mdnzjHpsQP8P78ro8/5B/gTTRrUL/kn5fzSzMfTQgtsM6a
M8AYhZUOH6ZRHvySgps2VbU7ZbZ1mJTg1/2B39bn8uLhOX4DKiI5a3AJXo4sgwYZkYovi1NW/8cw
CKp9JcGTrFU+84nrDwWd8m1Y26Du1QRSToFNKW1eY4dIwvhOC8zEdSLxoyZCROgvyM42esZ7r7GM
TWiZ2XHl917vN14fkihurDea7eIFqmOsvoZWWOcyUbKdhC7kWm0dvXo5sm1qj3qk4/XhlnRrfM7r
rCA79sOd1hTKtrZksQlg4btxD0rn/g+7/l2gKEA1zJULOjxLOIXX8TlMf/A/eDpgeGJp3Y0QrFx7
Jq5fKijo3EiIsDAGni+XywU+C1dimtkfFCqTZ6csFTLxoQVEoRVN/z0fPONslZQP3Im+ir2PfGSF
3DDUtBzpv6r/P/a+azty5NryV7T6aeYhdeESQM4a3YeIgEvLzKR/waKF9x5fPzuyWmoWqi4xkrql
7qVqNsliOgTCHLvPPujIG2nZIYa6QyUW+nA/oyVVI611NE2y09BbWX4YAkumuyjOJn0eoInx4FXF
yIblqj4OxRLdxdQUjjYRlmGJ/rDLZXILmvFxo6ppmYCXz1+hGgJAdMJzj6Oh+WFkh6tVmzxo6NgA
qoumQGPgWFNjA0Gb7G7VoJa/Lf3oBPWcvGpeoNQ2GKnSm6JUVqGR5oF0ckdNM+HRJE9CkfklKDvc
PmEqbuYNeANhJJBC44MkR2jfVdUDuCbkrkR/27wpXaMTC9EB7CN8DXIxFKDZ4sijeqKUBSjs1HxT
NWX4XsAmBcO55I13RSaph7BokohlYyTvEwnEg5amoQcOOMH71iMNaPeQ1nFzP7biLm1p7Mcq9lWB
QCtwU31tSGg3vl14rg+kVq6g728VqpE4sx+4EfT16eXk/JySB6ApBNDkr7cDiDWbQovr4BTWoKNf
qZ3E5ESr7ytlAUoXua3XpbaQjaxAumsEn9yMjfat2MLlL3E7ZLiQ2JyYDsGIDjWKi8ZAaSTfJ72P
4hU/UqnWBSqCsFpzhcQJeu+24Df9/LTxD/7qvkG0CiMJqHL4MGBinty3GqBnTQMQwQlpnXLXZ1rL
Sl8V1yHCYubSDb0djP7FzBH/ZrKXsMyhvXHygFCAx/r1ZC9iHEscJ+mUlL53reqY3QBdxwyvjAV0
y45cM0czMpJGefaKSt1iRiddzJXJTQMbAaZZgCPBlzCNfNSlJHYYgXIafRVgtL7RlwsjlJbdodcH
cS+GPoK9bibkMlEVrwEku10+yJUC8mA9K1qw6JdZtWnhE3Vmm6bKvlx1YHJKk1HoWA7zCEyTaKSA
qOLKTc0u9CoAakHVQ8C213gGEJlKyJRMWTkR/BkYoyMo95kopjnoyRASR2dldD9HsCkowFfoaTXU
1ufL/o0ZgKmH/MMPtAoDZ87EJ1DrsOxKGDenFcK0AGutEkRHqtHMyy410AgkYJ9f75v9zQNolzAa
sqsAU/DxfHB3PJBvo1FkKJ8qtYx26HGEUOzS1eObQsiuo1KQHoqsWz6gGWI1U7rwjTrhVwbjIE9T
Qy1Pc0+lvKgqaTHIp67seR/iRUwBvJlTWt9ayLgMYIBg6cVkIvA+mdBklfSdlBfyKRi8bB2sYvTM
XKI/dxIh8BTWowfqPynci1jcx+UQ3eu1Ejigqp7jePvG2ePjgJMIDxoWEPKzX090nCtNGHiNfEJF
xXAtdGlmr3Lk+Px64d1+vqbfm9mPl5qYWjDoEkWBuDwlOmKTfb5IKMyiObTjt7IC7jkMcATzQKAL
aMnXNxRoogCypUY9+YMsmpEQJA6Q4zJadA6p3eS5uPYkGa22hGbcDZEozsjHbwN8ADUh1A34ATDz
mM+JnRAoHXS96iqnXOl1I9QTK/DDmCh1sQGQ9aFNhX01tk6mlIdWC+auzufwa0kF9A7sdbjSSxVZ
9ckct522EOrUX57GsR93TSTKR7Dq+rs2qkcGGopuE8V5uo9kIXlEs/abNAs4kW0ZzlmLXA9MBgLj
lteLYRkQ85/oiWrVaKNWJouTUMJ7IKLWIZENfpb6UOK5KzVBl1hSpH0uUx0sd++d19g1hCwqSrtq
oGOdByJ6Ta/C58834TcHT+HxSBR5QZlIwJ5N16eKPCCwAQ87Ss3gWb2w3OreINuakskZWuckwxpU
vtXVMgJ0pgiTBaIQUfpUeXIwdxymR4/3t+YxMqgVBablFCQmamXgqwg2H9NcKnxWDYs8MiQflvsq
KqKUotgEqYolqFDG7Spf+CjmTwpwuHnKqr7X8V6X9eBnH4Bga0SZjbIe8/xXpwRGOYKciQhKpUJs
AhkMZtF0TLeuFncaKbNoYZexsnwpgMTfIrHQlagJDaoHHWq0IagjyTsC0vL2WWlG5W4l5MG2yASk
FmR4Syuapaj8o0nJI2ahF/W3ujzUgPSGyQYNBJfg1wpTicBkyyVWwn9ZgMUkH3vEduM0RHQF2V4i
9kkw157qG54V7kXBUEC1JmCu3xIBCV6dil1eRGdPiUrJ6UdAbkjteyB5DFq9kgjkffTWRlJ8jbZB
FeJ1Y1SfpbqRbRjd8XMghgoAyQgRI1gYrjyfgpAXsQsR3XfeZ/YhlwMfDwjGikYjABKg1h1wpak/
EY/LrEpCjBUFuuC0jPS4pm1biFYiC42lSH7m+GKWWFJYRueBc1cCe9EysYsiiqjnHKmKOD2w6OWC
pAuQJ7wsA/pvYmOBaTcYymIhnRdoJgLSdBshaUNUH30dcYxKNTmdS6Y+JWK4X46Yuay1lT76O61q
DAJ1CGi5CqIcFFxc+Do+qH0wrSybpSsJ5zhrVIpSTKzAOKhWC3N7nVRCQfLc7x47cESDxHPG5vgG
qASrFlHPS30ZtDIk6Neqo27qpaupiXYepasg3lXiIUNSVpcbBqpKxhurKWDnDcOTWq/Qye1+QMGX
rOTUW+4SzSlK3VBSkaykuzANLSEpjZktM3VBL+MDYBLynY9v2hKt17t+EYmxdgY81koM3WkNnfSG
T46fX2iqQvl1QFSB9AV2J6J4k3lQurxH/yDMQ0QkClYU2hIUoZA5G+8bUTy9zsTIC2Q3bzsV9yNQ
kVTUZyCEZEZIAA35sq/+66uu8F+6xL9kOQhXPDTyuzSN/9uf/70LXmBlZ+/1/+Vv++Vx3lr+l78O
+Vt6rsu3t3r3lE9f+dUb8fk/X5891U9f/WGkdVAPx+atHE5vFZTaX/vX81f+/z75p7fLp1wP+dtf
fnrJmrTmn+YFWfrTz085r3/5iXNJ/dfHj//5uf1TgrfR7CWr/vS/Nm9vcZB6//tPThU/pa/V9APe
nqr6Lz+t1D8DIoQo2ArASTiXPHvdvf38jA6YICIKyIKgoAMbIs3K2v/LTwtR/DNy+ngPIC5A8vKS
adBBfXlK+jP2EN4Afi2k3hDW++mvA736Igm/LJH3lv3895/SJrkCEqOu/vLTZXd/EJhAxEvo/sMp
6IHgBdh1IqDQnCCMe7jiltomZNluQs8Oyg1Y2JLEqUumoicB+IpSxOwVdIAT7L62VXkDzjAypDKK
T9YpLKAYlI8E9Fl5AD5fW+iorK5LHY1ADBVxNYVWOSuqcxta8sJauHYJ5K5Gl8U2kTj6jPkqONjW
ZerI3dZVnc433IYuY6bWVtJvcnQ9yEwXrFnDdVIC7LPzN9ptdZ28glP+vX8CfEbZDwAIhw+D4iTu
HJyTn5fPZmjiU0gwq0vXV0DmtzCqx+FNu8sei0dJpcs74a31ifYs5kx7zh6zx+Yt9UkUkfG5B77w
jGoQ12yGtyEAMAYSj2QNas3sLtw04YsaAbBeWOG4q2Q6hOaQARsDjihQtj7Ei3cY0Wjo4JM+vOqG
GZF84dP75Jb0iXuixXklux4WvdPu8/Kox7agb5aLm1xCBTDZj++Lo37fbJPr8TZ6kI1FTKIHOGtF
S9G9YVVQsGGijDQ/dS4ZQKNVoryayHjjh0P1nb05O8yJ2f1vGqYys0Gmif8/wAaZkwrTwpX/PKnw
nTUHzxCMGZ7+h9vDA3ofTKpEBLGQmqiyFaSFTlDiGKPRBQLxrsqioZ6rR5i72kRI/5NXm1psXCeA
WhQkUQhPgY1gahGVyph5Sgti4Yaq1kDRDZWGLGQ49HRlQMTTEV9LGjDUyDOPLWfEE+z0b0XuxwFM
DdYkjsbcBU2rpVidAeZDdBNqADMlVQw6KbK8H2i9BY6yRnXntf7Uv7poL3MDpwS8/vi5qAEYJNE6
P6MyqEAR5GihRE9+DtZJT9Eymueib5I371gjFaZSD519bxZ7WSP1JrgRUBypIfFC4NHYsfDzH0pO
eo2gJ1MXAjSFcj+iGVFGEIuPKiOsSe1S9drb1u9+whY3i1146tCGHSmKtXflPYxPeQ8uHZruO9ae
PIW6Md26pNmWt2pM85hstZKo9+Jt9YqqhsNw1208lpwKgnLJ4AQeAKSihCW5ls0eznRBx5hmaD0b
0s43xwfkQn0GXtbg3cez7/lL+pK/lCHpPP6/nBN1/yrsZahd3lwEA6ZyfoPgPlCkcWQBXlyCRAnN
R9AW41HaBKzSkfYkPO55ri0X5cIAKmwApJ4jYZ1f5ol8/7HMf8RlnpMm0x7kv7Y0maRWvggzzsIJ
KkoJ0WcuWz9I6qLtRd0fYsXKJe+tkxSwUBQBqbUKvbpAl0YXsjLnb89dcqIcfo1LTr2+L7eJ6kiE
J4HvBKbg69uMllJUAHioWED2055V9PoOoMs9bWZiCbMXmpjD//CFpO8pPTTxgVOCkB76tkxmMZAy
X9KrAv0rXNelsp51JNXQOQ3oD1sK+t6s8t6ztRXqq2TQY5oLRMZIqUZLzqqgG5yWE50phsQZZD9f
+2hqQhWA1sHg6RemOkDylvsiR2ZZ1SGSQzdKmRtd95ISg/CtniuEn2LqLgv08XYmC5RWkRqUQahY
K5km1O/Q+YWO8JpGUoDLSadxS72UxQGDMmtBdkeE+x49y4orKA63JYidaf0ufYoTogG8S+eU7neP
6cfxTdbVS2IBHRwwvgGWvQO2wtxxY1Bo0fBcHvR71dZt6T6Hb6Afuud211vlLpjJCM4t+ZTg6g++
5MuJfvtXLznfcRMvELbd3w7YFFGa+UkqSAuYecVTAXYYVH89VQ0BOJB+7sfNba1p1uK32Fpz9zrJ
X/3D93rhDppOKm9vIAENyP+bSK2q9eNwBAOqdX8v0MPBIzV5eLg5n2eiEpfF+ew6E3Hi6Sn4Cvl1
hrV3qh1gAImwdi3Prp3n3CkdlBcaKoWB7FSkJ9bCkinolQhsu22+T8nT05oZC8tYq3gQmfR9Tu4U
opKU7NGHi6xmjXppEpm/yL+PEzOVL2WvBwWKxK0MuYAT5J+LMrPjyvSvRN+IaJFRwSlHmoJu6Jiv
i0MpULQY1VAxdqM5MxtyZiyXbOMHmwBsGr/ZWOY2zEXffhjLP7phvqu3P8z/heHvw3WWvodQZIIN
05qgNVPX1aMDJZNZygqkBMYsq9vcel8yIx+u14VFJSBLqVg161+Snq0O8TVIG5ZA9PjMDxj0HYAd
tUZCWw7oSr6OWgQPacFQoRfDXZrDWsydmMtCfBjQv/3EzK7YJGHwz67YlONxekKnSOZKbVZtFGCH
pAnNLAFuMXVtRWHiu0z9CL1Q2WKOsWR2l0zE5W++S2YnYSJXf41J+F4AEWhgEOPxOr7VN+U8chiJ
YwdQncXYY0Yec7Ozdo+gTGb3ZsjIm2eQilVMPzzQY2XIxD6f98jvk4HZm4He28y+CYn9uYgEsvo7
1sGHQSmTGHHc1DoIrDEowUJym0HRUPW4JL3pX6tWM5CW+S3+qtbZplrjIN+rO+S7j8gUveCVOV3Y
A45+bcrkdmG+Frb8sGQNXdkuLWz0WjT0GxfOydE1jrco/b9SDfSsIrLtoIyS6kx1EEijva2zwKqJ
RvFt1MS6QtbU7De++Qa6IGOkFcuNt3KjoHHg9RVCUwsDtvNbtnOZclWTtwW1nMjSjBYTqBJqPNQk
wsdHVH/V2VsMbWfQkqzBq2j6z1DVz55VmWhNixeDdJe+XC13JNle6UwzloazgobSaI5xqCwmRmXW
RHBaquFhBa8AewINLHeb3gW4pMqWJ23Pw2WiJTh34Xu9bsw79LBb435eIvqisu1Dx+72OrlDeIve
XZ0SaqFL6TYlmQMmVyhj6w5PgWGfLNdr5CTxcnkd89ibYKKxMVnvz8cjEKoEEEGiGpvK4F/34BQn
m9f+gCYIZkNLVhk12zT09VaC6E8IKMBZSF+XeB8ox42SpduEtOb9piG72AHmmUFBsI7e7zahU7LC
QHTo4G836ZZ/WM5K03e6dXtfoEMDyTPS0WEdbkOnAYiVIvNDmnVI0WzsSkL4MNwOa/nAL8tH6FIX
37doQoyviLzuH5aWe9DJk/3ekNtb4Qicc08EQootSCoxx7lRMeHeeIic2lBJa2TOQ8Ua1rFx3Zna
DtO8oD1xPGINZCB2Su0O9zdzErhp+I2l9cvpnNIX5w3giShoVKwlqYwYd4ob2JlOZgXksOvZaKbb
zmBXmoXC7vVD5RjiGkM0B9OgbMbqm5MU0xq4f4mkmJufCSaprIuiBm8Bnx++qdydduiMHahFkeJ+
FNnIViSh66dhSw3ZwhlIiWB6V9v1+nycmZ55oTUx838IrR9C6z9TaE1sx9/yUM7Jh0kA9reUn2CB
/I4wR1oL7a04Nek3CP+FUrujD/Id6KaSlUywuH6sjNZszcZojNEc8Tu57c3eRO6J8ueGdQEtWV9e
xzNS/DlAKc3sKXVEUzT19cgkKrKlKRk+TYzICIyQLYzW1k6t3doLqjIYNGyF3wEs6iVoDIjUUK00
09uG9VQl24YZrbFct8aTx1ZMN7gmBSeP0xmL8wAtCoSa2eFRNC9kyNPAZ4fFEMOqgTTdh8QnN08y
fcrxOHfxYTRYbwnVrzJox1NkXZ0UVsMwaskpo1upIdF2tS9eZGukW2jalGyvtncPKoICPrFjmA+3
GVmR8aK1oaZfN7dL2AqIZ2gEFuBAl+TYkFc+N+98QOd3qG883+F5blS8vr4iG7qmoRGZnhlbCYxX
hQxmY+YGnxaAMm8KNpiqmbDc4kYBap5YbH2ut7GeM2s9MeUDEImlXpkh8o/VazB7DdXxzVdehirn
K7lpGc9w8mVU1p2RO6mjW7nTs8GQTQGpRwlBlBxWeGCgS5jpGb4Z4q8U8fXEQME5Flxmmulj+flj
hYVmpAhmhGZgVDTG83i1mdHAGO3EivBsb0c7+LxokiQckgwmjWCOMEFBBbQd7tGqGP8rB9Eqjc6s
nNEYGCx915CIZPYGKgRgTeewwXAz+BIxqsBwcRsqvgcD1hvTYHEXRkOTTWHIB9USTQGBoNhpzZyh
SQws8CW2vY6VycyaSnZOaQo8jeHbpLgWnHEvH7Nt4Ujb2qK+4THgZWlIRgxHXKd2QAjMc6OwUjMx
zM6p9/VeMAWWrvFJuyNDnRX112hfR9FNAluYm55o90NjGJIwDGlw2+Lv2MhYj09skU1Gny2KJhus
NmpMxQZxJxig6M9n6IaKbw03BKOdHx4EBmxtu9oGpr0CdE69Hg6NSQLHcyi4kSx/bvvMiopJwOqH
qPjDigpUmH0uKqbOrtsoiwhF8zw4VkFQVAbAsRD4veke+58Vg4uzJEFG8GeW9yCcgHwQmWAMOIGu
JdABKImUhWZiLehLC4cVm9ZwAvDj3FdwBxo2GgkLsJ81HMKYxtaapbt61znqfY/9rBAXcdhxPRwA
O2A4FZ6RmoCfc/8Cp3egSP7jI5WDQPbSvX+qabxeObVVWzh8pmwBfeX4+8xBUp/ql5MDaWd8LlJB
aTEzT5OMRtmGqIbtSsWSERLgJ7qh8OR3HeXqsTGWL6PZshxqcTSX97EzQiqh9yaTGZeT/EsFJlWl
jRUzwKAhMRUjZpUVmj7mzcO/QSJke4bLAMLHb8/ILG8dGLFZWYUlPnPZG0GyppCvIcss/8zflwCd
wl8bHAMoX0DqWLHD+yB7xWf+CaIdmgXe7zOsjZFQly0w4e0msfirvryyeuOvyPDlm/ynt47NYC3a
hYXfuGJgFLSyEow7wLrEJlrL42eEkUVGYuQmxoR7TKEF0IwBI+BS32U+7iOx8L1LLH4/PHLhrUM2
2hkfj8l/Y5y4kwyv4le+fB+4nuDvg7Ddt3YCkcvFrgYDQkNAIaBXkZPAZtiiIyDsh5isjst15cSn
8KTcZw7EN3Rrva+uxXXHehMUflZzMXJ6ePbcmEExARNZY6VYBYX6NIKWawxoDMhvkBxZ2UVGZ6ze
jwakO+XaRcJ6eTbfjz3WQMApcY2c1rSkAgOn2mlJRSQUIuYbi6vAjEzf8A0GNmkYJwu2gHrnqquA
QihN1xjs2PKg0gZzYAmeq01EErhBoWCsrclVtW/xOAWYbKAEUDR7GphIt7qZvy9hWLjU34Fajw1k
eYXc7tpj5wyoHwttNWlq6afQChjUvAu95lIYJQPOlgHWFLrETCIls0IUKKPghbGWdGUVTrWttpp1
3hVQlSXU2K6DDpUw8JJG7F40l7jpChNUGTm2PT9fYB4E+CkyZeoBCLWxNyunI7f8DnVMDIaM4TO7
sZHPhcptcEAwWlYaDcsQ2soN7YiKD1x7ZRCovpYQDVGDkd7YLvQ87DIboXCncuR1tRUt6V55UV8q
Nrx42JkVi7b6trUd+NUZHbmjDUQ5zK+EbBDKYbvRvDdbY7HD0sLy9Cyg1K4W696KDfoOYjj6/h7T
4yvS6fR8s38Kyc1NR15h9blYMNrY4Y26Zxtu7YlkJCceYqnINb9KgX9kuNYK5iG4RHHB19fblV0y
hEEY32aF0dmrKw8rrGOmCtjTA7YWX9Il0/Hy0kS8yersbJNhYbgs5LPlYmkK7IMBYHjkhWD1bAG8
QnivM+W1b6+xktwcB8kXdh3fTMiWYwu5FBy7+HeIN4BPDwK2gJ1JNStzNEvExMlr9X6B0FBq4bbo
XmJLOmBittS3eXiPGCvLkI3k4B3eM4DjQ8vF3k/xBVwbboELahmPrrCEGgNrNz5mMROyWF7gL9Pw
0gePZBrSUXL0MW37CnmSS7SuMKSLT8IPLLdQ+aFABuXin/T33PfgBzrbQ/mYno1mx+bIyuulKTKF
ilsRArbZexsNf9eOYMgB8WyF8rOr0h03U5fb3HwWSXMDKcbSw8VShVTjcgwWq5ma0bqxCsg7WK/H
4aaxyjO4ZHeVJRJIO7wOktASN2hRanPJHEICZ9BVXNbB8kVsM+IoQXzBzViBEPLQH6WzdA62zYO4
X+6irecs9+1dZvVkgXetDB4iRWT1agXfgMtCLofRuotdpCw0Q2RFOLcqZOGXz17gL2+rkBIekwIb
FtvG9kwdh4yvEg8wwrbeiEZP/dvOxKsQzm3xnu6qparTbyCZrfjsGXyMtY2ALUPgrjZgwaY3Hoth
YyMufdfdlVbDCtidAeRbhM/HLjDQkQ7iJcQhHqC0R+ymp5JSmNUltifWCSvoW9VzDKcmZ9IRfhzO
P3eBQkt0EA3FLkS4lFu3+N2afKVLhFq56uSimUfX+b8QZoTKLwDkKRGMhXeKjQibwQoOA2KcC3xi
aqEyGp9y+TJAzwrZxMOqkF2YDB+7WkR8vIFZLUDCrqwO7lb+vgcW0tS2PEirXcSYB9sdT6EKJcNP
uBsmt8QbhFh7zBp/e2+M8BVW8Dlkwo8wP64rCOwV3FQPMxJjzsHBeJXcQcw5Lk3gzmCtsBMSiDbu
8MLxBGKUJzBqfD53dxpHIBQSHMdJu6iiy8zYC3yk9tBtFo6Pw3z5MuN1a9V05aR7AWDJ9LZdL3dY
Lh50J/7T4ghFbrhnFckBbKW9y3QH35etqAOu+kWhgg77LsIQuBOx3OtMxjdXrtGN6yxOUMyb5Ka1
+w1XzDAeTP4J4LbCJ3KjAkaJmbLA5s7giEP0DM+7ciqUPwQEeghffDVCCG3J3EqmZrzwjRzAKOgs
Hy4gjA5MQbJF2eght+zATCmN3xoEqnWsboNESIH1W7EAW7m20FisIPQV+xgTxGdbOfkW39XcQy7u
+GxDK8LZwV6/5mpocc1fyx/VaWXzfy+d0JJOXHNyb9C34EbBG8SrKbbdjEE462NPiQt++Ng/fOxf
io/EOXdiEq5HrSmKVztE40IYv1xxVDDynriYlHZzoMx554WP5gMA4Ifz8sN5+eG8/HBefjgv/f/5
fvEoj4B+5rpMMjviIkm8FRffgBogJu1YGmzimSLAuWtMAEL/0DXmnbBJquCHE/bDCfvhhMHu+uGE
/fudsFkrepKo+qesaG1GHk9LNAShiJJVj0xJR5VL3iN3eOI83coHnljlyDHkHwmCFcjuLi85xBy+
qYa48cgUQ0IeY4lY04g4DI9vf4kaAaens5c3HpeN6Fu2IsLr3bhGeBv1ksbS6hA2QN8L2gP0mDEP
8DcekOExjy9x1g33j+dwX7N3Osl1/HHvdDb9dcmkf/CM/kPTXyDa/J7BA8JEzmQFtsYphLwrW9D8
tDXf/IjWIV7HY263t6+3A31GUBVk7OQWD+QM0fQNYIIdfso8tM7jfYhDOSN7Po3kUOClFUVQ/XpB
DoASrNNDeqgs/aq+k67kvbzrj8p1buQIaBdAjmhIV1UILZGrq6sXkJ6RK0Q1Y3KFUNS4HteCA0zq
erQKtkSovzEzREd9U6SZMwDMWoD/BXw2cK59k+DdLRnXDzHRju/vZ5+ckQbAWBfsNWDHd+QAZNxD
hMQeWsXQWw7bXJib2w0C39uGuPT1NaTAfiDzh+j/bclukdpAXHDJbxgQTqBCGv6bP8Pv/niLubjM
ET4ZnSYur+CgguPr55nJ70fRP6zMxLePg2gV6VGjAKvMvzZI+dDHzuhZRu41Yl6jEOcOXYjJqSfX
l1p2C+BlYmwJ8C9bIGhuUCNjoFUMQ2MhwtN2LZIrZorkVWgESEzgXkLEXG9fAbUZLrP2DuxLaLzP
tZa6wEm/Mao/3MnEqO7RoHvZS8gHqI/5vfsGmLXVrbVz8KQewa527K/Q+CklvY/+1QSlj8KKgNJ8
MRJtp59RHKigq0fIq2n65+xFRZKPLYDFDmnlosKLonBQOqpG25H24fMVkCdMV5fqAQCq/nY2JoY6
OqmBpdfF2QCJcoA87RtPgSb0BRxEhHkk2KGt1E1iJmZsgHr+HJ39HToTI3MXICPEY9ocH/z5mC4F
dp/N5cSsRysgRY5ynltBhkqhyEQhFSKb9VYHjovn8wCIIZV9wZrQGmX8opEBCSTedeYa2CVUTCGz
iSxgdUnKgA6chhgqMDHIEXVIYcY75IxgNaXW8gElqjPIY3ABzcgb/vwHuRyCeVoLFhg/zxboGC9P
0iJvsOOQnwEpW54d4PmhFMClzvBOHL7UIhPn3iL3AzxafeBotOomxm+e3uZJZhfpZ55O53Amnv7m
IHu+3wOaIPtulbnhKUw+etflalMorACbPALPgx0Cfl0hg1mxYNsjSvekHkbD5pAfneZQ90j8YhV1
JE4r5P1a85JOQxCajzh2+gssacUi4NeUA8crtIa8FmAipEgUv+dWt3l9dY3395vtW2KdrtKIpCnB
+YOMChh++DiD5/cVq4BQ49FxHvPmep//7BD5Rt4aiYLG5n/zLBCPlSO9iOB6ecknI2X7T24vaVIi
0Shp4A4ytnxChAsGAfW6Np/e7ka2C8KzZwHxaQBRAsG7XkNinHM6kJzeCOQmYTc354wl5uUOIROP
r68pau+4FP38HHzfQvzlbF4KND/sI6FPg1ZuMNDiFB8U9KNkQJpZrZVxFJhVYpHGrXQ3c9E5bXmp
/flw1R/a8l+lLWf3wwSy/6vshzlhLE2C/f++0zIndi/IwA8b94fY/X2J3YmF9DvT6nOG0oUo4sPu
+lcYSnNGpzQxlH4vRuec2T8l+/39mv0ajyZ8Y6qCm50zii1hR0+k4zIrPJCOwNTTj48tkDuHrLed
Q3qudqINkDd7A5LCiMlbtPNgyQF7wJobwOhpsIZ5YSdrYHsIwD5w7156urQqYMnAWWWp5rjLEIkJ
CYB67S664CpSyqsM/JsVLO8gov4xt9CLKTyWBTnG8PRQrDljys7e3sQ/+4PdnvrdRDYY7kUR1NNo
mcZLET6caT2pkgBEtyiWHWh63QAio9xp7J6b5hwL2zMY47S8hvsBBySyo416wYoWtNlxHGho8jIR
tEJV0XKGoBtqzHF7vHiAhQeArMxkt4LLzyFHDTLkHHAJKA+VsaagfLfQDpZkIulUaymaq8b43JCb
vbmJtfCHujn5u8jvDys3OXeDEHmpBAJiC2GCJdkcbxHXuL2HHw3snYAoiGVdKYi4tPQSnbyyro45
ymVECn9kxp3gausbCfBhJJMjUrhgMoqXGMnBdNbnz9dw9jYnOvM3vM0ln9HP7nMSKECnvUBtSoRq
CoNjSaP9iCCNGUB6PfPgy7Ozl8jTw9byUD8arJ09QjZgp8Ezh2eAHfGyjCKGxsMKg/EoW5WjmMmV
tFVtdaPbydlDFwL789njI/psxBPtOLorLdN7jBjctuYGAb3PP/7SJvKzz5+4+TU602WSBulRokM0
ioEGGt0+82IycatQAb9TIDCXNkdociR6zETbFDccNs49eN/02akCu/h7iap8RCy6rUxFCAeXyDQ+
jUZJAE4jbWe4p88HPjMvq6n/26vCwh8xL8nxAaVjxzkH+/ta45cjMe27kBe9X8sFLrCpUUU8AhUK
tiyaIbaHEOqCXPOdMcL3fkZc1XSIhUq2FA8szWe0kyFv+P/tClw3NyV5QKcsUhKMEgVtPELowwtf
l+QEXYgCpzPieO/otwVY3vvM6sp8Fj5Z3WlHskU+LkLBx01AqgwY/P2K3BcIAPNo8eOOP9Iy9G2C
fOdFUNsHvngLqyTs88WaO3eriRj//Z+7adORv/fczW3ficBtfvXtOxG6f8ztOxHXv9X2ndGO0w6G
f5d2nBPAl0jWB/PtdyOApe/PChJRGloN8QY5kD0fBp5GC7Faqp1iPfsoT6qsDMQ9CDbeQdbRM0yU
G8g7hloKnqSaqVwQBS4wvhVsv1x8kiCNx1rKFnKP+tqEFvsQFUUjamEHY3dh9jokhmynANtzOP8K
xVQ9yKaA8zwvUQj1vCnPHrpwFwQNDis4MwVquriEB6eGbLfMfQAk3dzvBdyHxN5D3EVr6RsB6d+Q
JKjKyZhMzwL+OTi9xUuNQgTsA1Ow0Z+FeKgiQZKGB1pDQ7Ij+D+JGRoJINZ4EtUfEgxoiQlMYk/c
ji7wxOfCFrybM5Mz8QiGIgALpYuVYRoqqQcU03CJv8mgegaYlfxPAaJ/9yhcqml4bQ2qjfGIRu7/
msXiVdg9astlk+uIjPDagMcV3lngYW418UocXo/IP+2xIHjuy5d/xV8D/mA4hdcoAQOIn8P8cyQz
kDI0JCQHdYJqQ9qjvItn2UG5xf8G3B8VSSgL11Ax0F4KLNBJDc8YKVlZX9D74lqEgurBR/P5lP0P
+umX7TTRT4knJk0WYTsJ8JIK8uwRp6Cna/SJ4aZhRVJm8gf4HkmM1Hl8vBvYnUzBXJfD6Hl6egWD
DXR4SF6P7+sAuz6nPjZDwubWdnbjcwv3w6n7T9r436WN0vVfVnGiVIvSTds8wSpezHkeqeBffNG4
+Raa1841aohQS4QC8ovRH2B9r5+f0Z+ZHN9vb0E98Pamg/spgj/sOtzCQz3tdv3+/o5awrNN3xdI
x/LFXUuEn2d6RolegBKdHHV4qYUCN56vDddn3xjIjMybvbuJRv9j3d280Jro+h9Ca1ZoTVzDf5vQ
mrUUJj7mr2opfNfQXomCiIY2oiRfghMf5KXrqkE89NCF0FJo/4wjnUHAg+puJOsn1UTH3/WMjP4u
5az+4ZKT2w2kRa2GEi7pa+JrL+hgpdBLNGCp/x9739UjOZJ191cWeueAEQxDPugDRDKZpirLZZd9
IaodfdDbX6/D6llNFbO3iIEWWEkQ0IPF7mxnGN649tx7vrIQ7acd6bZZTCo3SbLMUxNmpDKCUaMs
sUGh9dT3GLRfZqp2NL24yTr6tQjB16TGastlUttW3+lrO/6tw/DXjtnClcviJOF+DcWJSSQd+nAB
yQmdYm/Y4xH5wQaNvbsCY0DuX2dQwuEqwHz+FQv8luU/c+jebWHh0GWVBEU4wxYQWM8q+i7YzI1y
8zi71J7Hwsx9gwFwQrfwrk4/U2AhPvcB6OwVfbaDhdeUDW2dhCV2cJyj4++3x3kg4rWHmX7NPNXm
/hDbtytLrt370u3499/72yTzz0698Cfqom16TcOpiVfCkwMurHSQ+0KqowSsoNxOeC/zYARM8pk5
w67Qxze7hpl9q4AmiFwAJMYdPsns/XKk/ZHlAEjp58PnN/V7XfdOPBamfTA7TaMK23yAtf46e5jw
yuB2IqUxu7RP7rZzMI+osG/mIYvfGAYLzWMbt1fVHIfMjd273ZfZE5i33s/5GAeN6A8PP08/P9/p
qiDP3/ydwvn3C/LqJ11Y0v/QJ11TkzPt2fuL+s+rybXXutDrWZAYfVJABjP7eHO5kudd+fEltvnv
/fgb0cQnr/wNH/FOKOPB4LrfwyThtdR4wARjSjCYxEmO8WNjX85d8JGTXuWAVLUYOYb5Ghj3VdhX
GM4wI56+zxWH583nL2XtTS+Rv/+5N01WnIjlEPl/hxOxYo3eLu/dF/s3WKNVIVno2GyKhAT7N4RE
dzBKLACQF94SLEDtzKNvZ5ug2S+Di5h/ywGiG5EASTz/CljELbCMJ/TmOyueyeqeltr0/4Q9LfTr
v/Mx/UlHefPrLS/4Lxf/9b/+R1s31Wsavap/2G3147X9R/7zH6fmtYnqJvpW/19AfTmrgH9NfXk1
E1T+qNQ/jq8VDvn6O+7L+Rd+cV8SJv4AXzd8BhPEqpKYsC+/uC8JY3/gfwJhDagxwQ/MIVR/kl9S
/Q/OwZqu6wQUlwKMmf+L/JKwPwihFMxkBgiJBTPZ3+G+XGgU/L7gYBI3CQGTG1gwF7aEgIE6H3w+
3CRaZbi6Rl5kUoIJRukSHNpqcsIKZbV3t/WniLzn25xduXdGAGtKKsBObVJOuCBLfVvUplQG6JRv
pq7tvEgHe2ZYgmrz81WWdOnzMgYzYVBMsGBb+OejXSdFnPYZJd1NRUJ1GcbZbgrjwU0nRt1YGzo7
rGlwTPpkPyjzJNIi2K7s4OxyKTfJzMNMjJkU/K0q9k535mbXjtM0Vjdm3oDTuEgsry8493Srw2jL
mieHLNORhw0D4I7Lju61BIRqRm6lu4RUGCUsqvGiDY3kSBoSXARdEXw1RBeu3NTSVdR1OjNGU0PK
mQQVVH4fb0qfQhYLwtRNbKjQEyqGC60CbdurjO8mOnWI9qaagaCgvIo0wO71qXgmYRg7GZu+N6DM
/aZoY1zFelUeMj8djqEfW7uUytYD87qxLQIz9kANXeyY3t70YuyfiAGONZNbIz4D6Zyk0dWLiIfT
yidYFB5xNJPg+t+I2cGDLhYRpcpGbewMlt5wK2GHUpHBkROPLvU+qB2rSnWnZVV/xUB7vQnVqHvK
AvHC55uYHcgP8o4hq5hoz8DETakFRtuP15vXoucmj5ObXjX0Ik35Ywyy843Ri9Yb5bU1BahUi2pt
euP5A+CmBe1h6eDcZVQuEc+NbtWdUFlw08sxdCaTPKZhi5FAMddcP66tXdSEJ+lzVBOCpHa1qtPs
z0++jGXRIGRB982EXNBzlskWb1ARK1exUNY1SKvqrQw0YOnLSd4FKuo3Jkjjt2Q8sSC+rumIegWY
Veuo8j3SUqT2QZVykRhl6JldOt4mlbkLI7CWKw0D5hry1KTUaTADSU7WSr/1mYLiILREOYmymT2d
6wvDmjSsAB82ta6ryJKnkffdphlLf8XvJPOz+iAX+HXTwP2YjBNwYS8uhw55HuTSnK6jONsPQatt
BwIhBdbIbhMee6SphlejYF+jFgOGJjHaWWvKFWW8DH90XRAsbcr5+xgzbdpH6dSSKlRdPtFrZfj6
ld9idrmR+k9dY6EVyy/AOFkaCbmkoMUSdqx3XzkvRei2hTQhOGWSP3N+DGurxxi2qg80l/qdvOJ9
9qJTFdJd2JSzKWHVy9RWxo/PBWzpEc+7NyUI7ykxYcd0ufDLgpwJXiWWfh1m/LLSouC5NiBaMdjo
MTmKjB3QgK0VH8HEkh9lxKRvD0Pn72XHdcNjYUJtNobkhfeiPgKF4WNUkzEGR+Xr05o5WIRW2Cs1
OJE6R4MQaOiXU86oNSRZrbrm2oiz8o5y3mz70pfwahPiaVqAubedkhdqLIb7LC9q289IjtxGZ0LT
lnFXOwlTRWwXWdxca9IovVApq/v1Zv+WB/f/JqH5zAf4r706J8+T33py+Fu/PDmNcPmHQQnIBYXJ
ORN/uXIaVNwfJoOrZsKIovKj/+XLaSbIz3U0Uhr45FTocv7w/2Qyp+QPC3O4dYsxSgz4h/TveHOz
JflLo3AJ0y04nA1u6LAzkLaPb1nygbei8o27WqNIXyZB5bAwl9uG2z5gkhBve+wHm0zTip39qDHf
FpYS1wPCXAPuDlkokQwpU14HFbsDC2Hu5jJEHVtOa47K/CsfjgdHGa4vqN8NlPrxij4ej6subrO2
0W8nzThqsvzhEw2tRdpwSPrvAYvVQRJ9RUt/fLQ42WLNhZLO67QqhljXb+vQt7MwwFTFOsMgOT24
MYtqZbGPDuOvxRjo7HWKzlpYhsU15lrmQ+9isVD1umuhlxO8v8noRmhYPWV6H3rvJPzm19W998QX
JuhtQQ7VCR/cYOC9X/rIXVsbld9IelsFyR31WX1Z+eVeJck+0PovFRu1fUSRiWE7v73izRSuOAiL
Lpy3DUjOCZHgJrVgdefrf+8iG8VYWU1Ob7GUcdkyehVZebEttV7u+rxFXVvUmIzY5dQVoWpOidfR
FvnVQsWPUaT22r6pu+b4+bWcfXPMzGdw3bmpIyaCC/NxUwGMJCnSSN5MrEXXZj2ONmDpGPdZyGln
DuWajJ3fAhbkpinha5iIipbfvepELcxyEjeKW4EzmtGpItoFyYrSK+IR8z4bOn1J1TDYYak5vMfQ
wL4H008xFnuqOGb4Z/kpaOWac3CmT7AvjE4wLEyLkRLksR8vQqdD0mfWJG9yHR2MKd+DOuAli9ty
A7+TbEOhX7bVFO/GlFQrZebf3onFhC6EAa1oLqfqVWkg67bD2jKoLzMZ/7TgyN+TYPCw2+FRWu11
2GCs6cQrtmEGC/YWClq5NBBBdeN4aQ0+df++XFgSGCOESdIy3zAR74RVo9CvQUnxmYoqudFNq3Sa
oP2RaOxZ1SZdkcLl5c/8iaZpzLoOETqu/+Pl95HvMwRP/M602lerpPuq0LxOK78MA30Jp+Z+iDBJ
Xk2rfulSmVswbwaBGbMQEoIuePHV+ygs0MQ8kTtmnSKZ24kZuCwz7OAQYGwpWiMwq7dtbI6hxT6z
4yhyjbVO6jeD8V7Vv+2BMlhbArMK0ft4+DyoDDb1lNx1aK6FR+qExldGvVZc8cqBLPyUwhuindBA
GOsUuRPu/cmO2d9VT8ttLNRTWkVjGmjYRvBTMK/6RtodiMarztHkQSjHb+0YU7BfReVKcmBrpcCF
dwsZm7/Eu1tYiECTB5mvj1i+x9g6sgvorovcKQIH8HWv7YJ7RuywcqrpPsV4zieV3tToFf7xudAv
wsjzTSzEoY0zhcBOJ3etyBxePncUcw5M+KrDN6XfFhCQykI2f2RrkcnSGr6d3pizYwjgBZML09vp
VRSMUUrvGAhFQofpM1dwGzhi2HbTnR9g8LWxg2mwk/4Y14Nd9S9TfqXYYey9Pv0iwebKAKQzTmHr
ZsUhYvsscQJxpHT3+RW9+VVn0or3YsByw4yxpZhwra3yxCB3SeUNwI519rUYXHNwcsyPRf0PXA+g
nkg26gQnvvzW/az3XGFS+AC/LPUKtS3bq5LY1LIVxiy4uscf6txtQ6eVNiOO1e7otCLai7jv12dl
RIeSgbdoWktnqghNP9OMjt4l6ONPduNrRS+DztbUs8RA+syJAlvuIobNb8p4gykKU3A79fcD2EuU
iwzPirZ7q+0v7/D9fhZfeyB5qHKtxX5A9pI5Y+DIK7M7BpiTE3lCbgbk/pNjHeyN2g0HLyvvY2NH
RswVaa+DlwyKKL3N9Auu7/TI1jBfR3+MervKN7Q8SNDfVQyd/Nsi2gqkD54S8zb1d6Ky9TtwOn4u
DvOD+OwkC91l6U3Tag1uNppeGmtnSS8FhMB8bccHw7j5fK0zD85iUJACZhLxBZIVywwL00JuWYqR
O6sBN6HhZRin7++so/UiQSD7+WKLShlkZrHY4mQ9SINkKCHnLSCRBv7YTbWJBGrZciPzA89sSx2S
cMuSi65zDN/R4D8N010EuAlI8OLrrr3CfAm9APtOiQnHuc1v9cspAfWqXWM+TGq3wGCeohN4UEuA
AJ6Yh56uRBzjMALPnmYb/Zfa2E3dMYw3MXOz8dIIXPzl6JvI3VC7o+rw+ZHP3JBfR7b4nMlCyLe0
+fA2mcbUSO7GrQW4aulkmDP+zXjqhVNTz4+2SI930o3CyzJxqnLllb6VWz/I0nzjMML4D1gDOMgf
7aDWp8yKC9y4FWxjDGLHIOjJnTUwVxjUIslmjK8U3+ZIeXgD34WpM3xHnqY33YbYKj/2SBL4Xh/F
No0f5ikoqe0DPJPdqs5leGvp5VQ/mLnNTnSHNkgj2VQ/Ssztzp6s/C7QHJJ7ITBB5peJXOgFRqOZ
uatWGVA/ZsL+lCt4VIiAKXoH34DE7xyruqgtOQW45BSjwycnAeD3VYf2fBAo/hVOS45l4NHhoFAO
vmo7uxG2AeBu7cXC1estsoCff3X5MW18vqGF4fWbjmT1MJA7c3QilBvpQ8wuexA7XGOMTJcey+a6
i647cWjjCyIOqGC0mk1PvLJDtGUJO4ltBv0ZuLXvKoXQxR3wUZQdXJuhE+ZO+7V+kN8Kd7wLb/mr
8G15gnT5094TACmndm7a1Z3p+U+C2sYDSexA2OwnTIvJ7f4hu4IPYF1bNzFagTKv7xyqOQb+FnWL
g/b987tYwDj+vAukbxGhSdSbztJWukCRSuvJnXayrvm3+LtlOPxrRi8atteJJzSvhbq+rA78RzXZ
QWyX1zh79gpH3HoCtD1/1YibXTV3xqZ4yL6Ue/6zuoLI6ZmtnlrTaWB0vkV36tK/QP5XuwUPxT5f
iyaWId3bM7Z0QuHXmszUFzl4KtO8GSwcApdbgfgEnWGVnV1pGFtfbQtuk2SHzyZ/NKBlVYgqMIL8
82t8a8NevuQ5yGPIYCDmfhO5dzLe15aWiTCkd+F3Bbz/fYgh/tukdS2MkOttZGXS3kstD0qTx47+
RG3zov6i7vBB231WuIrZKUNkc2zu+9A20WWgbT/f4YL299eH5uKtWoWAC1HUR11jZbIqhIk7Aoct
4MWpPXyB/ee3mzhy6psGrdL/mwsulFuVZq0mZslSFUIJW/xQIPbS7RGMAKM9HRkmwcOrUyt+5eo5
F7KgEuWb2SwL/v30raF2f9X+ML+Q2/i1e7Ue0hX/+SyMg+p+d6vLCpQmsj9XCx58TBIDafEr/c7D
mec7WkUvri22qOQFUyPCmiN0G0GQO+yN1gnG6zxH48CIfon8KZQZUJ6pDX8qBwRd95jmFKYXwQL7
X1q5y+mNNe0K/0rngc2rB6aODOLWIfLi1355yoe1keS/dWDe3w/9KHVhrGmtEUHVluBjCN3xXuW7
HIwQkW0g9/0N1SkVrwne7KecvcW/JF0sEomqb1IRhFjTx3cg9jhuNMtT9Qk+puZvjHtNuuouDmwc
nd/4xdpD+525Q15FpyjuI3JaTmzQgl6xdsronf9Tfw3Gg/9skY36WlwQZmvNdZSt+NZvabyz8/61
4LIQTYNO1VZe0jthbajpDonDLS8bvyicnZd2h+cegUSLXkj4WYkuPJqvXPmsOz7bwUIwu8qqmSFx
5O5LBXLn1g1BgRvZY/Llc51y5nvP7gNUmS7NOaO5hK+FQdUPo+/rp35AzFjZaXsYS6/LfLsIqR1Z
z58vd56nWKy3PFfSKllFWC8ZN6m5a7NN021TMDsKZwLnX+Y2mUvL21S6CYLn++62Bqn1JkpWvvDa
sRePqEeF0e87bMMkBxP8JKAlqg8keI6Uk5l/X8ssDr14PjzOJ9MPsZqGEj6mK2LCYO2BCV3ndgAi
LrbpxHV2NIHeMzfBsNefVWobwVEYqEa4iW/jTwBOlsjVcqcSTkmQ0kQa3ymo9/nneUsSfhC7xU7Z
R+XCE78zixw7TcEd0zhBcRmCU6nbxsgUXoX1PsgvAPsYwWs22Ua1VXgQQ0dtPn4r2RUr4GP7ESLg
zDUKJBOqYw+i0/IqQaMy6G806gzgcUwv0f+NEvq21UOHw3AJZ9BSR5QgrAEpk7bLSe7oCFRLecq6
75+fkMx3fXZCQQxmIFmNss8i9cC1MG4jihN26vqlsDCRFgPYxL4Cq4zxbCR7C6H9dJMOTiPW7OiZ
kzxf7rull/6CGVl6qGPpkG2ktY17XILToksdfZh4ChjzsdYMf24sFksuPAYF2MCf3zO9zPW97gzd
obM8XXyXQDjoR8PayHpFXYszdY1FKaBYMwyL68AFfBSiUNMjoccjOSEL15R7pm9LoFYMJGc8HtoW
oKqpPT5o0JyWS6NDnHgy3BJk4nqPYmpGA6u5z8CHBEahwo0xTVNzfLmhsct6m9/1z9ZRB2cP+6a9
jM8BZDHATzdumNqIjzHKsrurUKkGvWLmWEczspFmrAkc1tlRjTCd07y0itZu2KNZbpvgYFZOnyGA
WHlKbzZxKWjUEKjvUQNgkiVIKLXilgaNpp+iycZ6FcrWl91PzHCZPOlfWxjSoFxIAXO68GsLtGbk
4vlUj8MB5L6WbX7R7oBtSk1cwBEOHgs3urkzaq81d9Fz8CU5ZniX9sA3kemm3TYE8Kn2BtMWhR2A
UWq4t7RNy3622gGYHSN3+tabYjsybbpFqmjCZT6GAun4Hz7mPyJGQ1Y4XnHhz5yrNzn46wYWSrax
aqtuY8h7TW+bAmHENtJ2Yv9aZmgk1fafP+wF9SpM2GK1hZINNXPUlMB9I8myr75JfGoThEol/Mcc
DbuFY4JU8Eea2iV6ANWWwmk+IMZEXPWteokTG4bG/5qsZYB+o22Qj57HUaD8gUamj08BUDc9SqaY
nAAWNGq7CxzEJZ8f/NxZmQ/OdSHx81homXFRZZKSrBrISaI7AvyDaOfN7eZ7+jWgduw7Te9OGPVT
2CrYBY+fr73AK/156e/WXtgLYzCskGVYO6pt9iAf9R9mMYsgf+wee8Bd4nk2kUQ4/oxsT02c4NFH
TmWX4K4DW1+BIf3OqL+/iEW2LbD0vI+GnpyazJlAc3ibcUfH9NEAzECfn/s8JFrc+cKKKGsataya
yKke1c5MkMzDa3R10KeSSwmrriFw8TT9OLYramV15YURSbIx1NEjDokqXSS4SjS7gtcZfHCIUIDN
AYGiaXMQR65GgfOnPNNn7z71wpRkScwMQLvISby0D9UzZEy8TqYdK1t70H6EulOWbjrY8ExW7vp3
Fvv9Z53VzLtEAK+z2JQJ7pobdwYoCzs3KLf6FRxI43p8ZT/aYVsY+NLTijgtYJ7/FO653A6wGYq6
C1/VSmVjdL1OUA9xYlDXGo42epW/5Vbjji/C7Ow2/FLlT0pONou/RcFpvJ+KQ2U8l4TYGbnpE1Rg
UItFKdDHjGzqCDraRlQ5Bq1RYdl8flG/F/+/trvQNaFfkK7ByicfSQDmFLAz9d4nDyg/tuVamve3
Nn5ObgECB6Tmsj2zSbWZg6sgJ9VsSoE5YsXgEMyfnqEGl2Gh2X7kFeFhNfVpzPJ9JobvFl5IQ6nl
ZtHyHKeE257asIEoG5WJm9KNicnWzG47N+vc6RGFkIR6jeaIFh2bLvoyLYz9MTYtKIRbYFfdMNmP
wwVFMbzZstgzxKWQtx07BZhE3e27/sDb4zRs/XpFYf/WLP51gmXTpqkiotVZCbFiToPMdAX5QDZ0
jJ+bAZBr+DuJ+7lknKckZ3UlgBlBM62kbAnQSMnE8r6BRxbKvTFxu4ova9Ii/lAuS/e0dWtwPILC
U3cqthvrzBsQAxLDEZi8XXmpeuDZMU2PSLpRzLCProfpaFKn01yD2lWxL/ujRNQk88dKf45A/Nlt
pvQpZftK7am5SzGyI5kuiyy1i7TcqBj5coqcCrkL/cuoPq0c9uwdoABgAIoikB4HingJcRwjHoVi
gCNgFcccrh0zQU7ZIM1sbrOHytrL5jYurvFas+wiyPYy9qYUZdlbXtuFsP3EUYXTR671o7EwH4uM
mzBzE+q28NXghMF5uNK0TYVEu0LcdtFsixTDQNJxM1ReLff9E8XIEZheXEiDkXzq9vPjvVVxPzyA
xfEWBkDj09h0NY7HMHijRYTo1Bhv9Wo6Gri9O0wgx1gUDDepbpFFlhQXvwnkBeNISHkMNMrcLnA2
5phgc6YbTF2x+p8xOIvppsU1GdtcODFxam1bFMAab7IM46mZOlW6zVKnr3eNtC3T0UOXX2XSIbGD
q6lMlwdONnkiec3aTUOPSLHXkdtSFxXbKrNbdCSXdjTYgI82L0NpFy8IXyvqpcVkC99hplfxx8K6
/Pyuzl2j+a7QS8J03UTeaNk5UZGIAGkTwDVim5F6epjYU3OjgsJuAAlCbzlz6vYmKA/T7HsPB9Gs
JDPPtNViAwuntOpo34gS/p8Z78zyvmiupHAkvej9lSd+HtcuVlp6YgU3gImCs637mwah5Tg+EXFL
5b4s7DY/WP4uqS5k5Oa5W6/NuiNnKm2x+MLz0jOjHPxZJkuMoRsdkboWhGE46HNPxGXd7Xno8WHj
+4eo2pL4Kqi2onIsUBLALK6lzs4BGIvdLJyzqWKK+HFITpm6aOTORHWi3bBT/h24vRLwgXrNJzvz
UBYLLp4kED2smiiOD4CjGr+X3T4zA1sYj3p2p0a3rG/b7Am3DtfFH+r950J+HvgA90F1AJssKYCY
PQN+1TQd1MSSU8aLDs63qWzWZNGmsaZnX+aYf4cWHgSX7UtQWuFFModfNTd6t5aIhhTnfDtW/lVf
Zcph4/jTpABRE6L9qBrxAp9v3BrZ+C0MvG7q5REW68tUV9WKs3XmXeIQBsJltHtxdFYtB97NpXpp
RCQ5VWoGVYhy2AwwW9vP7+o8H4JwnAhkToHfQHnu7d+/8yUbORhaHMjwVJriecizCWzXDQC+eYMS
U+KTDaDKlxa0GuBpqJy2KKob3dpZz9XS2y4AH8X0LbTYmIsEyVCZeRD4Y3gSA0qZSR24ZiliR7W1
2LPKzU3ApixmoMNGOFm+07TLOqYnWZL7to+mFemdX8M7e2Ki5QeoKQpABFBD6H1Z+PXlMJRN6PvB
acAibhmlp3Copa03wc++qlY7XBZvZV6OMwtZsBnYD7DoYrnEVFyfrBxn74xLQSPiEaMJnbKh934a
2GnBol1DjWpTqOy1TBBJGXquXdT69JR3sOJFJzWbiaLcBGn2DQXQoG35ruwMRJsDM5wIioVwNKmF
gqcrXu8SAzRvfq5CoEkOwCVDX7Zjj2OOjjAgH+7ogNLHVCJ9WBHFPMtP9n6THrkmyV4FQ2OXWha6
ZpBpXlChhlSUSWlLkT+MeZnYkU73tDCDrWFeiHDU3FiCf4W34Obgxtr3XUxxgSOkv8GsKHAtOlL9
fOEx9yN6VKgM9NMgyFWY6XZfstjtzai+mGL/ixYl2i3NpgBV90Hu0rBQG1VTfRub/RWPi+ZiGJAs
BLz0coyycd8axCl8foyA67ZHXQ9vfJzTadsJXoDg3VWotz3a3vTYybN4cj5/wUtth9MIALAsAUwx
6GPw52M02Ig2tiKu16cutsC8HeL2A62O4FwoueFVBCBW/CQFaT3w4YSOHwBII7MEKLgcPlul2uGg
aT2yUagsq6T2r+IIKbhgEh7oLhx0spa3DZU5nKARs9+6AuxhWuW7aD6iK3HAshYCqDTAouj3wvuz
5Ixm/ngUvR+szsoK6y4uqvxCi/p7ClczE+gGgiA5uShqJ43aHZ+QKzUG3l9lIQAtBjGTQ0qSTdtr
8cFIYxuBau4C7hS71IC5f7vx/9/f8t8kdM+/7m/xojhCJ4tqombcf//vb//vf/a1SPMPPH80tMw4
2z+bkyX7QwB4Ca0ugcox58TNn83JGqF/oDMOnYXwQdGsANz+h4YWuKgwAkBMzZEZNf5OQ8tZeghu
Lvo8YOBm2MTcPPlRpkozjRoOyX8YjXI8oCmhfupCpn1VdcWvQ0NN14nIRtdHvHalQeL3yRAOTl/S
9GZselQz313ZzS8z8nnDBMOx0LKtA+wp0ISyeK4wtmGg95p8YDQ29g3LG7tO4/yCTdKyO8tsbE3L
FVLT1NykURoAilhQx2+SbCUTu3QwcDFzq4DEx0HVR77Z5HeW35+o4SurJQ++qtJNGIS1m4xTvfv8
vG9EDO+sqQRcBQdG8zQ+JYLPZT11TIXmN7TzHzRYM4dxA9xFmY4BiqEEyslvzO0gmgsohsmh9dT/
GIoKzGE+l3sRJzHwZFXqZaRst0MWAAelpmBv9r6/U51Ft00dpa6fdcOFSLXBS4qSeUQP6/usKTJl
I1FmbZiqYBoNutacvVS8byebG1/mZi7KzlwnPjY061BCftCUuihaDXmA6ion0WWpEONJtUNDtC1G
7hY5JnWFkWOMgMy1qJQP5S4M4IHrvgf9ZFMl0cede3Esd0PenRqOmFTztxpF5KCtZGrPPzvmCBBM
BDAxLgC43UUOj0L/G33TmA8hFeVOMxPLHotyreT121UAAULzpJTwpRbxTzb4uTAjZT6MvOWOjIE+
Hms5rHhqZ9jKNywUPH24yUj1o0Xs4+MOjDIPaUrDR/T3RrctASgD1FsDoKNJkNa3Vc1K3TPMOHoY
q6KFSaB9dQxNvZKOQCtkuWkq2k9okSqD1i4mkeWbzBqneGWfv7kNyoDUQI882qjNJYInSau0BnbB
f4iLQttYGhDddKz5imr53VODHDJcuM7gWCxfdF9UehA2mv+AphCy6/KouCipXqCuxhuYbw43pY7r
TRwX9XZSg+mMTUlPVpmoZ06j0dXgiTp9FUbemKvvEVpydz0CqZu4EYktwq5xxlYYKBbWQOxN3eTG
hSDe2GbKzRM01WXjNBxoTPO/m7WYPzNDHEQJUHizx/nxM6ssohRwF/Cx+Wl/qEacBIMNvgKpl2xN
oZTT5mnntQPgxHGZVEcl89LO85TdaTHAla0OHCqPkjVdPpuOD6oNQBH0WlEUdeEBw6v8uC0+BMik
xU3wGFAWXAwRgVOo6caF6aPvfKxQY4Raq451Vrfu51p1EaJIc14ZgG2kLpHSQ6ffx5UbY2pFFMbB
Y2Zml+iRFyepxRg44qObLRb1ios5m6TlORGBolJPATvEeh9X4z06E4DzDx+tNEGSIpcAq/YGiP3y
rHaLskASNCqNFcOxzKDgiHNn9jxSYvYd3ubpvDNPAfqyTSu3zAcfHatXYVRIRxlMOZSp/AntoXIz
MvVotNO05V3frbzY+UiLI6OVkKFpBFG2BSv58cgxmRKMoimgv4KOY7ZC+hLquXLSMVmr5pyloueD
olNLoDmOWpj1sliqxOAXnvLIetC6qgVtZlmLbYDhJl+7sg13pdFfyt6UO9KXX01U2W79luymauCu
FcifnZ6B29QQ+Y0R0Zd28KedVrJn+FXSmzTa2iNNOuCBlealLPmZMCu6MhjazohKuBNjtAumJPjV
BW+Nx0kf9U1hxQ1SZSgCkFaTF1GdR5vRrIqLiSCPRiexYbK9KVOr2ueZhl6TPMpex5xbTqPzZp+j
gd8b6kJzrSquUQCZDGDMR31F1f1GIuXcdMIMOJEU4zk+fp5a8sHoikE+oHXR8miHJHqW+aArLTNw
uQpgg7ssWwMa/kYiAQsz5/AR2SU0dn5cNOaBXhiFsNCDkYvLoROGS6TSdhl06T4fR+4EE5DvAHNK
IB379n9ydmZLbiNJ1n6VtrlHG/YAzGbmggTJ3DdJpFQ3MFVJAgL7vj39/yGr7J8kmJYYTXVVq2Wq
zgACsbgfP+f4yoZ4Z0k6HDWEUGRGIBOLXdhY6mg0Scw6CQ1106Z681QYwbOW5vlKZHiBF/LzHX0O
EGZKEBfJfPC92XuVjCPbHUP3aMspe3JatfUMaahebdfYZYdWv49F1W97ZzS2cQc51G76cQVauECm
5ocw8N8hVIZ4KJbQwpDWfa9YuXJM8tT0qkbkd2mhlYe4SoeNL4zqRp8S404f5XgFwODu2zAPr2q1
DFeQuHcOWz46zGsucKxglkicjDtzsPJCHIdaSw4moenGjfL8IRqtl2ZStd3HZ/s7axuON/6uRJaU
WJdYGGpds8sywzlWEsp/gR5+Hzm5eqcYo31IolF/6F37x8djXgQovJZJFsZlBm0C6fL5B++TvppM
rXeOtRrau1Fm36shdlYurQtEnoQenRiXCJ5N6mwzcD5KI0ju46aXp1wBl82nEleU2Biv+962X3xR
1Vea4Q43QVpyn1W1PISartwU0m0eUvqX7DpgirWlvizb8kxocbkhZ/H6bF90/kyJmmGpk9eEFm2W
IVIbu7uo6ydPi/3kqrFG9RAaxrjzZSmBAp3+pu61/gBAOK589nfWO25WXAKzCQSx2zJkznMtSYM8
lye8rWAxJ2FzhZC9eyRt9f8Qlt7t5CCyQw6YeGWFaXyTdTCPyyxsDh8vhsuwBuQZYT3wGM9Ckn4+
JbjCqfrgl/JkKVGZe2MTa59LLSAVrpNwoG8MAV9DESsIT43T5sZKtHGhc8COhYTUnAM+uM3kjufj
mwNd3Dq3605+XE7bvNCNXY/RzdYxqesRnfZXveJ3J4BZCt7xhPbRd0t4q5lzinxzuGuHrv7Dst3i
MTb14FM7qpTEm6S6qSfuQojM6ZOsndrL7FDZtLYvNt04VFdloiMcSi3tELkYBGSx6npRUnUenjr2
yv11eaRAFOBEIVanEAfOfP6KWp6EY66p6anM/cErqkQ/OJFue3npdod60IeVOb3c3yTWBKqYX4jZ
R2qxyq0qmeoCavbJSjsJ5jfVB0MJzZUb6jIdQ94DpOCyv+fMUiyGscskSybXyE+jPTqboLRu9NRF
HpFPw86IRsMrp6GlYpwpj6nVB4dS1j96qat/RXEir50mTfaZU8ujbhn+yrPNJ9h5QEeGjgyOQ5zs
5yLKytNEaVI9i0+6DAwvC/LYy6vceFYLNG2/u3+osRInEycwGqK7849bGW0x6LmenaYxy576Ki/+
bMeohHxX9IewduSzpjftXmKLsHbCXp5mMNYBJmCuI6nCeOF86B6+Qz3pdXLCAFP/FFgcEIZAcKs2
9khL8z7/M/JhMRA55j8azEA94SjYutSwcz6eg8sFPidrqA5hWRj4jcwL8k0EUfZWSDs4KzspGARu
tc5PNzYCS5G5xaZWizUu1iUWwwFo2UB9M7cQ0t8iQ7T0NIkyPc1O0piGU2NNEbJKtbltjBorOkd0
z6XWs9HTik5gegS2MqTlRo1K/U4MCR3JfFwB3JDsOAtT5UYWA5FN1BsbK5HBPbWvljqKbR2s1Bm9
CE39xh3b4dawi+q5KHHS+Hj6LmMATnGmjl40MxC+zOSDPFF99IPhqR765HMdCQRVZuB4XVm5h06v
K2+yImct4pon6XyPgBpY2GUwj/z3khST5o4jQz+JTlyW8ZOfaOIm9zvqHtYfjv1npWbVLlWi8Taa
0u4hysSawu3ylEI6BkjocAFy7r9mSm8WTd3oau9GaXLifmw8c8TAqg+LbmVuL08CRoHLxuKkFMRd
c740x1QVk12K+GSqNUSVcOhu46gQB7zc1tx43h2KyFV1Z8IzhbLzoarQFkPfJskpyfN0Uwu/9IzI
+BJZqKc+XjDvxFY2ubmJDxzn70zkPx/KlejgrDFOT30QiL0GNrBX2rK+Er3Rb5xYsQ9t3X5VBFqt
sRmbpzYeqGm3fbirbFPu3MztV1Loy6+JWxmAwSzKJbhaCo9lPCiVGaU8kV+7hxQMbzu5ylqifrlT
kKwLmE02ckMu1cUUC83XxkLr0xMyDXnXic5GjjZk+zoP0yvXbC0PS/h+5XS7+K44p1K3cDG2QRdD
v9nzycbh30im0BlPeKj9bK0q3Hd1rGMwUDcvK9/1Yk8yFA6kBM3UWKn5L1IxVQ2cRo3z6dSmidwN
ttvtQFOBv4MyuwkwftwoE5S+0Bjau6ylZtn25poR6sWXxEOGk5xNicUf1IrFM+hzXOr4pn7qBZqD
THTQljBlXNmXF19yJiTN70lvCE2nPHI+qcBAZaYqRnHq9EpeK7Vm3anD2HswIaZ9EDn+VVMW0cq+
Ob+niDApNDGvKswH8GPMC88HjTWzr1rHrb8Eln2ntdFz3c8qlFA7yiz99fG31M/n8e/BMFijgYfg
g/Lc54ON5tikWhG0X1Ish5KNaKwCYkcVH1AMiG2Tu+MhcRobwjLng1tp5mOA3d8uFop1zSXT3U42
zAg18u1NmzXjVgu7+hCnTYVECwFm1Y7diyYSd0vuFB2cbHQOpVVb27Kuh5W7YmG2wbs4mNHxqVQQ
Echkyz6Iki2nTP7UHsdCSW9SJcZmmzVy7ydlSkcyqe/cEc6boZTpLg9ASeC61JjPUBIxrUQcG6HL
nWqaxS5zog6mKndonGbxURVJdmjLvnpgSTs3yWA5u6bu408KAezOKRF5TibS60hI5ZYaxq8hcodD
mfnGSY8E4gYV5rEDCR+m/VDmAF0ivjGxnbp1AurdU2hpO5moBYzOXni2Bq748We++MrMDDSWeWnN
UfBS7Z40vTaWjmiPfR3RUc1ujE3RM9THoyxi7fkDEOWxaMmnVQo5F4pMP0zdxvTV49g5Ou8/4i42
ZKbXdnn3dRrjboMNurUvK8W68qWTkAKNkrAnkRud/OOuTqt0X7U2zG1DFCtPdzkHJjAxcQQLF++p
pSWo4yvVmNo9D+dmyN60QdtS8HJXNu+yPdzrHMx+iTB1uPaoM51vqCzC+Ve2lnp0+gA5HWcYZPi2
Qk5lJo+UqnlXzQ+dnWE0xZZ5KXEURXE4KSNiPkuldQ5uh1u/cDR8Q6z4gTJDvzIT56Dh/JmAz2aI
AadqYOylUNgMZadKR9GOcWRZHpkZtFTZo0vQrA6CSzZc+aUVHlol+OHUbJOPV8n5RfX36ARTFMYo
fM+1p/MJKvw8VHI70I+JM0Q3rYCHIwMwyhT3r5WPcXGSglcRs+IjAzZKK8XF8e03xVQVSWYcSSbS
vdlqvkcYm22NAo/slLB8ZWIXhf3XdyOFJojDTs0FwFkMaFD1HbjpDSB63/w2pqZxrVZG8ejONBwL
FMGLRpx5KOwb14oymVu9Sv391MbxUxxXw0pI8N7rgynAo8EbQnBRns90qMaKZHKMo+yL0QMAtzYD
CdDGiBvTy1qRrYz3zpdlxQN/C2qKJAvzDnwTK+tZg+FiKYwjB7x/S1zIGsoH7cEUaro20/Ml+D95
wd8zPZfg1FddA9Dz+ViW3zpp17KG2zoXjxPAsNf1yrPdB/ZuMnsBwalQT6qIxN5IEu2qdCt9S5Y6
AtRUn3VIhV70Jz2msTPfKZaWIsbT1i6kd5+RPYYNPXQPaCfnz2gnaVhMvqkd+043X0wjG+77Ok92
Y9EGe4da7z6NcuHl3RQ9fbzH5pm+mB34ewIpgUUdZ/ElFDKmwMxcjbNO1/d9rPf7ypmq698eBQAD
4hpkJn5x5vXw5ntbAj7rJBXz6DShtokcANQ6TFZ1EZfvwvKdyRrUkTFsWewpMYSRGwYJ5mFglTsz
zz5XZreGA7+zdE3idZoZQMObcfXzV9GUKtecfrSOmh3a14GqBFdmm2e3Nj0Dnn9/1rCWo8+BxsGE
m//5UGMMJciYGKrJQh8CJaXKzEjblRv/nbUHZjuboGoaxcplpYLUK7TbajCPkkDnMAVCHNI8sp77
sY9vx7wYUBpTqTYqV13bmq/nymL12fh/E5UDKMLsWKz7KLebqIPxf9TawUWN4Sujv4vSJvieJKx6
vPEzHEMUehncStlFX6pGcV5ArsobO5XOX4TE5X2R2O5Jw/kg206d5n9Xslp5DgyreGyKxKlxdBP7
xlSpqUelkP42S6LpT2R3ERozS42/T82YaTsbMqSz1WMbXIBqbXHnTnqwN8ou4hLotZi+qYVTfcd6
GAhSkZZzm3WOtcO1Cl2qY5GOjq1fhF4zFUO1cavG+suXvvjTLTt6ztWTgRNQYDWjcReGknauGVCm
l1htke80UdvlbZUAoW+lU6nfTaMTPxSzKazdMA39Ff7oSrONtbxMvCCM60+j2chPhtkWJjW83H/y
jfo+zOM82TbGmKnXVWOKv2a3WcQhRd3vCBh7eYimAMg40uq4wIUgj25dK+7dje9KvFjsTGvu4tJH
OFECllfbQc3Et7FnWdLkRHfw2pYa5J/RIFb2k66ednUy4EVX5kbyUBKJHeaeNQJ2vDk1m1ZY1amJ
HTCokgp4uO/LnuvUGvzs+5TCDmoojwXXWa8zf74xGj+6oQHsIqzj8K0z+6GkhCcRlLRZtW3THuOV
3I2imRCco0CxplCVV7ra+p86ph/1UZx1x6BT7F9ui+eANKL8cU5REJZzo193QVb9MPyZx2+kRR5j
UdDp6qa2/faLnkRD5pGXNF+KcurjQ6M17VdncKyrSB8sDZvFSvyIw2S6M4Ya99uiEA2xWR519NJt
spiwXY4hDoYwcZB+WWWyLUzMrMxuKihHY5/2VKXNQYyDqV+NEcn2xmx9I4XhXI1fu1LRxValjeRN
Ehj5gE+NBYddjwJ6dCS6X37TWY/kyFqDq3SqWeVWKFUlUeMW9a8+H8DTNGwim42qTsbJwZsVX5dp
cpGFSfOuCVSVzsljJGLPtAfnUW8Kf0vzkPCrlqZGs6H/k70Pmixqt8DXtXWdT1P+6+OT7Dw7fr2D
uemhAlA9U+fCwflJpkyd0gFjQqPjbvky5CP0NrccFNzoWfzIiPxg12am3H887DshNgRpAyyfCtlc
K1vcCImoiyH0Lf+Ir5N1X0q/PLmZgkivs6pfZWX5sEDaaBdQyPOKvi29LjH9qyDVzWfHkhlmMUj9
x5Lcjy3p3MS5IVduxuXMUEvkFBdULk2b23eZa7SVrxt5FjfH2OrkQxzUyc7pIrE1pxotVzwbG1b6
GuD83qAWFzLwATgi6N7558CsHRJWm3ZEuyLaRrqgDXWgTzuVfrnuXnTZj4+/wzK8nF8SVJAa5fwR
rCXVqCv0dhyUsjv6U3moHDL7IcK1oM216goq0MqFpp+jThDJ50iDq4z6H7AnwOL565VmZo9GZ3XH
fur6vWlPjZfAZn0Mc9ldRdwM2xoV8s5wZYU/TeRfheR4GKIZ+jYqotJrKF1vRZi4Ox4cgSOlxq0C
+X0Xyqi+d30xelM7jiu34TsfBdLCHL28FtWWtAUzqWs3tGR/jPXRxrLHdJ60UNfY7Jl2pZetvwt7
Y43b986XMeZIBtSVMjIc6POpAnnpk6bM+qNbVuXV6CjKVQfDbwPrtPeipktXAv93xps5hM7cYMRA
MrKInro4aWojrIdjENgvMtJLaqCBtY0L9yYwx2pltPnp34YXLAR83BwAqDmLJ8VbvB2G7T0I1XCs
KwWNcBgiG3CrtQzjnXfifQCTiN4B/5YC4M6Alh0P5XDMmrLfdtaY3jS9/cJ10NySoq9t3neHE3wr
DDk1aG2L1U24popA6sNxiqoUnyOcnixI0NejUvwAeMpXdtM7cwhIBp+GKA3gb8lezIeu7/0pG4+9
Y4Z7KMr5PheB9uW3TwhuB+HOth/aXEA//1IYfTg+3ZbGo9pY362kfXL17mcwDj/F0GW7j8d6rT8t
lgXUXoPjiKoyzScW2UgQOmIo4IwcUzG2nh5HNNYVyrTroto8jKIIr3oiro3idPK66yR+oZkxeCLM
gm2dSGNbqFboZcQIHz/XMrMAcEMHQ4IKPM9afT3W3iRJrkyUCqfV9qgEXbcvnMjw8JtxrtScK//j
oS7gh3ksrEVmKiYKHLj05/NNSc6S0nfaY0sIvoGqrXwuaVp11xd2sTPqHKqCMcAAdbE4UV1tvBnM
ujj4U5FcN0Tih//L43AugNRTBqIGev44CebHam6GHXiAUl5POlcvBI1ZIGMOm3ECe6q73IB6D1NP
9wecb9up9Fotq69km/UrlKkLqPt1dmhAN6/4OXhYzE7R5WkgGgV4GH71rdqhsLAGQlkXGoJn67iP
mmGaHdQxcehGI7uHQfruoXQwz/DHHtU9wlExNenBpYK7dZRYf6ynxNlZhaU8tHWW3EyJjhYfadoW
4t+A1TVS5ibJ+xWC0Pyg5yudPnngCgZf26LUs8ivWjftOgUS6FFPJvRbuWs8xCYpVhg26sYJXX+b
UEK4NSPz+PEXXViCz3ewAcGXuUNWBxHnFQB+s5jVzqi4ofPuyNGB97cyTp8hpRIeDwJLH8ReXl2h
Yu+tcjzU9Fk4jKn7TUa+/txORXHKrUjsFELCrRmoEjclS9m4sWbtqp5St2MoCloEl5VrmbXXVqG5
t8vOR2OFB/PkhvkXJ2kdPDsM6lq2rDZaWLW3GozDjSHCaVfYZr9tqjF5UnS9PpS0uFiJ6y6PTRNC
lk5Bn/qXYSzJJHHYQJft5Xi0nBFHAiPvSTyltfJ9L4+MuW0OAOksVCDGWlBWxipX+1Ta0zGw8nZL
BzOxgXyUXZdNr6wcGe+8EIJ7GBGU8eYQfg663n5QG36B1ajqsYXHiUtxh0mCk67p3t97Iawh9Zms
zfE8t4R8O0pAUZZMPNaOEF4wvkH1tJkK98lJtXb38Qq9vEbhR8O+pYkkcQix6flIsSEq6h8l6Hun
XamxVm5tLX0uRusG4401L//LfUhpW4MQBg0TgO/iaAfZ1Sq/No6xHYuNEozqlp5B1b2qge/5TaRe
jbmanxJ1WsNY3nlN6HhwqKFHUlhfTuikVC05fGgc3T4Qn+vA/K6FqvpDkS7Wu0L0Kyf5O9+PoASi
MZVWgHtnEZzUZuY0RTAaRzVVNY8OBuIgHSzCdcVuv3z8AVkRF6ebSdiFxs5kVYCSLT6hZg9BNUa+
OIZOcFuXRebsZNUEd00OWIUexBSfh6ip460ZK86nvIE14vVaFzvbqbezG1f34ZTnI0Fo25gEveRA
lgE+4GCx5g55FpLXq9E34NrgSyUQaFzVplZpnmGSv24jt8CWuE0xxSorp8ODIhtwxQtkjje6tLM+
2pkKYQWXKKr7jVO15o3oY/EC/ZG7Sy/cTU2l8dg0EpriGOSgvYSqUNKVq6IW+Yvw06ZFnBBaSFXK
7qXoE9w8gp6J3+jgUrVnT6H+1c41Y7gWw6h9Dc3ypbeGuNpYehMlEIaU5FtkxlF7cJAaNJuAqzTB
rXKEQ19Ini0YauV6lpHj3J000qPFD+lwqzbPVgQVH8xl7PQrkyvsc0ug/oNytPLUD+mENZYo/C/j
GLsu+bvaofmGsHWjljnhVBh2eHBC7xe46FZw8ivI/e42BNPSuHKSxtyUuYvv9CCtFiglBnLdxnY/
PI+lCjBnTbKYMZwgvm3pdQidMY+/ae2o/MnpAACHDKzgPE3sKy2eOPf1wu7rjZXH4bBx9Sj9A34Q
WMyMe1rbfJyUbxkU0M9VaWJVZttSzzYJNyeMoGqqvwDf9jDfoU59UtUhuG2UIDlUY9B8qlVn+kMT
Sl8d6jDTCibJrADdzH6yDw5UzwhbzbEZdnaNLPNLNsnSf7R6l0YdwDfhgxJ19poN3ztnCdoZ+BTU
ablll/UMDey5QEEzHTNZbxthF1f0q3L2TWgo+5F9tqFwhVWMGq1s7csLwAK9n1m1qJhUMvnzA7OU
Vp4MoeIesRiorkY1tokRV7URl+fVLHcFeJ0rolDbFnu6MCdf6fJGORKeNTc4D9QHvc8V/G3mhgmW
uRYJXx5YjEf8i8xzTuCWrUv63A+FdDrlWDjwlv0cU5uuNh5qRIb7tfPq4rhiKMpdCJ7c+SqYX/3N
Dar5iEOHSihHWYvwNnS1aaeBaHqqaCjtlIbiBZEbvEQomB8bs8l+BUWQeq7VG15kF8qaLO2cbTlH
aPPj0K4Fuhz11WXlh0pfS5igK8eK1ppeE5byqa788QZNAA0rDb/cs/XDzWQG1k2FQcPWYXVvm0mu
YQLvLSyIn9zCZJnUbRZBjJYpsQz0IDj1ihJ7rTkBVOJxsIIFvPOhuYNJemAAoYRYysBAqSvZi8Y+
6mGIvsdIwl096vrBLrDp+vhLv/NCGBnQAxH3E5iAy5TZt+xRyf3WPUZJa17rQRZ7Bc3bVl5ooXN5
/YD2DKPQuJSGeWA45+sJC/fY6WIUPaZObz61xQBiSNN6zxE87nSXwoVNA9LdFPTaps4nC0OIUVkp
Hy54/68PMTNGaCpAtEtdbJG5RWUVx0ZQhSc/7ODy1yLz78hyMFtIpZkHkBfma1Kn1w5Vkbb4MiGk
xVNPKM4X3VWQiHw89fMhdJ7wzEIXZCcI9OkAuQy7seVQAz/METUKLHy26KuCcq9PhTW3R/ElLRiS
tlFv6jJwg98emiIdd7kDlEjms5TGB7ozDBnn5pFmmS3tqopoC1Xd3dZx+i2ujZ9Dbiq7j992RkXO
3xajAXe2B4BAzFWwSO8ipVXtaVanl8No/EygAs/Khro8hmaiwGDw8VGhhECDwa1tST3e5hkssd9O
DJAvw12E+QqBEcLk+TK089aVstGRB6vYW5tNVNMJDPXBx6/6DmhzPswCIZpsiCdRyjClW1CpskWx
ERwdt6LUtSehpMljPDjVlzSBB6vjLOPhkCM2SSzDh6KyEf61Y/k4lpGzkoItuKvzDuAk5Wqk6Kxz
Xy0/Qlv72tRKFddM3c73/GvJvYklDjS8sLhL7MndxUiSPCnTapsFbQKgOw1/KHo5oEWOIk8L+mAl
+XxvsoC953MOlieGRIuFUZWuPwXdMEtcjP4QI0nZ+XOcqyQjXkhjR8klo1tg4/Q/YRC7j4XZ2x5x
Imf+gOmO6dTJpnGd/rcPRvK31yoQd67L4XW+VHI/0G0qTJSBOqPfAJemXoEUb2VXvOL7i21B5jgH
KyQGkEwWF0qYom4cZIGOQEmjz0o5Kb90qRfjTpZaosKRxxAqpJTsBa0xZZjqZu3BUCN6NRWhEbkb
3azdJ5dy77MCW0R4dSHpkBINKiZc/iBW0Kb3HhejASYGfQtotbU4x7XQF3YWO9HJGGPnYZoozylj
HDxwuuOkMEGQMYRSv9CAVd5YIwFDOHbpjaniwxvbZr3PS7U4qDYaZqutImwxJU0DB4gKKxv9vVUF
5ozrB9U07BiXFtijAOoK9cE5FiMWxEqS0gMq0UuM4mvlz2Dwux/hUJnf8iBpsOhuiN2tmjYEwFLV
7JWBWNfKwXHAi36Pqj7vQQ5ciFSUrYC7xIXoaopaxYwG99jESCmtrM+8wFTolpS74coaXog1/h6L
IO4VqcX2cxlISIWW7G47+cdCddLrWMePuDDrfouOwt6VLWbFUU6/hSocp0MdWOmhTfzgEd5Aj2LZ
dg6GwEV10LDiUjtUgnUWhjcpaMRL2WInmxDBfOlKp8GWtldhRKj85MCJdq5oafYYpMnx44P1Mlih
VGY4sLsgulOdXZyrRRfmKvYp8SmGPHHVi9C50fL8+8eDzEv4fEfORC9iTQHvHGrpYombpq8NSq/G
p3CgyV8YpJYH7tl6leaMa2H25aUI+YeyCMuAQwAS7vkho0cyG5XAj0+FFtqbslV1T4my6q5K82an
sjeuFGKqu7yoKk8xBvVG+EMHpNjSTJLjaxdMqf2I1FLbOaldeyKIgl1tuPgEUx77FKjTqoZ+DvwX
swPeDz2NNmt4BixNTYBuk6DIpuhE2GhDePZl8jXFx03fuH3XxzPdpHyEW1GcrJareKO6cXLdVfUA
QcYcW8Q9ZrEvhjy86/3R/2z1wqd1kBWlL5wjAwioNcXHLvTd5z4t4ntl4BzaTCOgxS7Ti/AFXYWK
dD8u8aXSW8O/i1y/TOl91uB5E9S1/A6+mYaQLyXLpAF015hj23NTOWwFP+LGibO0Id3u0k+V6ZQ0
scOdttrazUBvALfW0U2xeTUFxgP93zMtab+pZUCTKZngybVyTr03nYRgnP+QRudA/HwB1LhtJVyL
0cnKtJBuuWnlFaBSf/ZxHu4Y+3dZ+DN5DlI8blAgLzOt/Hw8ZXZj00wlQvhj255RYsjq4Iy0Nc3K
3enjMKwk4u8E/pQ05wIgygpOoCV7PR8UMRVa1ODcUesAN6PjnsJWjJ+7vgvLnaDgf4+gH+FvmiQK
lB9V4t3TZYm/Zv+3cAqdD0MXcBtTE8r6VBjcxcbmJ+KeXSrdCWClus5M1fycO727L/rixkY8dEP8
YT0hG1A3uRP8VYZwt2mbUezVtqquJ80KdurIVnMHrSdmzusDsCi9DfvpD7KetUZAF8cQBEeuB9gI
5GaatWwW4kAsH5KowQMhJXqkuVceT5s+/Sci/i2LtcfiZ/apqX7+bO6/F/85/1//yunlLbGw+e/z
39Z//z74mXvfm+9nv9m9upU9tz+r8eVnDdL13//JD/rn3/zf/uE/nmefx+Lnf/3HXznaivmnAUNm
b+3QZqH+B+ZpP3/8rL43P3/861PDL/W/8l//upd/VXn2k92//Dl/26pptvFv4ECkFoR6M5Wer/GP
t5oh/s2dM3uxUCFh05A0/uOtpqn/nnNZakfA1fyPuXBZ520T/td/aPwJnqJY7MHJf6Wu/I6z2iJR
5AcQf7IcYd+g+rVfb/k3YMzMD0vdIovv1VpuNafZBbGy6VRwwVTfBO7nN7P19PdZ/tY3bXHJ/j0a
3kazaxwnvTofWW9Gm+SoKWPUxfe50l1VrYF51gqcczEChRmNPWgLZJdkwItDaOjKEqpcat4bvqpv
w7SnW4pM1hrQXMwadyoFjJmpzHmHy8P5e6SOUDrLSZr7wkpoYtpa5q6s0vbQt0W4KydAWafUzLUA
eY7X39yP4E1gKAwIIDjXMpd0pUZmssiROd3XxEB3mp/9KsSYeDH+OliS9yNhBO3P0exG3jixCQnj
MZHPOnu189P8fhdPwvIzwMwogbmLWaZheK9Q063um0w6+3yiO6tvVNpXJRbBld83wc5NdHNvSsP3
kAtSjUvphdM7Xe6VaqddD0Mc78bEiG+FNSv3JfEGrekKLEC6r3lm0vQ479H2l61z0FIYYRtpm92t
TfHoxafVUUjhOW+IEBz7TsWk7PnjZbo8zv+eaSK1WUXLxljy9BInInRCX39PiFvtDas/5VCWNuxg
EMqgCfYRLlXPbY4+PvVF+ICgGOpiB+jtw6vyNHy4dkIfP8O5z7+Cto9PPp4ZHr64lAfwe73++HkX
Nz2PSy5CPsmyn61GllaoaTbi5sAJc48zhX3oBR2JBi4scOnexTyU4uHH411uMoR2JJQcTVzAlFzP
l7+VoAeaYlPeq1Jup0xucG7xPh5i4SJKUjWL+d6MsdhiRmP3I+bf8r7e0ee021h7XEO9YKdsWRcb
bWvsdHqN5h4mOitvdzmbsz0MlEDKIvy9jJsKVbGDYbLkvWz2YgrvZEb1xhlvR3ONl/VaozjfRwxF
zY7jnKCJXPJ8IvUmjKt41OV9s7cP8iX67D5md/YN6137Gt2lG/WQ3Q2P+kHsiz3qxp/uvfv8UDzk
1/ojDWjMdmv96ruN/yhXZn/evx8912J/x1AHZYlS4d7ob0csWYvM3ilVQ4fSaR9JsQnhiNPA6eNP
frGqkPwjN8PCmnMFe+5FZd2clFL3WzncQ8T7ZcbjwUL49Lvf9nUMcgtoauwZYz5i31xAWlsXamYk
wz3u9RuNHlkWrdU782mIf378MktAGIBzfpv/GYkL/O1IURTCpK4YydhMHj2xryLvL2tbbevHtTj/
4mMxEqEn+kFuchTqC5ArQAuf2D4jRVSFDJ+m99jVa+P3bjpJWlYkczsdsYL2XVwAr2OiWJrhTpTx
i3jXTCbD7xBi3LsJwBFEYgRaOxHeO+6nOqGPX7lyra+NtwwclMZwO43xsPSmJW1+303ZPtB+2Y1/
HdAQQ49XBnxvMRKYmSQWhFv8cv75VL0TQ2nnw73Wh8N1z9feisSZVpbjxadzKcCyFGcKIxCKuzhI
gyRvk96qywfRlRSLURHQ9sxF6oHuHQdw3HLy8BojnJXM8GI2X4cl8nulBatL5fuEwM8corJ8UFz5
rCrxvvE5x0W9K/X8D+wBNwHtcD/eD++8KXxerLDmQg1Uu8V2KIWi4bnFm5aITMCFrinK7WsLfzu1
2vp6+txa2U3tXn886sVRTn4LiwZRFww/kMXF+ZrKym2g8o0P0vQ9lNs7vzoI+oBERfbXxyMtKfbs
v1m5g1eCxiXLfxaf0smTygyNybg375VH86Z/iG/AMPTPPpdVuNUOSKR3pti0dK2zVj7nMhr9e+h5
UM100VLOc//mUBtyY9Td2jJo62NvuTY9C/B2JK2rUxPGgfp/GW7GaHA/ps6zDEPdrpfGECjGfeCo
26h/wkvokPTjLVWlWC/Jkv5/fvW/yBhe3+3NYIsvaEts9GTxOtito/yh+S+/+/Nnldz8F5scns7i
s+miaAyp4s9b9n67a/PJxjcRdfHHoywSbhYHdW4Cdv7BvfpCkTezZaSe5sFDhjXUPivrP/IkTq6i
URr7j0danluMxCgE4CSPnCticYnm1PjTKZzkAyoieR/CQ/K60FiD6pb7ilMfxrCBI4g+aydeofw3
Ky7QxpmJOGaPoWJgZxc6xuepK7Q/ZUhv+lL9f9Rd2XLjOJb9lfkBdnBfXklKsuy0ZHlLp18YuXID
CYIgCRJfP4eq6k4L0oiRXU8T0dUVFRWVVyCAi7ucew55v74o1V/B3EyvCSo9nG6QX82L/mDOboci
kyCr3KO0DXxKtheVFaJeEk/cfBKNAXGshet8YYFIU4/bhbwcEdqpxYZlkhVs4HvLIlAdNMTWSaUO
YVPvjg3ewhk8Ox1YHuJM9GktEDqhcnZqjFMKbYWk5fsO7ti2xBQWNrikA+fu+mc8Oxt4bADScgD3
w//wdJ/aScoG0EuL831P6F3e31V6sPlnFpTbBJK5ooRiDt8zD+Ayfe/X5YLzufCt5ikGHGMThSt8
rdM1NHTwzCHt+N5D8KbptybfavkS8YHay5wLLB+tqLQMlcFlEpSwYr80e08P5eeSRhoPg0MOlrOQ
/ITQEV1qIJ+5ccWoEpuCwWqiqM3zPXC6mKvTjFWCHhcwbEvvxYXrhLsL0iQgS/F/6qvIA41xfz5v
FEK07kgf7EQTkGfLQgFyKK0zWCiGH9dPhvr+z18UDa4A7hpRh3nsqX24wllqEBAIyXbvT5EJzZCd
VdxwcGqkEBuM+KKc5CVzAD+AVmNmWAZnwukxcWUCQJ7jtNhA56Z5SGUYrK07eVfepxu5KbfWbXAr
37UfAsD1n/Tz9bVeumcfjSvOw24rDFUMMK5jiNOiD6BZja9buLSDQL4BYjGTDQdn9aeEimGoYAHv
SZw5YJcBuaqVOjk8h9wlU/1O63zBCV+4FM7sojAIANIYlL+U84mCnm8Olib2o2HERA4PgFNBb4/H
BvTGBlOgdGiv2/J91MuVS4NQCAcTI9vrKz+//w7q7KjKgMQIfFHqoBYmQ4YJSutybxh15EHBpBu3
TrBwWC8tFS8OhgIBBwOF5Vm02vpjjk8/7Q0zhBpjYES2FZrf/bdxJ0L2bXhtX+qlHsL5k4OVfbCp
nBpulKC/ESlWhvmaFkwHFQZjaxQ+nCWs0nz4P2b3KDVjtATlFUSqODxqZ5DJHBXNxpD7Co4G0los
rPzY/OG9D9DNqmL+yXqRS9Rm53fi1Oa8rx/ufwJqk7TUJwmxDuChx89Nt0TsfMxzry1Led4sA115
AsjJ3kKpyLpj92OorYYI+eKdttXifDuG+WYSYU7DfNtuql/ZJnj264WrubRQ5QnkvEmRJIxyH2T5
rTneAJi6kJoeA+yzhc4lkhlqhnkH5SJK0yt7TGDL/XSrY+J7Q1+zH0O7zSjA1aHYkCf/aWestIP+
PelD7aAdil37Wj6zOFhBCPKuXwgrzkodx/OEEVNg/ABWPeO0lqjCesyp9H35iqoDSnPNaqbiebK0
0PuylNJdvJsQUvuPNWWbywac2aBHgbVfww/H2jpsE3AA+0I7xRsWAlgx3dB8nSwkIipVE2ICnOAP
dpWNtTLf7i0Bu9Wv/NFZZ2s7Lrfug3eXPeWfsjvJQv3zuHBVz/38bDPAdAZCX0yMK9EOcOPZlGqw
qf+yvU/lcFNtifWEx9paMKSCb46rAwocaE2cqnk64/R+9syheLXcaT++dev8q/csvwd39LFMw/xO
f5naGMMLYDtzgXd/W+JEv3Rl5vEstGxQBgGt66ltR0uCIJ+SaS9NNxy1yJRLUeNZQX/evI8mlM3z
bNJ4AKNNe/3WiUEGvJ5+NZ/qT+aG39bbYmtvyhtmr6xdXWxzCEsuBK1LC1QC/ElklVm1mdwTSbSw
GbU168kS895FI2DGnYNjVD1UsQOfgIG0hvbAXrNxHaDRzNlCXHPp7Z2ZpP9tQVmGVoGioSHwO7x9
lXl5RybvhlX6zfUX/sI7iEoRWHYQ3aDKqHJ553kPJpLZjffBLpjWvfjc1iuMHFy3Mm+44kNnaDKe
QaRDQKIr5136rKDFlMhdmtq7KV33xQs4uA+T/BRo9uq6rfNgdI6WgMlCrxDMUmre5ctiMoqgdnZm
EYBFN3sZg62e3wVJggYlRK27OpbDUsnhgp8E+gfIhJkt2UIrS9ktNpVdW7C+BymJcdNIuZ2gJpH4
2q9e205et6o6d0Xqej203wbTj8FOg0xnidjzfDPRQgMoF/oOwJmejT+6mQX4YKmPOwzZTnfm5K1R
+2dRzvgz97WltsXcFT/d1VltAI2UWXNgbocpL2MDUhhNjGa6T5CKhmNnryjYVTpSb32SbDLUq6ak
AH1ctvXTx6HtIZSxBH8+uyTo6ABxCSAjnkMMFiuZRzIUaIemdrDLmY87aDfonDgsXdtlmi80hC+a
Av7FB+4dMDyVgsmq2ShyBOu7xJHOihBwXuo8gXY95eWfHmFk2sfxTQ9NdTDgKdeFjJ2e96k+7YWE
2jg6QWP2Mx9fwF/8Sa8GqEXus26hxXB2a2aTc54/o3vQIVNcts0sswWQYNpzBh4dp74ZAyPObesB
FZRoMrvtxOVGiiVRnvlanDiGueo/TynOlS2M4Sv7B7klj4yBaPeDycxo0obhLiCJXI1ZZoZFoe9A
imFsB3ei6+te4sLhhWWUHTA8MEtMqeAIdLwAcCSMw3K5obl340CBTDOQlqdO9g2NnVVa6OsB3KGO
uRkS3whdAJiv/4gLq8c3xfMR4NyAwkHdZ96OU+axdl9KTQftTmWXK8KDBkDNgP+AhCW0JrvGeBiM
dqkqoaiQ4gxDJmieawVBLniGkWUqYcCQ6X1J+nbfOlqehYGrkQ31ymDveLS+N4AKvfOCTEKTaaqi
BhDfUHQSU4iBgaKFF0Dub8oAHQQwWLaQNIG6gA1RSdDO5rRII4nRu23ZumPoNRXbXP9sZ2/v/NNn
FwfmcnMui5/+dPBCyKwlSbvPRdCvgKTK41Fzg4UboQLejl8IhTukvWgywIryhWzWyLEOUCEqigBh
Umc0K9fp38qyMO4GH+LutpSHtCZtJArLXxV+y/6wRzvvERiEAZAFlgl/U0I1mddgLE10vneHpt/K
ltTrUfhk4XOeX30UROdLgKHxuVCprjMAZMEHmdeec9deYfaw+iqSOojcaRJPJSl7sNL0+Y0/ELGj
zCaP13fz0iXAPQSYEW5nbgqc7mZrC9b1wLzuRWHbG7dmGDyjg7Vp0IwzGlGs3QEIUc3Wpui64fkP
VnwP3Pk8PwLT2G3lGPlaApamUri7skMHpw8stjG56KME5z7SCt26acvg+x/axFQEOE2AOsWD6eL+
nS62QlfLyLzUwq37pmn3uUgijD3GBnkV6Z8xbuOGK7aU9Y2irrS+Scx9AD3b0rfvAsnvqLfU5D/7
jEczc6cRBEhgJFcOKZWpb/RQDdnbTuj+TFFtnELjvv98/cOdvb6KFeWUgMO76/QCUdPAxhtKvSgf
brNULiTXZ2cRVgJ4ROBDQIiCEurp9iA3KhNdgjhDtGtX3kzW7dji5q8M+tAt6YucBWsoWgL9jpQT
ozw2Xr9TW1o3EZ14I1b0hpEGh6xAT2Rtr3+1s6s92wALORqyQDACEnlqwwDTHu/w4faZHUxhwsuX
EurXPjAl0uZRYlCQ0U3mtm7T+Lrh8+f11LIKL0FxqDdkwHTkR5hw6Wl+gzgp0uT3tsofqe6By4HH
pqutOmBuez3GhMkC3fb8/U6u9/wLAH4G4memYVUjGrzufpmOjbEPPLL2tHSVBZ8njMf31aFLrYWX
/Dz+n63NXnqmPcG4rbKbLYJTaMUwY09GIxaeu2kKsuKZGYuueLXHt4SYbxl9cjDyLbQylD2okyhZ
CGouHSkEcKDKQNvJOCoEfyz71ZVBywLsXXuIPcecv1tVHnr8h86XaDkunSvgNBBBwWFhDFMJ22QZ
+EXbtsbeeiogItm+s/yO/iDJI7P3gPhcP0uXVgWorIF8Bq8wWpOnhzjXjYmXpWHtwX356En9DrSM
911bvbWlt3BfLngZULf9NqXs4ljkYx6MpoVejfkIWpB1341QLl8iuL50NOekBSBlRDL4hqcrYhVY
GSCXCM8MmoQI89dvyQBCgs7uX61S3DBIyC18w/OSDHJTRHk6Pt88DK7mp1D27UFwwrq9DsbRNzIZ
XTi0EP6zzGyK0qpqt3CHP4leeiuvtOlK1NCRz4ZPIA+iYaLjqUryKpY0Z/cTdBzum5J/B3Vovskd
Pny+vuHnxT/QpgHcoeNROcISlR0HQahpJB3p8EpCTt326y8s6JoV7aArmbZwyTZC0bsBo7xhpnf6
injNsJqY7MFDA/6MHpR1YdWDTIuSwFxf/3Hnezcz/OGZAAEVogZXafm3eB5EUxFES4OPQYuu+FSA
CCgenFGuLFeDkGnRLKSDRwDsqStDNW1WMARQE5B2dYIgyEwowM14V0zaeO+p32c/RNmRp0mAAz1E
JV68j5UV0EjKqvpC+9xyw67QSpSF0b95Gpmf73zNrnlIgSZtwwmkWy8lKbT3hulGhbTHAy5Ym4L8
3coN2YQChyQI08Q0D0XW6YBGZqa8FUXnHOzG1HjUQirYB+kFyQowdZXJsw+2E/zBoynBt+o6fFdr
DcqZhpGXX1A9n4qw9DXv3S5McSiNqQTxVNOLbxN30dkdqqJ61lHWBl6XuMMrwCPVNyH6dghrVqX7
UaCdsXAjVK+CliwAFXiAZ6ltzAso0ZHepBzIEZft4brjdFxNJliasi6CUt31A6P6FNWQctmFpgtu
MRjqfR3Uahj6IvsgGReWM//cj0dEtaJcmRp1HjrUsOLowNCCtYJyuvCmq18MBQLU7vDGYfQI5KFq
qRB0LEZXG8WwJ1WxSzPQ2+ZBAdJhqJpUJapr1z+buiC0WoF0xC2D5gDo2VSegaIGhK0hw7DPM1R2
Jr3hEfeB979u5ewhQ3kVBRbkV5gQBC2L8tkG1x0HQ8sB0siGVctFFg6d99gxAbpBK5wGiXakX0cg
h/rDU4E8C4ZBbg8W1nmwVUkEfOGOHWUVkkvbDWlbhx7Lw8FfWJ569o5WAAZAeQOfE8/n6UODfA4g
NqtGkUMbYrPf+0YeUiB4rn/E863CWj5YUU54kSeYu3Mp0tSCgEIvSD6j97AkjaTOAaM9DCtzighL
SKHUGnLvSKFnfoE8sUtiUnh7RmXYdT/Rx41K2UA1xL5pAgHfJTO8WFNoWeOIfyNuGm3pKpwfG8Q+
6B6j/YbfhXbR6XedKgLhADvJHkaNRHXggqO3iWUJiJTZRYljr1l3wPzhwpU4e3ow/AIhXJBfA6kP
pkbz1KoNsY4JraP8AdLiTrDOx1sHXEr2tvr8p/uJpw2lhxkVPhd4lf20q5YbZq3lD8TotLUOifew
csyl0t9ZfQUZFtKfWYkKNdwZ4Hi6nNQlXk4wTLjHnOsY2qVpAOUjpvUwD5sKsAPj3bJR3uFf+YSM
JafNErBOPbj4BcfGByI+HRUwVcK1FjmDgqnR7QdAr8HYVAkwa1d0IahcsqL4GIj5Ad9M9W4/BpjI
rgDw9zCRs3A2Lhlx7JnGExSICMiVszEKDF2OqOHurdTFs1nqdfOiQX96ff1oqG/A/MXwWIJcEHTB
GMZXzHgIenwKPmJcQq9eY/i8hS6K1saYz8/XjDO24MDOloUQC/RnCHlAdTF3dU7PiNXYhVNbBtun
7gDX/Is5L9cXNJ9l5d2EAaCVcRBmIhnlJiM2d6k+YNKZeGkY5Ihj0CLKXv+ZEeWkj22NEwAK9X2O
IfyCfRbyiXlLRAmXP9XvlShbA23yFqSViAAM+g7OtjCXU3h9GarXQ4xx8q2UN6timQtic4vtQdQ6
bise2rioBbrUYdKt/lBOHoUYxdq83g8YFoi8+gQgK7avrOdZCYGKOxQwFq6N6lJVI4qrMxooFxTz
9jffsR65ZTa44ZGhL5hZ2hvFBcxSMB1GkkAFM3yzADjMl1KEpWM8r/PDx7JyzK9CtI/toUYZatWD
5zwb/q/r279kQ7mLGOqu8oLARjoBD+x/tapXp1+oeC/ZmI/gh3Xk1JWeHHDEigqjZgagWRCCXGxH
L2yHCjgVkhe8CbCSwc8xMJ+FzF6igz9zlKenV4XvEY5FNMxke88obpgnMJawFyZYjptv13fl4gnG
6zkLuGI+VIV66h0osJwW1x6pxcpHr8YR795krbzgMflD4te/ruQHW8pt8XOMX9Z0TmXaIOq9T8bw
4lZZfH1BF4/AByPKXWk1PSfCnP0Y2C2JdaP7WmT8N+kfZgN+fzblwnSiDFp+tGJmUQOqa66ZIUxH
ff3nRxoASrQ3UIhEs9xS1uNqZhtwTYfzd5vIhrID8uUQUkvXv9oF34xiEtBESGhnDmDlHWM9L5Km
5WxvBegYI7kGRTRE60Jhoasa+Uvp5oVNgjlE5MDEoShx1oIDUx/68QLHm30BD1VYWiXUV9bX13RW
VD0mtR+sqOdtdAhBMYjtIYg4Zy675qE8FFOoQxB5CNl3eZ8dzKXE8+LSwAY0R1LoaKjTyGWXm5qZ
9divgMRJIn66/RDbpF4oT18086H+oDzXno8KOToRCDyKryOwXkTblf2P6x/wghM6qXEoD7ZpG2Xn
aLBRJARiyIfWeOEdeK0rshAZXN6pD6tRrhMUo8XQcbg7AWIDE+28UPrjfSvMN0rS2KI+unj9Bg3p
RweqMiQobgfP2gxmuvDQLq1YeaM8WqKsKmYPVXTQBDVjq8P0um5u/EX97LOE9Hg6P6xZeasMv6QG
RlTYnmeg/IvrJOye+aN3U74kJLKqGH0wWkV0nfwhdeXshj9uq6o5XRoaKcGrDA9ZkLgjSThMh+sH
5zw3U0yoEWsP+RHULdgeZAfBWy9D41vJwrLDzFkcpOvKWThAC/um6r+nhkGnAFCIvTU6cTndm3kJ
eGm97rT/ynP93jUVepk7JbxnDku5yVZ2fsvKYW2Ur9e/38LlDuYA5EMYU1V92vLjDkGs0unvID6y
1ZdUVC68/CfHQPGOicZNm1rYI70SG2NoQ+mmK7MXoVbuWiPdXF/SxQfmw3ebd/DDkoymzTVn/m4D
SMvHMgEGeNNIGgf2C3SpoI+QADa0lNMsHQvFrQzy30aBY4db2WfixR8/S74wbKG2ff+6UOiZzZxC
cz/2dG0Qvq3rvkN43tV0XTp6iFJ06ALk7AXQvO3orpefr3/NyxYh5Yc8Gn+p552iT8cqIvF+NkGc
FMWnpp6iugZ/pOM/gtw6Yt0S2OgMOP7XKn/bVF6DLs0D4WbIpWtbi4T1Blbg2LcG0JLna0pBvGBu
jQAyHLfW4hDr2T5i2hPIRJDgovOE0pLy2GXUcwk3NWfXNV8sAq0jTOWCli8Gtn71hx9WsaQsMggK
3xZV6u5a/SFh+tbiWGCBVLXLXzroaKC9sL5uUSWEhy8+XZxy2a3JFa6RwKS9ic1b/mrKCD2zESwq
PASQJPRu0lUVoSPz6txO7qOPsaG7PF7qZ5x1+I4/AwAejNBAEgi8YKeHmGm1JIPEz8hf+Vfxq43b
LX9sn9KD99isyNd+2z/RBxhHCy1ebH9f3OAPxpX3YhqFTFwTxt17gZI5+EOM0Coi6JAMdzyuHsYN
eaF1OP5cog85P9Xz15+xt7PApwkE0+myS6uyfEhYubuxjYchDLJ46uJWW+XdKulCJzbv3YUjduZ3
FYvKu6+TCXKEFBbZFBzM+tmQEJlPh7hNXiUEVa6frrOX5NSY2m7UgzpjGZ/PM6bAwGDpeyweA33B
uS9ZUbaPaLJO2hJLohyy8WDZROuOGt+vL+XM5ylLUZyAADLZqtz5gGbVxgQ7cF8HN1Y7riBTGLus
DaHSt4Dhu3gsgTjHwQDpC3qnp4fDZ7JFXyxxdsRPwoqMkVPGGrnNloa8Ln+/33YUF5ATYg5S+s4u
TzH2ZO0afWOyhYRhaS3zb/jwAAtKpMFpAB9Kn0nVx6BnDX0MWNXOgkM7D2yPG/V7NfMv+WBJJrpF
OfplO0g66Ifge/dU62H+ydySb/13AenI0K/CfimqXfqGylsPBYlRb9EH39V8lbUihMQCBDxerp/B
JSOKt7CYkRYgCnd2thas/DxfF9VPXpir61b+D6f0+wsqLkLTAcOB0Iez4/VqsPdaEwVf/R/IfNzP
mh73+dptFm7w9dNh6or3pxwIbqQCzo7RjRXcEaiuYOAARIPXV7ZkRnEUcmrsjKTYJCdtIjBQAgX8
Vo+xGSxx656Fmydn8KzXpWMMq7AmbBR4LfM0hD+aB8M34CzRtSij0T9bluInOl3Taenj63X298S1
bxv2Ddl/JForvm7oPFEGislHvAc+WswNnU1mV3bt1ZyPzm7E/F4xRNXjCI6yMP8RDLEbPpHN0iTd
7HpOGhyzwXl+H/MgaHSr4172BBh5i97wLrAg9QL6X9zd62u6cKdgYe4T4gUG5aJy2ANgxaGMBQt6
xhJU7AhfTxSkfF7pLD29C6bUGEer3MHOMGS0q9wiqtmqMNvIyn/9o/WoOAcfQjw5A4Zlp5s0LKFz
6/ImqrylE760FuU5NAvgmqwBa/E8EdloPOj5VzosDchcPnAAuqClOw8aquUsN5AVKM91Z2c8VbuZ
sx9MEcjm7diBrnITtiyEhi+ocv6bb/jbquJnqZx0CpZjZ0dnaNJz57y5SzR8l+JunLvfNpRzNw9A
SQ8KEzsg1T45UDde1U/eLovbJ7L2Yx4Pv4qvzsaKqrX5Te/C4Av9Rm/+0TJVlKudAF5hsMnZTUaP
/DSIkZoS+nLdyOUb/J91qnJr1GBJWSdYp9BepwzK4V/+7M93cHV95KCAPM/E/SpNNsQrki5PWf/A
C0liDAv+1EZ9ac7wbLdm5zDjDsEFBxjiGRTFB2DQINwYHkqt1sfYHxPt3Rpr95mj0be3zZoVUIru
288FqVAOreyeI0ccU/Ga9T2LJLDMVZgLAwDziZji3XAbZ4wAxEhJ2GCm9bPV5BBGGlGynsIKNFt1
WGm80zBzz7qFSFbNAOa1AO9rerhUgH+olB5BbzVdCj2phwwKh89DzYawaFmFeqaXRTWEv2cyz4Ub
pUbPR5ugD8GrMevmqA+8RfqKssDqHuDRh5+GKEQEHGwe1gLUkw60mb6U+vAyWs72+ulQ3RTszkTT
s34ChGxAz3kaDMKkYzBdFw80MMo7SmUTNR2BJE+SZwsxzIXPOn9RnEFwMyKfU4KLiQBRKaQjHhIf
nKNZMvzUcKWg2/TcWfI+6cnwh8/+vLaPBhUXXDig4WWWJx7QPclWgmjPQeWK0JwwjMV58ofJCKxh
UWA4nTWQdNAdnX5Jw2/cItVH8RAkmRmVU1s8uol4pcRLfvB2WGItUUO12RwYjoDPhj1gKBQXjOfF
dElaiwfHAy+QNfVdnIIGLqpomcQaZf7C7p0FvRiiA5AOOFVg2tAcUsFmqePwJtN864F4v3IrfXTA
4Fk29k2pI3JLzHh0/DtTVPcFaz7Z0Am6fk7P7gcwdGh7gUMECBUwP8/n+EPSErS+oxWYs3uwpuJ9
tHm6nfS0i0TdvQaNBQnQJvPColniYDobdMCqT+zO2/DBrkhcQabRwqoL4/M42evMse6EZmIitQkl
7UIOMG7Lk20hDIBgRwujOPWCb1BfCOh6gfQBKBaIIoFBVUXJtMTXtVx67oNT6n5MLacOBZ+WGmMX
reDQoGBpI3g9fokPKzWwu+08pPYAlR+2qSsLojIlJjiu7+MZtd9Mq4ueH2ZBwbrtQCPz9IN6PrV6
2mv5YRyh3mhWvl9EiUj0PfTtahqyqna/1gXHaAPJKZT3COkg49d4dfOcgiPzAPnHcVNM3TbltFzL
VGe3stCKv56AP2JbP3KRc/qrO6VWP9Kl/+Zd/3/HyQ4v+B/OwJkc/m8q993XClTu6/Zn/T37nwek
GOcs7Pgv/2Jh16Dq8S+oc81kULPc29GX/0XDjkTA/tfcR0ASpEPT74i5/ZuHXfP+BX4s0BxiYMlD
UQ/iUv8hYtdM71+z2jkmmZBj4O+o9P2bmH7+NSmtwWn/F1H93//8kRv9OP7zOy+asb5IhgCKPZ5n
gDWU6LErRqPLATe8F3mfrBnCk7tOFIDIDrieZSuG+37sxMowoAgLqi1529e0Xpl6SWLR+iwsnGaM
keuA8MbO9LXm2nnYS1LdMldn4Zjl/XNeuVpc1PK1HfsXNuVfRTH2z1AgsTe6g6RP0zCs8GEzLixL
adxhWfADeKcxRunO0lzqNKWAxBjFXRjvSSP9LfgP9fcGBRtQZGmb4w/VkW2kPM8ebDefkOjSpbk2
hWYZPwG/wIbyClwRslyQZZ9eYDd3g8JqDP1eZsP6zWdT/YDZ+YLeDKW2qv12XBtjomfQyjHTNyMp
siYa/KT7rEuDHgpRU2C93MkWYUcDeVOVAFGHIByt33roM38HRU+1L6yyvxUW9yDSqTvFdrQE0BuZ
LLYYPbA/tS2jNCQUGiBh1xcjDxknYCA2SQBJpU4rPDjhpdKIUjY7rhteGEN24DqeydeU8KVlWT8Z
rB3vKyewHknaMQmxsEDrQ2pz9svIMxCuDISINVwfQEejSOzb0cEwv8mC0AAqCQi0qSq+QEXTGhae
CCUPnH8d7hOuI3gdIXQAZvvTXSnKvAiIMMz7AtwtX2uSEYLZsBICM2yyv2DsyJlWZWul+yJtxlsy
gLYusk20X5H9QpNdQ1oM5yvKZAG4cvqqzL/Lg4wbTgnmFBHcqikUz3ngli0X921evHdz62vwl9Gx
c/nr5LbDn2AuDuv/S+ITnurjKz0kToo5dybvdSQfUdsKBEOQagp1J3sqGetuEVbIn0ZmaqtM6sCa
VkRr11XTVc8VoWkeuZClcfEthiKU+pQMMVjwwMNcWdrG6uSACLVmGCAJvGLnggs0toypA0Vz7R8q
aGLVEegVv04OBQHGmE0ATXIjt5/s0a/evap9zx10blZZDtp6TGnOenZ1Gwsod5chwPWFGXNPwHDp
sh84eGWMZ5gsBVAXzi/cBlwvBuAQ7qODdPqNWilMWmSjfo/3t3szy8metbBrp8WPtbRIozlfJ2if
2bxo3MiTvffkZqwC7QYkuoJYPNeR1Rbkx4JHmw/m6daB8x6nAxP/SE4xFXb6szjnXSmaYLqvG1Az
a4k078vJreLEtPptJXQZaZoQW0kH8SolhZhc4Xg3Eymrt4VfMjsu5ZfMIyJgNwIeGSArJcQ0IEpa
1I2mQ8uIooeZECcFB4CFTSq4DWFrRHrrIqUFpD2oPr0ji2vNkHJ8wHJ0aLMqXdylsJ9GN77+y05D
fbTdcLQR/oFPCjBPoKUVj9tZpIP6WTIcvLL+2pj4TL6TlRE4zBFtjuZCRqiM5x3NgbBz5j8+8qCr
1Bla77cpNMeHQ2WyN7wC+qZt77OiBQ96PZRxwYI8zgBm0nu7ubH0NxZ8Q6kLzThLgiam5VAp1Pwl
5I/qR2bGG9RTUeIK5vkkNf7XRgcqcMLVD3y02Bd7JNm6Ktr65vqXPntfUT5A4ALSCaQ5iE1V4Jum
mU7Zs9Q4TDoINQdOtBVnFQjJEkTe04BOs15Z742XlCEHz9Z7UYl6KdE6Tcnn74+NnsnRDN/BrLGa
2ckA0RCv++nQj8G48XjdrIWt85Vn4m5knr8bAu/e525x42GCD6MiQ3Lv+eWuwp8b0iQAuEG3Bhkl
drJE9KQkgfNvQwJylFDGdoC+Ssk60Wp3epMk5BDUhojKLvGj3B8xkGDzPBRZbqFwgKZ/k3XOYwkd
+giUos4njjhqKY9QXf7xl+As+AgkQT6qDtnaaT2OlW6Rg1EZZOOkIO/DIKIR+/FucNDjrJymuHMq
G01BqNcs7ZHqtVTrSlqIelZvmYVODpjMaEOr4fpq1C2Itlc1e0kYWIfzGoNYIEsB8awmQNJk1Wsf
SsxLB/bMN4BDFAcV7FuImcGyozitsTTssR617OA1LeaiEKzHzVh3N0lv0UNd1DROM8Dqay2po7r/
Qp3uC0dLcWzd7kVw6T0UGCe9d+Uo1yIjS0WK8/s0U5zOpxmdCXCdHM/Th6Sy11DSSrwiP1hpn8Vj
4rUHYckbZ3TTO6MQeHtavd8VRRfcAUEIWAHkqRe853wkP7p1Ez8BI3KolXhILpAQnD4wfl4XmUUF
uPntBD19R3+004mukPYnW94ZRkj7JNv5zGserjuTS1sDVAyKQjNnF3KhU8OgDHDSSiYwzBy+tnoc
j6wq8wgSPtkatRuycBZM9QE7rhSU3ghDwNMLIM6pwYkUVWe3RXFwAgJkRlKILXMTJ0xZ5W7zjk1h
w1tzVfUkDecBxaiVfr4Rei3DXmPa7aiLd1YU/XpqWb1yBlFHNgqysV5QOxZNMr3zrHJjZ+xe3bYx
1qlrpQssXBe/GaJYlLZm2V9HDeRyzCe3eZ8fzL7PV1ppyTgnxVsBUd7QqGw7ur5F8xc5Oxsu2MJR
R5ufWeWL+aOe9JokxYFl3jPGT4ZNU/kZZuKyb7QIPtHAWsInnr+uINvUdZChI38LMGWrJKZOmUuS
6eAmL5wW1Y3EfNPn8pHAYAdQ3qCOyL0OxL/0MfB3gUN3uci7T7TrNy0qjysz5Bq+/PWvcP7RMUCK
VEUHPG4eJZ3//YdLWqfekGkUPsTgox/Z1Hs1zeEgu8yIZUKXdHqUChDeEHwBH60IDKcii0KMcWoO
3PZl109dfqg16ZCoBTEQCKac1NTDdpTtD7s2HlCzXkttRokSE9OzOQqPPNJ5JjdDrqHbYzo3Qzo5
L2jqkq/43M4Se9DxV5wejZkcH5OYM6UhyJeVoAv5QMVyIQsg0CtrP4yGfOkGkW2zgKBfUaMiX4U2
ocQKe3QUC6R7ebmiHu5abLiF9SScod8ZASHffTRfULEzIERUcre3Y5PX1n0NQOKn1NWmQ00c8+36
jh4puZVfj3EEH5uJcgt6PsqWen5CkYLU6YHUkwwT5rMVQTPjpg6kGeW9YcXIMMyo6nMzTstyk0zC
upv4NL25iRHcTMK0wepS3rRsRAexL7JYNzpMUqC142aeF5p+KW7N+WEbtS7i3JBRDn8ajEkS260b
hHRw7AgZ+U+UqLVbp330IUf8BObiJrbtcowZgexpXXf3U1uiyVuOzY1glb9mtUuiqQvMrQlRxY3f
IzFa+DZndx6TDZASAkcTho11Z440P5x2qJfqqTdK7WFq0j40K97EtSPzBTjP8VlRdwB5FlphmHJH
4K4k5EHKDWqMVXrgHpti22m8rVlTCMzhLYpbzD6FTcm6FdcM+QQyKgsMo3m/xxDsc5bU8h7zjPSW
BATQbLv5anrVS19CNRrv7LM7jV8SUWUrmVYrnTOxYWaXbBITNSd7wJZAPY8tPKJn4Tdwh6AoQwoP
/VMPPaHTj+br/dTiRGkPFoekoWxN8hDI7O+q6/9ZtbsQLsAPzRV+MBGgBac6x0RrUPzS3eohz3Gx
kv/l7Lx222aiLfxEBNjLrbpk2ZKdnhsilRz2OixPfz76XJyIMkz8BzCQBA4wnLZnl7XXkg5ebdAT
tBvZxawbGh1CZwd7WbFxU/XRqqx04f3R7l8EvoAJov4EfgMX93aiagMCsx+s9IoyxUdR7CngK/6w
cn5GJmKEjbOtnfhBG7cenczV0J+N0tt3fftYhH8DXaz7yFtIoMyAn5O55IsoR8JkNinSzMOxsUQP
lbpSeh2DxjgY1KRX2iD03RiZQFjQyH2gZVf9KMsyxejU2T5r7HGt+sgDqm4zbI0+lpsuH6PfCkWv
05AqqCEFFnSdgKVwuGL3P5+V6TEheqHFBvDz3HKCdzBLLTbTqwTPuR06ZKyFB9bs/Wt8FyWxLGSY
SccxDBwPk9v3zzVOVKhhkKNNr24o633cdsE60Yx64w+tuzDU/fuIMN/kXtMTYfDX2ZkIpbDVvPOi
6yjSYKMPYLcDH0J54ejROjbUpR1/Y2r/Nx6A7tkDqZtRVElbxNcocY/CldgAo3moY+8Qmtq2MMLH
zC1OiVGsQcyshHIoZbbvjGHlyvIU9Lv3F3qa3a0hI78/vSJk+RFhm/eEB2nTwGNZJdciRgG6sEh2
mRH6k7kMD7od4yMKt1nh5lvrSOkX47y3hqeeTpVzSiISDt/us1UhMVxafXQVpjnubaeqPvhD6Tw6
RncKofGDO1A3HjtTaYGIaC2Q06F7SjMlOGeyBiCnoCp9GuJKOwQqqYnMh0ZeKYbg0WsicW40/+P7
y3UfbsDCBIEF7CY07FHKuP3evLB9wyC3d61H+mjZQbDhMrI2GRxx6yDJxl3tKJfczZd6nd8wnuQu
yNxMFEIkD4zJhv9zI5wk6zgfsFaQVxx2HURs0jXHT1Lqv1U3GL80GorZRqUa68gTPlIMVrrgTt8f
XL5gOinIIVPjm3sdetnTfyHH8OrV9UtWVPqVJkzohrIsW1jlu3w3DDU8rER1zHZq6ZjdySGKurJo
c4bq80PkwB2huLHx2Cp5/eCk9VMBbcdTKNtNAbskNImboALxRx3hqR2gF/zPe66psCUQSWjEXq/g
mH9WXu8ce2yNQVwN9Fnplo/rJ9eOrWfdHb+Kqj5UdpZ+UNMkWmhsmXZ0djU1RIsndDwuHjj52x2H
VKEsHb2OrppvWXvFpu3C06W3eX929+aP3ZzSC6TFABO9RjT/zA7sqT/GRhZeo6qXRy8KujXpx2I7
2uaHWhsWBBneOENYdpMaP2lYMkzT7/8ZzSztuKNPJ7oqpfcxyap4N4ykVUkkdMf353X/1BMmu5TW
gTVCnjMvTVR62fU1NFlX2Wm/84amas3Xq8/QBv9Khkb9DdxpSbjjrckxKJyfGrxHEHrcTi4vRap3
EdQrWmQoZ9uoPwcw8x4SW/3z/tze2DMS/dRZ4bwggJm3PIV5L8eat/lSCl3uiqSxD7agPUPviocB
9NTCBXgjWppy5pwNXJQJrDC7jlqR+OSadO0yhpnzaOlatXNDMT5R9CLhYQmaNSN5CGNnPFO8c08l
JayvXltsKlE6xyr09UMVWCMllsoJfrVN0+/bov9rhH38AqCkXqdjLBYAO2/sP6ZqOmS4EB67crsZ
eggtrk2L3aWqHHNTyCJ6VnLz3Dg4m1ml1DRiwGn5/r68uVAgIKidk7Mkfzq7soMviqxpS/1ixdke
CMupqT/G7V9D0f/gUB2aEJ7owV+ZaYoEstesogCOx/xk+vs6S1exJT+5o+JhY+y16WuHqGsXbMr9
qmBMyIhMwCKHxvbZqqQ+JE2wcwVXPVevbeu91J1qPJW6ezbVKn3psjJccK/urdgUp3IdpuCCjO7s
7BRFjVht6QdXEmnRKvcyF/p1rd2/v/L3qWsoFP4ZZp52yPD4u9x2gqtd7vSq2cRecpKWF60pYn61
k/Hr6Db7NFDOldn/RENkqYqz+AGzlbUGERhCesGV07FTOnBDlvDUFUHhri30nfTiRyXxvqb+yafT
M/XGJeWMe6OAW8Jph0oC20UO5vbAd34Zm9LIsT6lAZEWvJTp0P7VAhTC0/rL+8v9mmy8fZumRM+r
hABFm7u6XtIYkRC6GlyNMnpRNZywpIDwfMhSncYPI9+ZQ1T9JXIJHqZk9DdNLd2HxrSzg1ljimOU
CSEgNL1zPQTq36gpbPSUEsWOVoVb/ilqnxx7O5afyS90NeSGwV5xYmgOTbNPHxQvDOOND3HkBurD
aCsCHRa7PhkeIzf0dro1xE+6mxQ7X6b2T0Mpk3VTDP5XiM78s8smLZiat/aeG4V+BPVFWM3n7opv
lK0XF0JcW1BRJzsd/4BnK0++ruwMqbcny5Ek4EdBZssJ8i31bO1TYRQLGeJ735QiK2E1ITYyOGic
3h6ARjVJ+FZaeLU4htCax3+9sRR7WXXxmSin3GhN+ztNGvXv+4fhjXFxIIAEOZPMJU/f7bg65JlB
VsvgGiAfu4pw9J/zFtEIf9CvKk7csYcg/JBFjbNA+PxGtpU6HulG4jZcCkq7tyPnCuDikprCVdWp
3QFu/Nv4abRJDT0p1mVAh1CRdP7JK5TPat94z4M+6HsQ2eAkmjDcWrUAHlSYl8h1nt9fkzc8WPKK
2FdSodDeQlB1+2lCgZaZHJF3iTz9R0EuZF180UEHAKVHcjru4w92E59bm2iz09NT68R/aiheH4c4
WOodfsMCTxkXUp2omAEUn/bvH58rp5m9stG5RSwx7n94OXVc1RnjhVNw7/xQOORpwfkh963Na0F5
Ikj6om91SfP2IpOwP9eRV+07Wdli4Ul54xFDz5JolRQuhm6OxdWz0RC23vmXlHTbNvZktAvKIFuV
ji03pZHLdVLoSzyJb+SOuOCs3qQ8h+bEfEezUhd2RWcYHfsQBq7MyrTWdQ6bX26KbwCCnVUq7XCf
tAPmN8p0f0Nb7bMxuuEBtqISztTK8dZ1UygnTXUQhypc9W/dmp8XTt5k52emGeQeuRluItx86uzB
HTullKOaupegs9NDrpc2cOUxWjeV3n7BgPzINKM4982gnvgq9+iWyEpHbfhr4TumcW6/Y1LFMCmG
4DtSCpjeq3+OnRfTVtSUfnFtx6z4YsMGcySAjHDFqm4zUODd2ARrB932Pynm0G0lfvxGDv26UPps
kxbDVu8j69wp0M82YyJ2fYFsWzb0ykOShEskX9PX3Hwt2Qe8RWCr8Dq7kJbefq1mkTXPMSZXtezb
tdpXZP6b6JM3jt66H73/fIQZDrp97DTOGI71bHFiQgVgsUZACN1GoBjHdNcrbrlxqyzZ2WFWb3h0
kwV7eWcIpkFBV2MEaEVw5h5CxRF24IwMrh2ZmDW56QSFknRYeIZea/OzpZxu5ZQogIsfjZjbpSRu
hZVPLbxLXEd70iSktbMVnAmrtj16AtqCwNikwb5r/yTyIVeOfaxepPyk5zl1luJB6eNNAD9QL7p9
XkY7q/iEwOzKFJI/zYWPvcNN4bpwp/F6MV42EKVZQqfK0Dor01y5NBQOtk4qISmvov0UB30ERhcf
EtEqm6HyXpyhtk4yhZc5S3xqV2qvZqT6VecgwLUfF27PnY1Dq4jtYreIl2EZn30XEXnc9cMQXFuq
6bug8sUhIEg60moAn7MdH8yCajAhQ/DkqlG0R9ml25hd2O4bYFTBqnHdFnpfFq0ZxJ+AauQzaLBx
//5n3t0ak/dtIqUgUTslbKYT988dN4OiarRQ018GSvO7NPsZQJ1qjBno7i7dvD/W/ZM6dYIzDJuF
N0+CaDZYPMZ4i8RxheLalyo3L47o0RiNJG5jUDin0K71h8nfNXM3eoAtQ6XXWf1ptAKWbOqNu/c/
6D7ag0yThw45KU0HMTuHALhj6+GC6N61NWtv37f1CH+BGpCkBDz00kLN8VhJ7xui7/q+c+n/d/JS
Vza0YrKHZZ/uoYP1YZwt648ukKBfRamQDaahqyq3Rhv4q8Fz/wJahu79/S+/2zY+nBQiNRi8eO0u
TDVjNM401TevY9htx144a0XPnynQ8VxQAPrvg4HcpCCHEzINeLtt4LHotqos85rG8XC2rSxb+xnV
xgZVjQPkD/rCeHdWjsmRfDHRNOOWclZux2syDmDatUwOlbpVoUME5kh1ycq9OQqnEMFzTiKwvdtR
0tQuSreyzSsUa/1aFiUAHM8oFxIKr1mqG1uKBSADyDOqIvpIZul2GODSEdSNvXNNNV2eVaVpP+Vx
0G3aurNeXCNTJ7IqIozIGaHTJ82+1aJ2tDaOnrshGuyV9cP0QQKt61CLX3I8lGA1hoP/12kG56s7
1P6Hrq3ggAsy1W5Wk9e6TkJyOIRyapetZF+5W93JgycnTuNPgL4B+oi+rqsVlHX1LvMzOknUIY8R
x/Ws9BihB7wKFP69BslZ/PBCeShU0rhrz69o+B0DPSxWpQ1x9zqSib6hQOLzAALBjNF/c3JNabZF
3Gs730zAvheB6IOVdBLanni2goU7fHcTeKloAgQRSFiOIOvMNyZqGcO28NSrKTKxrcEBw75Xm3xV
Em8MCg0Lh/O1n/pmQ8HVI1s2wS9xlmGtvd3QJrVi2SRo3mpSPbnON00a35vWPYswAaZcrYLoVLrf
83B46ZJ4pYHzLqPkYEBI43trEqZb3WgOOkJHivOnbv8m5h+KwtSKderCYlWUya6hqix8ZZPozwY1
CsgMHgoKSRlJu1T55MqhgeNfe4YFcpdr2VZNlE3TLdTH74KBaZYTnwtQdRKH8/6MFue9U7sCYcpB
EunrVX3ugzL5LUb58X3r8uZItEr8b2GE0u7tenaBEUo3NMeLjJzhC0XuBw51dhybJtm+P9J9tMmk
SChPSle0SNy1UIEI1HzbK8dLbvUvojZ/1Uny7NoAAXNZH4TMjZU5NH9FhXyiVa+SKLl2PMpx2G0K
lwS+Wi4cpnuszfRFPIr4kZAzERLdTj7WdaEOKmKpYe0067jVzWOuy3DlNKYfrIDLFdtK7+19mmju
OZIptRr7VKd0LRi9km0cjWyJtAv3yTEKfZN3SbVQcL+zkhO/JM2SuNZ8I3b59gNzleDPyR3tooxe
dLTcEg8wrq8LGzNN8/ZOgcLjIrMz1ElojbwdRXZeQxOGjswxcd9O07su5ulMrGOHL7pqQt/91ube
1cg9/WAnol/7owpGjgaVvS1CulWbonUeZej/7sIJESVEyFbGWrySipkuHKNXBMrsa6kc0gHFkwge
2Z25MXFkFpoZKu3FsXkFpReJvWMKa5dCflgSedTJybOU4VGg0rEqzFrdE8FDVp/BbO0HRnVNoI/a
p0ZlY6XA0ml9BsFGVSENolXtsA4LeDZGrU3XkgL7CnXEYC9bR3FWRpAxpdwkbaYmMPSaebr3jHHn
ZWn9K9ZrVKGBgvjH0vKDTdYMzT7zkoy6a0c70OCIHWkE/cg577ZhE1WbftDFieLjn3QQ7V4WRvNB
DJ27Q5Lw2R00j4NYaOJ716vepSnyfEdBv9/60nri1T7XRuTtWwXa9vePw2tT82yBaUqB4+E1+MRD
uz0ORVwJNTaa/mLnOi+bZzXBc4DGaRf4I8D/Ut0gafK51iL/ieq7cxGmid6qaotrNZbuxSiIOtvU
Efsy7Ov9iDTLQ9OGtHTUQf9UgC95GPzY+YPMibEh4a+ukPqtDx7Z14WDfRdBI1YzOf/8gPwh3XE7
EWn3sTWEYYeSTqdtQ/RiNhxfua8yTf3D6fpVNgJ+ymaQzS7uK20JqTDdm/lCgsqHIBa9u4kx9nb8
tKTGUaNZetGjyPmsKTW4Z6d3T32HR4oDMuy1SJSfWiuov9cKUUoLjVet+d0qaN0lwdrX0vrsa2jM
AnIFS/oEvJ0ZuyEwdNkWjXOhiy86qnYJztUdLeds98PL6Laq5OsauNkiaZBqj+ofKa2ov7Q2GV4o
ONQfDenbqxTn8DGqVO+5jMv8YTAy50mp03QSWYt3dIilK7dQUxrX7WjXjJHc2n1AaOMN9KwWdUhV
PTUr66iLxv4+IHrzISuKwls4w3duyYTWBIWOd04u7a70mxsBKc/KbS8G1I3QHNXRBcxNtAcBrK2r
sqsWMgP3YbA31ZhJQ4KmBncz1+foANgXyEa4Fw1myp1TZON3AojgUXgF8ipxpW6iSmt3nH65N/ux
hNrblL/b0Ml/gMKrtlhUfa2j4rSwEHcPCAkECuDUpcEB3UcqgzQiM0Nj61LAqUgPYm4fC71b4lmZ
nqGbo0XVZAq2qRUTpphzTJOhZZGqi9G7eHrzKHNd+dzo3YleRu3n+7bp7YGIFEkggqSYF1KjNLQS
GaJ2Cqd89ghRZb52/LDeF7UeLYTm99HppPhD9oVq+2uSfFraf2JzNGWMwdUT96LIIf2dZZHxTAyq
frMrhGu8aAzPySC+GgqMjn2ZTw5i6n0I1MFawTpTf1cUJQKZW9iHIR1SnhYl+mrnijzQnB7IlUFK
kU4gy/vz/grdveWvDcKUtnWPg48BvP3qoU1cBEQb94IGBpSDqlavbIHOGQhc2Z1jd/AeFSsbPo1l
vCQndJdyYegJsj11VtFcPOebk7kVEughouu2Y7RVuxend9RNB/lc1djhKh78pezTW5N1uOpTkse1
me3tZCsrEEYcK+6F2xlvRqnYG1lkwRPbiu4i3Xnh2aW21KzssF/KMN2HlkyXHDqMAKBsVL7idvC+
irwwzmv30ohB+6BmsLYZITwTY+Xmj7FstZ2ofW83uBV85IHrjhsr0fJ1ZtQB6jUlbkNQynNnVZTq
ykH9TvcQbTLCHuF4GduUCLIMWbqRjsg2btTzaKExZkWhRDCVVyv0B6RHLGLW7Ugj56FpQue1IyHY
cgga2o2GZCfrargoqHcGJHPQkIqURqKBhMq9TBVzVaCcMK5ASYpDpQpxCkcITqyR7mHT9Y9+VhbH
KJDNY4TI2TovO9NYkeAQ69Tth7XdqsbH9w+vdr+h9MRPSCGifvpR5kKSiMlpImljJAgVw0LMSNLL
iE7Uo0hHFKmsRo/XDUv7gE//qWwSbR01ttjAhSOP+IofRKNH25A+PPpYW3ACftrVj45viq2q6Utg
hXtbxLeCUQD7SGJNm3NLadJulVokVL9g9vnhu9nWGOnpDkbx8v6q3D9mFCGgDZo0Z3B554Q7/SgK
cD+NcdHGK84qINXOcQ6NXnwcbG3BZbp/LxhgAo7yZgJWmxtYJ+/z0Egs5Ca7UD5pdWOtU9krm/88
Ix5nNolUOhCcOdDH7nWTKoJiXMpBx/+SLSqGafgzNBE9cHyQB+8P98akwLJT2seUg8CZ8w2XWtoi
pkSdclQ66pxO61NS87t2YZ/uIYYkaZkXPGOIJIIOmfmbQ151rU18cFGD4LvVhgDoBx/q/lptopVq
Fw9i6KPd2CfVFgoP81kP4w/vz/TVz7h9ianpTTARPHhwTXNd3aRvxk4rR+PSjHG8NdKkO4yZcK+N
5T8Dpxi+0ZHHk2BVefJZK+xybZO17z06v9toMB4rPfwirKF7pIOhfSiHrt8pjeruDejed17h19dA
y4NVOJry6CcdiTtZPwyJuWqCij7tWi/WrkwfopjWnATAdr51wNGsKjqYN1UgwlOUafmS7zUZ2tmc
4WShDsE7TbQ8D5KrcCgrz2vNi0hbqPcdpz8nOS6WESf6JXDc8kuleFcyUlg8KgXAGjRHfnt/4e9C
DbwB+vdwtQii6U6dpTOtEHahKjWMi0tz0rG1LJS0aa98yFO33cBB96OxmmwHWvlil4Ox4Kq8YYmQ
EpvqbsTxAFdmz2Cu6ZHonMK4JKF11mWjJ6s8Q4XarIAkvz/PN64Skbdng9Gi/gWY8/bR0xwxIHuf
u5e8G8TPwMu+lzJUF07xWxeJbcSPnAiNOMSTRfzH9VLsQlUUdBMu0EvTYJN0CghHXr+JaJESUh2d
HUXm0FRlzt5K/T9lTN/O+xN94yUiKUQ/BZxVuJrWLHaLI8VwWyP1LmgNnHVzeNKHNH22yVqvhzJP
z17Ek5iivPr+sG+sL00MU74Hf3oiiLmd+djUwiTb6F3yNNZ2hRdo26BA5vT/MQr6Gth6DisY4dtR
Ui2VYdX63kWh8fSaCPVsaH3y/P4gb8REtIdxv6f2/KleMltCqw28uu1t91IkxpUqIYKoNPCcjLAo
zoVtli9Gbg6PpiM/R0GvPlthau382ql3iZl1x9gJmlNrNQsP3P1F1UmpTlo0SLk5zhyuW2oDNSNw
WajeDd8VWTcPUUn7oO/lMlpHagNZmN3RHh5hgk6Kb7oLb9H9ueJ19RjeoH2e9Z8d7cpVAy3WiCpM
dCNPXdblm7pB/dKIn8sa6u4s25C0XII23bvm9AjgWE31FkgS5i9TEgrVHUrNuThj/jWJJXAz+Czy
LnqhdPvDUKRcMEkzZjD6csjSEwtTeIXRjrrAbPNjGWtBXSnjBd+s3Q+VJfaFN0JbNfjVo2YHO8et
tAczEvmGXoV066IHs+nAMawp3C8Ja91jTyZgAp46LSoTS+s8KlKVoiNAxTy3RWZt1YhHCiH4KP0e
U1l5qLOhuDSZq/1WvQBZYMAlwxhvvL4HakQDufHZVKHY0f0x3ZamGl4LwyCVZPCu/+eLqdOszvfh
qGD45g2+kUgrtdTxKTVT2Ffbyx6Ttg0XrsBrAu/2wdRxJDHg06MF/nm2N4CO20ijWnYJ8hSN1zBE
wyUSTb9Lh+YhjNNsYzXjsM1aVd95RvuhHhFuKkzf+7tgId44ljyXyElzMCd30Li1Q74CL59eKNql
G7T4GERjfixMiwCIFFIEnb1SmN/9cIAcOGvjfVI7w1UY5bGlffBbHRTuo1dAZEPMVxHWDKglHwM9
TU9euxRV31sNXAs49knsAIW/55Gl4FsrkWZfRl0Z/wQ1/Em51FC9MVeD4RzCPvqUaPX4PYf6auFI
vCZPbneLsSd6YWg9KDjPkTVKOxpR5/X2BXmHFTmRc1MaxSr2YNRSTuP4q0p/l7L/lUfuCoDaMbPb
k0tCYpWN+Hm0syBi00ePTlOvpPsQ2ZAKoApUW/BLev+NLnO69JxdyBaA0MLBRd7kdj/DMAcbGITm
U+iafzMpiqc0CYqNZ8rw+P7RuY+JpuiBDvjJ3aHvcuaHqEFUK2nRQTavwTpYooOw6xIn39YALrZT
4L7gDtwXrxgLZiuwN3iZHp0Dt1Oz1IaCSJMYT1Xnu6T5U3OvJIKeXpHYv/TMs052mYWrbvL3rXhS
mvDDLSkR82Nihwqy5ZGzq2Qp1nlkLzkNd6Rj5HpoFCcXwQGZIEOTg/ivv4R1zwejsS+B/wQooKiQ
ix/CX6H5VUm1jYB3Scb2g8yyMxLo/Ro+nlWs/2ys8dkO6odaOdgulEcfFZqOlaJfeepTpT8K99mW
IG7DhEDc2FRet55YoHpQuH19aPK9VJylw/6G58dM8KIR4NVxGeaEqwT3Y2bzQ4It/BxWk2LBWKHo
FrXFc+C78aaGq+Nra2v1GmKqYl8XykKHzb1NIpJAFJWCwWusODtZkIDpXhDZ+sXuhHYuEuUZcflt
25mPmixB+4nu0/tH+TU2mF9wThXAZ8B+8AvMXIJAa+wq7AOiYSs9mVa1lRQqQgRi4rrexu2LC9rf
VICkq2I3Dtm6DYFG2vkxLfPPgWqvy/Gld4u1ap1C/5yb/ipSisvQb5s4XLuNfkgMJIvQds+al/e/
/I2HhLWibwozooOVnGtxlWruZGFs6BfC6v4phFz1JZB9hK5Pra15y3jgHRlsLVNR93VtWltf6GJT
jwDR3/8S8w0DTYKHa8AFJfadP2m9LjI05VITOrkR3IH5ECGcWKT6NRbd1otftOg5baONq4SHEnZM
LhFIgWGrWOWWnNHVC3d6qFxl8blXTiAnrepzpOwrC8o695dQnyxo9Yorwicf7aA8lF526Bz9s8iO
tqrwX4KLE9Xbzn/yJdRq8EmvghAgRBP/8nVrX+rjMz31H5IMmQ+roQ4yKs7nrPUeJ+YAQpelHv5X
ruDZiSIOfuV0IcNCs/GtPbDzKVgtpHqpIGcyFcz+6K/s+IvSd+sW10c41yH6SMKvptiIvIUhELY6
h/3f0fjSIzYVyAvZtL4Ld0VA1zyd1HmmHlvX+A5Fn71ysuQZPofLiERZ8ymHW0i1Du9v6BvBA+QS
dEYQYmLajLmkI7wxkMpV7XgxQ2s8h4oO5QHR4jUt/HQnRj3ZR3XePba5H+1VpfIBo8fpsKKfut0o
lpo8ODJpj2Eg3aVmhfsQDQADniSWFgowe07D38nYGAoQwZe+EacIScGVsDvroLmJuxrRJSG5mzbf
cUSHHU6c/NVko9hZY6SuPC//mPtp/1VW9YIRectwUvSltxYUA4WL1wvyzxPQ9bpvRgktbfhC2qk2
9W+4tyG8u7n3LNNQ7G0bXSCj0sGokWk+OaGxxLI4vTKzU0evKTxCdCKzNPbs9ZeKF1m5Ab4jMOKD
Bk0AGAE6th7GMFxyNO7b/qc0C0k9YhoYl+86Rizfyj3Z+MOldgd5gm7rPJplcrJoW3sMYgjyyo42
GaSnw28BYNoGFFDKgZXh+MArnG6yKOFVLAzRPnpS1354SuAc9Cqwn9VhdB4N4asL78p9WZ1UAkca
7BJmXofL7/ZStlos3LL0+kurpifaKvqLaCh8r0JVJx8orFWChV7ZvWM+1+oQPqiCwrnvIXTfyDg4
wY8oVrobDk91lfYXLY3cp85ytm3hNGfki8otEdQ+CGr4C7IyvraN8jOwIWZZMLVveV6wXUDaBD7A
BTByO420HU3wa63xFFXpBpIEfwOM5yJHo117hbkw2P1dw+siTqaOBeTJmTs2QPfc0CpL46lXWm1d
KoazKevqz/u25v7c0vVDuRibQtTDg3Y7ozgaogIoanLxzTC7lG79MgjPehzj4j/H/tNAlEjJayEH
oM7ydHS++9LU6+TiBEp28Er5u0q8U9SJaN1p8TnD919VcfqfaZyAq1sUA2leASrL6budn8z92IvU
NL8Ixws+G6P1TR/Cj2YRA2bx3PYQh7m/e39J7/dtGpI+AGOSernrpfPpynbSsckvSuDaZ2h/9HNj
LYGj7j21CQFI/Eq0Qb+oo9/OS+0MmcLyga8D9GMbNYNLzjWPto6d6qte1/uVksh44RrfOxoTOz8M
ObSrEQzOAY+OmwU+bOPFJRusbs8TrLzUhdk+VZH7w6vMM+VxjRy0MZxznxTHwn247w1gL/8dfvq8
f8y8cCJljOK6uIxqtZLps588KqCyOol2YYcslmp99FN5MIG75+3P3JUk0+AOqrIPJZqwhfWpxHeP
m/1YniUSWqTVv7tFdfUCgSKZ9hJ6S3yNb50E4i3Y3Cja00A1/f6fD/bULCvcQZQkjGGQbnxP37pe
viQU99ZRoOJC/MMTiHGd3SxVpUXaCtUCGpw4OCYiZHHi7PPgptlqiNrq6ozmkh/wxphQF9E9jjl3
mdxsK/RysOvRttLLVN63Qb+aVv1iKelGGMM2Kv11BbdzK39CLvEUFR9Sz33JpbLm8T4hBHA1jXCf
dUt34t46g0uY0EYcTYB888xuP+ZDW8Radony7ktjOzkZEdU+jmYKq0ZZLIbF94sAAg/rjDtEDQbD
dru9hV6Vgjm3l0Sa2Zc4SYJdVbrjZzHoQK50QW96YkbdU1zr/rExvZeMC/0pEyXekAPPYOWDMVt5
dmC8pE0mjlHhjD9Szwo/vm+Q3ghVJgA9hhf/CPIke2YscmEBBKsKKM5xXg61o/vnpjPsem3a8dfe
a65+Vu+qnBTfSlPs7FM5IoueE28svAH3G0Rgy8uJRwsmjVzk7YJFrhZ0SQ16Ua1gJzWUTtm1tVfu
88KiWqjlS0xt9/lmxsPpmEwlNep5YQrEYRnltGRdhERGXk/LYms1bvSYVuaucXvtnHfwCrSijzYL
Kz75M7fuIBgUCqJg8KYKijm7k7ozGoornfYSC9XaiqzW93KwlJNf0+GRNp3yHAY9LUNFA0UaLb3f
BL8FIyGsywg0ftOl3hJdzhunlfgQIBSgKA7BXGMlRm9RTSnaXNJGtw94sv7JsspsQ5Uu/wbY1tvK
pP/2/jrcG0DeCjAxU+LZgjJr9vo2Q9CVuegliXBCUleLHeR84Dx7f5R7Hwak0muTCHSn1B+n3/9j
ZqMS/Y8qqcoLZBk1+MG03rtaoT6PoScW6q1vTWjqH6I7F4AAe3w71KR/M7iuX1x6gd/gg2khJ1SN
C+/sa0ni9vhMrb/AKzCurNucwYp+UMKZTPWfopoqtD0k2REH6pyllr3WUa7ZFrn1sxjM/kHCI/fH
a2hpNxwi7KSKs21LFWGrJGm9tq3xR49ntOt0X6xooTfgEkhgqS7sdDso0vz1X3eCc0VYQsMw2E9y
hrfLU9mNMwCg8J+QuCdPE9O3l9tZve8q0rfvD/VG0IcTMjmUKnuPyZ9tRZ1C6QscprzQ6vGjIcp7
EZX0t10coFIuXG+VYLkPhqpQvHfHiYuxqRcO3jTEv9tkIKuH62WTtZvEkObTbfrWqTKraZ7Idyq7
zhXBVniD+1m6iTh0cS4O0qrriwyNcy4RT1xagvmVNmBymiwMJMfcLXOOwhKDcEThds5TC+fzQ+fq
5VGUwa73J6o3NdpmEbc6NMyR2Dz+JlrbPyqS9r+GeOOlUCRaREkZ7oZQ/9r7WXfIhdZu39+mu09k
aQj8SIdzjHmUpwv1z930goCekcEUV+n9D2fn2Rs3tub5r9Lo97zDHAZzB1iyilUKVkmWHN8Qsi0z
58P46fdH3bs7LpYhrheNRsNQW4c8POEJ/1D/iIbBoOZiN1eykZYnrQEwq8VF9/ntMS/6b4udGYVU
YlQCTv6zGjQs0GKHU57c55oePg6hA7/ISFCQyWh52iPca+RUo6OkqcIbW6m4RUI991Jzrgx4UNVW
QrC+9l4fB2POf0UnZFvnc9ABJQCSZ8f3g+R8S1TxOdeMA760WHjVZb+xJpd3O1uTy7v/MthqC5Iz
x5Trrfhe72L7JkCHG6QAWrlvT/HlK0FcXFq5BLcE5Rc3q9KH6jT28b0qnPzJzgJyEL6y12Ddc1TI
KDeW+vqIp8yhAFwkjGGnocyzOuJV6jlxUPBWQ2h8mw09vTJSUXnRJG1dk78daenfkKJyc61P+FKX
yN+6Mb7HPMQ23ALtLjcbe212SR4T7+1pvDjoX9+LqBdU73KlyKv3GlKYnBzxsAcU4VVa4mv20r2K
kRAcxnH25qB7X6WgjiiHw8Sx9kY4HeV89qs8fTfNE/wKiuLYIXkENi6yKn6ohbeoyVzHYboR9K+j
qeVZF8K5vgDyuM9Xz4qMnhUkphPfR9WkQgAp7PezUIt91aNDUcrxsCsnI9jr1biVd/7um9DoMpBy
JJulD3i+gYrUbhrc7uL7ODd0V+kS7SbOgsANZb34Q9LR8pJ0hpf3BInCFX8+lDSbk9HEyHBFsZXj
cTuanuQMw8Z3v9ykyy4FkscyI0pctzWDKJVE0ofJfQWvkWZBShgGk9B/e3X9bpNyNZCesbQQMFl+
/svZayJyCEVxiO8DJ7jLwqA/NdRkr2tpGO9idNSu/n+GW3i6KF1g7LK6kAHuYHpSsUeheSBEav4k
xKz3jmR/UzN13L892OW9wgxSH6dPZoCWXdc/kFtVq2SUOebG3nDHJHqp5Rqpri4ZDllu3ydq+/3t
ES8XoYbUAhP5WmEG9Xo+m/2sVlGnD7TBdRNccTY2PtKfndtr9bBxul5UOgjQcO3RKXZwwC4w6/Ox
0t6AUFWoBpANzVfbwB+pgu5Gu4WOPIhraRDSzo7sb0b5qIbqcYzfZfp9OX6I8vu2AXKoXytgmNWI
cmg2+7E0ql5jFR9wXQiwGxK+nWkoSZUbj32RZ/LY1PeoVS4yfQB8lmX/y4IbqtgcHdLLU4pRjpvk
2rBDp5zYNUrsXVob1acExUDXFMK8U+S+v+4VVF4SyxEbK/8334okB1ouqYdBKLD6VkYjGjNJEecW
sVBultb8cZRiOK2Atzdeenmn8/vWWhwEgClwOJGGrNpNyPgbtZNL46mIQhSbUA30R7kpPr29+C63
8vkoqxcqw6oymyCcKGPaYNM1FQMHWzmkGk2tINyyFH/tGK5farFhg5qOqSCo9PMPqUgI79hNO53C
QvGlNniqbDXw0hZSYYQnwHU9fJGS8LZTbovk3hyuk/p9nHyckpMR3Krj99A+Gcm9uhixTl5X915l
3gOTO2XVc5t+a5vrfPgRihA/YgR4fFX9Yc/f5g4pezwGMGe3bbcLvgzIi0/OtWOj5yIQ//4sqvtw
vI2db4OjYVLQwLg+Yu/nOcqjZjxI85Ms78lspeFBOOiFJQej/un0V4PyEdn8nnIk5huuFf2UHK80
crdPjuaiM/StCD8NUuoWyXf66WkEhaV9tuKXoviZw5C3A50w43pqrxX1U+Xc2R0IKHVXICUsgd+2
sit8TzainYvcZvHRBGiKijF1ecoH6/m3jXiMyKVAD3a0KDtH+YgMv/FdOGN4U6tRiDx8rlxBl9Bv
S2B9Lrq71pajy2uYvFoFpBULWpDIHYXvZZf9sp3zdLQhcwXDSTQYWsbydVIdJ0M8YyFBoSjKXmgC
Zrs5M74rODXKynMyUekr3A4gTo2Vnnbdx/Nt1n62xx+z8uIox8yGzyHddfqzBLICR9l3aXkzCj8p
rU96qT4Y+bM10j1GGcOjbLdxKlwGMECEyU1pdnDlXlB9DTmKrMHMtJMaw7/WoieJyqkXQ9Lx9cIo
btDsdzWnNjaGvWjnaq9tOvCgizkcIIdVSK7UBRJnxjidOp2PlFhtfRhnxC8zIxAHPQGRh/Zwr3yO
teAg8iJ7TDvNeBeXWXWflr3+TnRd4JlAY//4wqYsg10geqNgmi+AkWWaGlGGMe2pRZC2RLza1/vC
9qiZufUCRHv7CLs8KDF54Syh7Kc5CwL0fDXhPh/KU1wyGpK3/lR1BQTYcQsMcdEcZbK5pTn6FwlN
BI9XW8eCnqsqlQqtPZeuAk5kcQWUGa/Qxz7PWYN9RCvN8EJFCr0kBJ05K9+SoPhulpXmFk37iNbo
oUkzrx/h3Gvzpvv7ZeSyMOu41albkDits8E44cdiQt6gNcTwABM2vif2Nb3ett4HmBo90mbRfr49
95f3Ib+U6UfOFDQy0O7zuUd3ozYpj8snVYKdLZyo9fuwHPeauRU//2aPwdTnsjJoJi4Ul/OR5lyf
IykEumAhebYLY6CNUH87N4jm2zA6UFgLvg9G9+Ht97vAuC5fnbgDJBGAa0Bgy/35y1Gl5SX4oiib
TwMM8Y85QMUb2l8lovvKdCooap+ioh4wviHP1yXpeykk9KviqfKEFgKnINc79LBSr0xY8K6cNT2+
UUP69e3H/M2n507lNKAesmD7V7FCjMNHMrUm+h1aUELuapWHom7Nu0qfY2+IjWSv9d1WB/Q3355C
CChksNdkNGt9yQI5tyYYFL4IWfM8KjYVbzwhgAP0G6vsAifIV4BtDgoS+g0p1FrMcZImoFq2A25F
Tcyd0ss4Bjfzh6xKZ1CXjtBfphadLqfKHugCuCaWmV8qxxgPOtqKX5oxfdLCvvF7oWl/HKXBTTHJ
53g8KhZrGpmKs3zUjlVzor0Roo9kSG41VvnGEfe7Zbh0+17vl+U7r5ZhVleAZ4y6OcXtDLIoi6Yb
GxE/V6mB0AlN0v1krPeyKmKfYMTcxdaAHHjRnNCL0PYAswq/7OQvUM9mL1tcWKZ0HLcecrluzq91
VLDI3+kYMhPU5s73ii06cNhmV55E9zlG9OtaDZrmWs+M4XNRAJspQgciZDAZtzOGPPcCB5a9nFfR
504erof8j90ntUU2D3wDlQW6aGT4589jCRW5cKOpThHUtA+6MVR3s518zsfY+Sy1ifXYT2D3pdi+
lZooO9lmZD6raIZiQjh8SuKGvkktZ39+XS2iPsAS6ZmQo6+vq05ggNO1dFWzMKqe4raM/L5I5/3b
J8LlpUhrhCsYTDraD2A+z9+9A8ctaqD2J8vOo9tujlH+NSd7Y/Uvy279xfGABSxAFQD5kNW5k2Ug
HeS6rCHjkxNBqKz3tW3MO1OKANqPyR82SZYPyljUowkeNcCs5y81GHY1j5VannAYEzdyJxMEDtZG
L/HyWOOcodFL7LLYsay3mirkkOzbrBDqCEPI5e1DOSrZdwcVxrc/0YV0HK9D6WlpY3FtL9Jn56+j
KnNkZZLTnrjIEPLolOCoWsnBTNrpUKIL8aNq1GMsxPS1H6fYA+raeZ2qpahFa0+JVWxplF1gZpcH
WgpUS4iDGJS9CnEqAQ4jwVv21EbDsdMN104qxYEx0AUQmvNU9sp80B4jNvKudOS9LAZnN8td9wnz
xYX9qTslDftycJ0I7RoHBd5b/q7tprno98mAKC53o9F/tfOkc5GXnJ564chXbRk3npyJZnYjLQZC
l+Xat7cnewkPzlYqHR3CkwXSTd+Uj3s+11U3zih+TvJJboGw6NEcIwdYOtedglZIntvxVQ8i86lU
qvgqlqXZe3v4y29NixTJNJrl+kJ+Wxfm7CxqnDnJlFM25ulTYDvHKpnHY5BpPmhLEO99GxyQ/Ppa
VEnqGWVv7iwsHdQZy7xpHoqNRuDFIudxFtYSrXbsCC6cbELFFDSYcuVEAz+7ztQwup2gAD7XebCV
c16cRMtQ9Bwh3rG+kMA5n/mgi8RkOKVChaGc7yXDar1RpU/+9gRfhIeMYmPVSl0GtgRskvNRoBdk
ERL38mkhCHuZKvKjVioDmmPTeGJrNY+1YfT7GtH1jWvvgidAM4jCLlkstTWoAuvyNYDxurcd0Z5w
dcZaLk/bzxJOIbsxH9SbWijT0YqMT4UMGDEpQ/CT2P2dpi6yHycLX1kayj32IWHwmCE4fqx6LH/L
pv4Kbv2eTF12ldQR15Mz5icparnHKc381LOFc4JIonqskM7ytRFr1qGS/AqUxC4rDOkLrRPVn3pn
y3jkItbkdanEQljlXxomq0A8K2Onx/ia7mPdII1KDWtnzXh+JpOCWYDmdGhbWelh4/MuR/v5/mXU
pU0DnBBnoAtHTWu207zX2xMifweQHVb70aAKKFU9MOl9R2xd66mnloe8eUIbxx2GawEhQyo+hwn4
8PwhbNvdcsxWuk698yEYEI1Qq0UD7Sgl+Fk5z9Wg+qlIdll5JyIJFwQfCeeoowOi5Mcq0LCzRGwn
Fp6tp/tQZfojtA/fwTsPU8OTRLmL+sFPrMSHjXe0smEPF3eHIl4ORCFqkP0souOoF/s2yXZLoJil
g5fx1wJjn45HoYeAPoGsgDG295rR+IWNJzb/DQcZJ2jb17N4F0hXILgPmaV4afhN5mlG/dCp6qEN
pkNOnQQRqaaPEi5G6PFvf4TLFJgiBz0yi9xyqR2v29KF2cr0qxr5FHSzW0kzHrwYDaLf5txK2hSe
JmbrMBKL7VQza+C/IPGI82J9PZnWT0mry6vMKKxdQJvCw7M63EuwDnZtY2vvSN+2hIUvdC9AlCP9
RbmLNcPRvzbbcFI7UKRMpcxkiPJYVHF9i1KrQuFwkG70OVTuIjmL3QhYtzLY+l5uRLBvM025wf76
CzCHU2HRJl8EZWpvTpPBDzSnuNfyeevmvTwjwRnQ5qfUS+eBXuT56WXOutDaCbxURcVgN+Vj6E+q
VT+8/f1+N8pCXKBhQ+BJ+/p8FKeSjR5yYAfdz8ZOrEQM15RRaXt7lN9cdUQzoNaQR1rKYuugsOmK
KJC1trvHCsm6phv2RcUPwW1y9WWU4fRpeo73Y3+gNuelTYuIjZXMGHiHaXzD/CobMepl84DkFJQA
bWXSJ/jZq6imzBujCaW0um+cQvO0Mh1OdoFydxGHhh/X0TM+xf1+AOTnFSWhl4T8shen4vHtebmc
/QXKwXxQc4GCvp4WIw7HBO+X4n52rGdHx6S5CuVy4xq8GEQHDo8DBlJO9JkvGiWF04YYfiTSaUZ4
8xZOIhXAdiw3TuOLYGoZBWlDFj8kJRKA84WUxCxTTZmkk6SX815kfbXvzLI/OhVYCNuOEr+LB/NK
mmzrAEZQ2ojQX/UQzi4DfMsAhy4S5ZRnqH2ej6+pc6ElxmDcGUOMIDsWra4y4lhTl1G4I/PUYWlR
K3SdmCq+PaGgFuc/JqfX3DjNsJNErqxV08lDFOdT0veAiUKpx2KxsdT70Umso03r+SZt+8GdcH3f
v70QLi5Qsj94XYh74TuzaAGfP3055rkQwkhPaV4rO6pPBZyqhILRIA6NEl+ZcSdv7cmL6xPRGe7q
RU+WT8aXOx+z0ceGaaTNk+Ok5AksTe6HBPkQayz171asxVdjSX1amWfjHZ4YeF0GZnXVzrF9mJB4
9N6egYvok/okm4CHISqkh7yqZjjo7AdVPFfwLdADxqpJ+1QjKvxTmiR9Y/dfbgiaZ9DmYUNzl1xk
qNFo6EEqAVmopSL1rX6BLCGluDHKRfTJrIHUhYmyfFVaK+fT28FxmKgVJKfA6go/ifBCTZEw85E6
Dz/W+RB/Sssg8htaXxsjX55uiIJhHorzFlzHJYs8Hzodh0DvTFGdukEYuzGSu3e4MCR4ECZ+qY+p
H8LtdJssKq8sfA56BBu9pND7b29/0ssjYRE44sIFREMhfo0YC6xBp1/T5ifDACuCrIg4CMPylGQa
HqpkmpBCp8lT6gMyy0GrbszC5ZYiqUImHwDlq9DHKiYdVJwiZnnIT9BrIreANHXQO6PfsQPfJ31q
7wsl2fJVu6zJAYDg/LFlshpqLOuKNJKoM0JftnrHxaXvCVCrPZFele9EqodfQknOj5E8Q/IvkT11
KftEbjl2SLKHZvquqFLVK8Vc0YDU5K9G1bHp0yrVbrRMdv50vy3samQxYFjTdAVafr5Gkrno7Woc
5TtdUj/QKe+pOOno9wT9xvVz8R3AaJAEAXGhTAuve9mNv1TLpRzMRFUy0CydrDz/YmE9WZTITzRN
+jHIg61+8vL7zi6CZTw6D0sBalHgXy3+udGLhna/fAf9VLiRNcaeGWbZxltdHFfLKMhGk+tQfqb6
ev5WRZoFCMYN8p0k5Whh4w93pXJiu5TZ540K12XwxFg6dJZXPhsHyeporMZYyfO5le8iU33UFnAt
Bi+pp4OKetG7sT/0rfwuqNTH2GxdFax97aZN6BzCnI5pMdo/3t7Wr0rV6xnGRWBBw9JcIHQ8f3et
s5t4dGr5zg6raVeYUbBHDiS5VkqtczM5cA6JHKXHOZCTn5WJO6YLLzn66qizhnC7yJ09plrtoQkt
4WI/XvgBrYqDaWf1EbXJH6OZRUcglNJBTo2XIE2rXd2oE8eUpN0YQ5rfxXMZPddmMH1u0G8/ZqVq
3HSxbp7qQige5zkWrHpf33KROU9K0W067Cxn9/kM0MgEoEO8AYsND/nzGbCsMkk6tYJhqHTmzhyg
jw+98pAmqueUg7FjTHPXDg3afZodenUj1RsBw2W/nLICfk1EXaCDlnLr+SMEppWoYQEfRC2ka82Q
bjstbPd1Y403OXp9122UPQ9zn9wUMjqCmExWcA8SDb+NNI9vs4wJ1cJZOeBO2/80RabvgrbBpDmD
gp9U4bEhyDkkXNn7muhnPyijfNvaeXVdx5rwZAnlfW+eYFXOk2a+K4JYd+0yl24VTanxXCw46y10
m+Li/u3V95sjFnEQ6uSLpg/C7evzpB6lKunqFJbNpEm+jhp9YGotYhuxUnNcxqK7zSWn2TXpfMyG
+VHU2S7TsL+V+9a4yhP6sASBInik/+nsKGqcOnvQNk7Xy0OPh4QHQlpFjMFFcP517BAsVWO3Enhx
vb5upwjZxAz2UmKDU4mbZHTbXpM3brzLk49KLU0nSl4OF99afS+ppLFaOBmnOgznR3TDmndylGy1
+Ja1fbb2FwKSBi5z0QRBBG11r6LhXPMSiCjIrH910od9OQ7pXgxJDah004fg8vSjqIBIF2EU9X1g
Dctb/3J/2CYnrZFNyilJKzS+q9akJtKN7edy0KV9HTS4E2jx3dQq6lWiRYaXlmjHq9LY7tQkGx+B
vm2Fdhdfd3kkBL2ILTjYaKicP1LRSrFsTajpIEH3mX9zL8ur/HteAlUJdTn+MAVbYuwX3/Z1SFDt
CPiQ57xq6P4yC5hEj+ZUBsppio3QE0if7pKxHP60BIwSEj3LReiVJhFF8fMXk2Wkq1Maoie9UULf
njP7c4d8+zGXSu3x7X18ERwSmTEMnSgmELbYaock1ZAgPYyUntyk3V2c3nROgxmg40iZh8CQJnu0
2Pcqiu/XEIU3Br9EyWD09SogSTWIdssaFzGndmXHpshPAxJ4B+QXg2NqWA0FCUWBvInFlbwfavlJ
tqNq37eZglNB2e9ziuJuNRiBF4bmtHGkX4bty0Mt8Auoy8QWa966nfYSF3uUn2JNb68oasu7siyd
Q4o5ipvSNLrqZfV9ZIxeKicoN8XpMVCzrbLqJR6Mx6A6skjckEaQSJwvAg1YJSY/Q3YqauXdJMfh
O/Q2tT1RNmAmpS53GbyOndPJ6W4sMPjO0mIjuLrcX0QVpA4kD1QTLqwy8jlMuVp6eOKd/qjrUngl
EpSzpKgSO/S89plWb23p37w1WC1A0vB0ZIxy9CXg+2WDZUh2ijYvs9NUFQ1SrJXztYkkHOlESuly
sGXgHVQOEipmLNK23rejQ5Hg7U1xucvPH2IVV+TUiNKm6bKTlMaSX5tSss/KJPzwx6NA8KfHQ4MW
Iv4aIpYLR5HSPIlO6hCBs5MVaTcUEJneHuWVkXp+UVCGoWUIdRshQGqu5zMaT7Jei6mITqEz7LjM
3Tz9mGnxDr6SPxqfHfU+Ma6F9lEfCs9KdBcgretk3W6SsBvu7qxgQpM5xqtQdkX8rM7pnVZcG/pL
F+qYxj+q0YdgxFkiBX7ZDZ7dAjWpsyORuW8XwwfIULd22H+smq8lPmn7pvqG4vGffy9IgNyBYBu4
CNbMZIg/XdjFanjCV+XGziUVv4h2M+JZMpb1RNoACZETXIgC63gbndmRCKWOTini9cfKmCwvgKV3
nJzSjyQr3GPT0XiDnTieBZ7uWGSq4oK7aDe+6G9W58L8AuMMfpZkbnU7tAh7OB0aI6ehTzSaGxgO
ykuF9O11c7n54ZexbpYTAMna9SlYdU4fxlYRnoq5eRrk2XmsW0s8SRxUOKHEFikOC/j9Hw9KOA1K
hbge8NY6oI9aQFSRjbzQLLfZ1YxZxA3gcjxYgtHPUqnfEYluuZ1evigpMRNJqoqlNgT38/3R6mNE
V1gUKKuAETTMxPgo27PY2cWo7FhG4U1c59nh7Rd9teI4X0yMCjgJoAmIOZQqzkd1cvpo9dQUJ+Gc
5jLwlAiPQyNDdSx3S1gG8+B38LSLpxEcrjw8ZRLZnL4PhqsqOFbUqsz0TnRXiLe4lv3Qx1/12vHM
aTqm01HRcKiBAgY/Ky99bYjcRHtU8ndadGc5lIFDo30wZ8WfZHDrbYbOY+vGXKtOnPuByA8tcpm9
InYCyUyrTZ9zwM/7KQM3azdS7EUCx6ChGY5vT8mSKf06I5QkqNDhOGstyBtAkuczYs3sbXmIh/cF
l8OxlvFGqzGEPEqlrNGbQ0dBWL21zzt964h8jdrOhkbvFjASQfvi6UAp4Xxo28mjmUspe49YpuoK
RGgfu8y4b1QRXuHhQgstZK4DOw/2WsL2NrtBPyYCNHluTkhm9bmKM68ZX5eABrwizR2/5si0MHB9
nHOst8bg49uTddHvQ16CzN9epAdZRRd2j+MYppHemNIDqfcRIZXqugQudaqirN1LldEcpa7dZYZc
7aSBAGYaZXsf6JJyn9ixcxwFLscdJXVzUrEc7xXtcbL7ZifKML3P1UTdWO4Xgd6C2IGUj0EJJyjN
j9UmKyWn7qy+0R4CJSRRUPXWh0xQfgZl/lUKOpTIEDLwZDUo34Wzbbi16XQeCsSBX2NV5XFfUYYY
R32jXbE+SoHt0dlb0tiFxUGl+PzDp+UslU45qg9BGUb7xJTaXRdGwUbl6LejQJPB4gwePl3a81HG
KouKYV7sNKa48rHgY9vVtbh6e0m8KrH8uoopsgG8At6tvWYO63uhz5VMEZlkPCSKU/tmo09ehdor
nGj5GXWA6yHV0n1qZ0/motMxtd2+6JNqP40I/zq2aPZlPqZHp3CUawRXPjU4+bhd9BhFcYRcsv0h
MeRx12tFeU2d3eR0IANCXaX21FCJ9oVu1bdOkBvHKKoKT5ml1Kc4a3i6nFuodwqU3/Cq9opa15/s
1Mw8PbXqfSLb2cbNdbGdmQhmgY4Chytx6Oti/CWGjKthdgRWgQ/EOnvDR/Pdm7z+Kt5T5r8ZvfJd
tIPmd6q+ipf4Mdi4wpYls/oKC8Ie4M5SjiRLPP/YiC0LNWqE+gDg8wiTU2+snakfFNKFt7/3BWHs
9TVBXSBKBRkdpPf5SDgv2jm7X32obu2DeUjvRr+6UnzY1m64V1zZzz3tUH3s99aDcbCu5V1xCHeR
K/lvP8f6/lw/hnr+GKPZdXEv1+oDSsGugRxcZnzVqkOjmqBKN9b4eicRK4NrWWIvIhPkRFavrGtL
NSVCcW1UCuOdZYcf28JxNrLv3w8CdpqyHhfz2ueCgKpugiwHPB3jqFjGSbwHxRpvvMpywZ+tE7RJ
gEDQ61/k67h+zqfNGCLkXOeqOJldiIMzfGskoctwYecHOwQzvtIayO9rMHOelM5bi+fyHRcs4b+q
OZS116w9isMTXFRGr+XUhEE5lUuGtWVeuRoFsNeCMsCDd2mvU8LTzt8xz6j85IhPnKjg5p07A/M9
ZiTUD2+vwFdpjF/m8l/jUANHB4RaGHv+fByrQR4DbF+OQCP4o0zY3WEoqwe1MH7Is6GgTGnGkxtN
CEbBpwt202D274wqrvYYKplH9ArbXa1Egyv3SswRKXbICALoHLTI1+XsQPLn50m8k/FY9pzQelKs
9F0ip87OqYU/aZTaS0cyNrKaVUD0r7eiN0QfawFnr2UUJtjjgSh4q9oJHyadkm/DtzIghLqo+cSu
HqJVWSmy/Wcb+nVcnS4RpzhRFS3a89mcAENaaJlTlGkV40OWZ/F11ZHWCT0P3ay2PrXVli30bxYK
qBRQyhTVeN01aiHVuUyGOs5OwtKjYzDNNlc+FKnXdfIf38f/DF/K+3+tiPa//4s/fy+riQZuJFZ/
/O9T9VI8iublRbx7rv5r+av/93/97/M/8jf//Zt3z+L57A/7Ag7p9NC9NNP7lxZzodcxeYbl//x/
/eFfL6+/5WmqXv759/eyK8Ty29AdK/7+94+ufvzz78Xc4z9+/fX//tndc85f85uX4nv012PZieil
Kf56Ln789b8w12i+i/j7X7f8sV3/spfnVvzzb8v6B50jwl1iSGYeYNPffw0vy0805x9LHXA5YRdC
92ujsCgbEf3zb3K7f1CvYCvz9zh8X41l2mVsfqY7/wA3AKeMbj7tuL//zzOffZb/+Ux/FV1+X8aF
aHkYFtj/bOdFX4yLc2GnQebijFqjghJcY0Q5h5GnGVH7lGpWiruLYj73sh74mdYD78N8ff/LxP37
IX4d9BUhdzYqzRtKXVzbDM9JsooFKVQHGWlG4mVpt6u7O8W4zaxvjXM7J+/1pPD65qFV39ci2eeL
7a6T7ZTkqS4e9Tjd9cOXzhjc0pKv8uYbXR4fu2I37Y+IgGXWeJXTeDC7BwgMfh8gfqiHXpzcqs5T
rdAAb1OXYNh1YBro7ehNXXHoI8WtZMKj6qDi4yuoib79uisEHpO8et3V/aM1nHwoYSSe9Wi/i+9q
t3Nzd95Jfuk1p2qvPWQfm8xVPNV1Nm6+83PtcuRVtjWMsyQHYHloGHWdC2T2FDSfQyXZ10X8sxuN
K739ufGyy7d769sul/EvEWFpmCB7NIYEOLP3670vdjRn3cw3DsGxvMLl0X98e8iLNXw+vWtK4lSW
A60ERoyIO7PT7On+sJFW/HYIAveFc0ERYZ1TKV0/K0KlGDpa32ebIMW4D2s03MqPefLl7bdZwbr+
/c1+GWu1WjKjsep+KbyGdwXNnx/2of7QHMeb8gCB6C58Ca/Vk86VdFM8RIdQuNrTmLjDp7efYlWZ
f32KxXwMJhPVkSU+O/+MetZ2TZJkqdei7KvsEF2KkJ50+2lfmW4UurHiqluYyd8snbMxV6s1VxpT
xoaNMcmeemxrC4HPQDjSbSrT2d94w8vRCDipexkUaonO1u7UlKCkXEIX17NKSfdCNRsfQgeucjpF
5q4oNe1I4ib8Yq7ydzpWmzsgGPYzflDdsa21GuPutjuRiqsnuFPpy5Sa+p+tOo5HQhHafxyWaPqi
VHv+DRRDUjj/YqQ0jWhpaMv0IJw4uNGkCUBfIIGDpk+ycWScxwfIOi5uhwCF4RXxDzCW80FlJXcy
Rc1NpOCN1s3tsPGJe+Lj27O/nAK/nBJg13knyqpUKpabcV0NyCYKqrHdTqCjsecAsW52lMDNwnhq
ZEhhYzlZN3SmwP2njWnFVF3Nrexx1Wbl3lsCZXrVxF6gjjFwOX9TpQIKqSbQ5lVaY3tDyRzKgYTN
OhJPrqnnJdbt1dfIbAovrp3mJokoKaSxMnmOJILrvqMu+PasrI4Zygk04IFog2EDyUad9PyJ5tIR
RYj5iC80cwa7Ntc3SVXXV3pjv2iQGY8gWZONy3il5rXUMBhPXlIjaE/8s5qGUisTIRURg05j/ljl
nezHnZN+sNQkPUaa1uT4NEzzTscjgZgYK7fRjYEfTJ4Nf1F3EZ/eYjmvWlPLM4FRZi2SFgJmU9ZS
o70qR+VQz7UfIZWEgM+U3gRWr1GlbAJfDuwf6UAhpUSXSQmxcBFObW4kOpfTAqiNXr8NmRVjYyqV
59/CmIMaDliNPCBLJPJo2SisiqyXSxBWZfS+MBN18GcDYuGxqmbAFVFTP1toIZuYdg8zp+RYB9/e
XiArCjAT88rIgwSCWBf/rFNZPRxaqa/VHh9vDelCCrnz+wQY97EAdfjeMkRcu7LeV5TTw2n8jiGA
Ye8yS5sQDm6a5N7O81xxB9WSsM+r5/lDrGphvNt4ytXRulyTqDjai5YV9QMkCc7nDsU6YQ1WYR45
A4JbPAnzz8qQBi5iiug99ZPipxpOgbYVUsaAandFOxp/FVs4HuKunafjjeXNwkAlqkpBCopuoxi5
3vuvT0j9DgoHQTTo6VW6nE5aa3V0DY5FMFkZ/gWIoog4wqG+qVQ3EFW1D5qsArQYaOj2wVfHnzff
J6GteJEOlw80xLBxI61O3tdn4gtDOqRGjn7VasVVtSYEYHjzKJJZeKiAmF41KltQ4OUM+eXkXUZZ
sKkc7qSAlEhXdR1ZGF2cCxTp4SW+yA3dl0FrqPVTYNiKe5dJPB8Kzi11R3iUCK1cyGwqbV2PtZEG
x6lJvk9OnCC/oUQ0lrC6j7NCf6KMWz93Wlu6pkgb3MGbxkNT1vaGEX8RC3HTjV29qlcu4lk0PeA+
LigM7HrWZOhB4xCDhxYcAyGSH2Om6Q9OZ1zJYSZ5CR4cBw758iaLhOMXUqN+UChkuAPfwx+HGE36
QOpuWrNf2Bq9LfbNIIrrdG7zgwAf977mOt4r/dxcvb2hLr8ZTw0SiGSPvEleNwgzri8bXdLg2PXW
fBvHiMCMXS0fs0CeNvbusshW34wSCOqOi+sjoIBlkf4Svhtp6JhjbDjHstK7J7tJwsSvQRt+nqpA
JMhcWflBTZT0WE5U1PymSIwt4eeVm8HrRyIppra+tJkXpdbzZ5jMLk3bUg2ORTvUn8ohSB/0kUZa
FY1ausuAmWMnb+Dv5QmoPD8KthKUNL3S97MtY5GONbz4YGGaHO71MikjV7OQg+kHCWWYpI5GhA21
DEf5XvTabdc3yXNuJEZ5tHKaOIfSMiDoKmgYbeQpF7cai49bdsHIUWNcuEfn7yX+N3dnttw2kub7
V+kXgAP7cnkAkCIlS5ZFyrZ8g5C8YN93PP38UlU9LUIaMVzn5py5qI7odpeTmcjlW/4LGhkIJTOv
AG7gNu9FV3sMuh3gvn5j5FmxzSsr2bT05zawgDM/VK3+4o+3Egk3UD3IQOAU1gfAhPC/2C0HwJms
YRtX2XIRDJl5lavpOUSgCE9XW0nIAFHcEhctmjSn003kwUSfXJZ2URYYfq8NkU+poUXJcrL9CT0R
VBfx8ehKq/Len+Qbm1hAAkUBBeAkQOLTkTPQEHOS1tKulZvGV3vQ6CWGPR4GIspGSavCl/JC3uQ1
hAEcq8szF98bx1WEb0hVUCPFrGS1f+OmylJ7ScJ9VYbGx6Cf5duCzedKcEHOzHQdMbKlToYSP+XF
cZ26KJdtJHn3HFqbTi5uKL1sZtuZsM4fjKD3SyVLz9wRb84ProWg6D2bWZ0OmmsD70ePGH4X2sOm
a6WvFtcA7mBjdWakN6cHwlNIRTjkQerpSEOkqp1dKkyPtMSHxOLyusUP1jIEl1oe6AdDXr6/v3de
xy5cfqCOcDYCeqit9VxSfbbHoGZyCKrA4LKk71bmwEJNUhIhItEzM3zjUhDjcRJxF4BBvSaGw5cw
0yiJw/04tpdxq36ZlrR/BGqmbiZtIIpUm/iYBkWxnY2y2sa8YGd+wutFRutRGO8KYLXBTzhd5GnJ
EgcOVrjXIrvYSzaYoUwdppvGEmFkXAW+PC35uQhMnMHT24HDgWKViPE5rOvK4zi1VWbi8bIPJ3P8
3ikhgAhzKFA9UFVgUUuDHZRbL2O+V2TJiNy6VKRpj06ecpnNjlSfWYQVf108OlRgMUgj6AeEB9bn
dBW4r6diSR1nV9soN456C2+lIRY1oxohf64Try0aw1fp+u6dNpkv04hEzQwlDF4tuQaZkAWf8xR1
iC5SSljobX9ZJ+P8LbcStPQKud3kk2ZexUFS3Wa63e+tIk33WTFPcK2Tbo+ae36rTIF23c1adilr
MaCScagvp5m+bWx31pmo4vV3526ECiTyK/oBhn4641GPywYsBhCFPvIb9WZpAGQY34r6Jh7OUXvf
GEtELgS3JAX0E1dvwQTLtckbmpRxbEXXde98o+8hXyGUjkpGlR3b5SzB8I2TBWALBDW+USaB07p8
EiN/sIQgTDD/RERE0cKd2UUTduI4ZSPX0e4Q3EXG3HFS3+4062NQzsGZJX59mfATeAXI2uADEVGd
LnEZ44yyqKA5UxtLacV0HqW+Dn1zXtSNOabn9I5fX8xoWbC4NMVBTAPuOR2uKGCEVphk7u1i7i8V
Ka6vl0kdPmbz3J1RK379xIrWgUkPkEDaQXfudKi5m/t5jIpoP9nmZVgGDcJ7ueXrOuT9ltUkmA+C
Aygj06/1MTmTKq3Lk5xWUaPi2gKRQwJnrBYWJpQmDYsU88TCyijm2N7XoRZtSkdrPPb7smvnXHpq
h0zZ2DhvfCpK6SvqvJZz5q1/vbEBs3B/k7fBrkbr73Qd7Cwx8gkjhH2BFIKZ1ZOv5NLy0Gejdt1E
mjx4yXzODE0czNOrU4yJwIcJLpHahPg2Lx79oElG3GEsOLJaFm8CJYmuiV/HM3v39WZC+1ehoQxQ
i1bhGn/fI2okFTWSMGOBtkSm1upOaxD6h2LYnSl0vrGZxAoK6gje5NwQpxNyGm3URytL9lnZolob
GMdMNtMrFGHknUJO5elDmX1MKhkh7AJf7z998ZkogaJKXkjx87kg/2I5K6Xs08Cukj0c8WwzBXW5
rQOjdqdS2y+D1Z45Oc9h/vrzEZoKGpXOmOt7Se+6EdkH9KETWYv80bSmDftG8ptiKEI36OP2Ug6b
ZMtLlXqK3UW7qOsGt+4bPBHlHuXfPo6f5L6ZYTaV1m7ujMAntMWcIXaqfSlhgblEtX3RyUl4Aa1/
ug4WCQMrCrGPxtB91sy2u39/Dd+4bIVStAIfnRsBBNrqHISpErV90SZ7+p8JZhAYYNjYGLlRUIRI
EDdXgMvky3Hqet+e+MMJsPSZJ/y5QLJeWMwieNPIHhFfW91JxEz5jEtEuu96tEYmytx+pU6a7Zat
8gVMavJJqiEoU5gr9R3wme4jsAX7m6IM84U82NFOLeuHfsyXTRuh49Sa5giR0jB2tqQBTNSxG7aI
sy8LhQTUauL+czDYSLVLkl64+jD+SqaHqY0b8s0QPRXdOYeefOuyQVWOoJ8rh/h7db/XeRUnEYbQ
iO7qybarlGKz1HOEGUmo+ehY41BSFfPj+5/2rXsA0AxXG8xHWPPiz18cD11JpAETjmRfm73hyuVU
UvgdNd9pjPJMNvP6udSpxwuaLnVfCxDj6VBx2PZK0jVsIqlUEC2Sw6s+BDmratN0gfLIOfjaGxcp
ghicQF5exPHWhHWnbITGDptWaRXT1/QGGRTkBc/sy9d5MLNCbIRLW+DU1veLtGBDJIVLsg/Awuyo
l0QecN/RazMy8E4unBtJHUufAxScCbLfnJ+gxrFlTLr8q/XswmSoEtVO9q1iQ4hXpPILnp3NGX7i
W1+N7tSz+qy40Fax3Yz8KeUOiftscpRNGcrB9TwP0k6ypPSzGbTnhJPfHg/gACmLyPJXVw3aJnkz
9qznECcbMDrlVgXY5dEqg5DZnWtKvvX1iDRogRJXCWu+0z2ZAgQNHYvRrFbJr9ANSH0IvMtuShev
UeZrs56+hVJYbt4/dW9Okr4Yp5xO1SupCocOUBMURrKPKhVWamLV21DJejcMZunaimXj8z8YD2aY
GA4Lq3VDrqsL3cmHCOOPSgGmvmTFxyDh040Oxc2hHM+R8d948gGrCSyweHkJkk+XVSuy0o5rEiAq
n5I3Yjqxm1pixw7SyV6S9XLj4FhG1dWJdqMsRWcijjcuNYJywc8XRWBlHZijL2TyBpvpvmJuvLnG
dDMlzfcJDYnd+wv79khsHaE9QmS+Oh0RvWwnraNsrwxJsAljp9k1Md1zCqnpmeP+1iP8bA0gFD4Q
612/D+AMJ6WlEr2P5C56SrWl3s9zbYGQT7AuMvuKZLuwr8dyCTwiovabMbTndF1eNc4EsIcIADE4
Ub6Fs3z6ZStYGEWgzMmetD3wZBMtIYJ14Py5s2wja4DMZuXKjr2PQnQRlV5oahHbIKh2CP0PF+8v
PwonjHcaFcC7pNOLLgLMOiCPp79Hl+AHq/Ui7eKkVhS3s6Lyd97pyiertKLlAqDTrO+6KtV/Zk0W
1BemHowfp3o0Htqumqg8m8rBLKbmupsaKCBKP6lfE8kaLo1x0L7ABk5ld8a57HaxJ9y55TSaI1cd
wmFvpw9DV9xRz+hxmlh6e0vLM/8VxMU4beDSGw84s7c210jikz2i+V4td2qvZDdFB7cArL50l+t6
dStpUZK4xZh3s5sa8pwh80Z06tcBtSM3DnF4RUq76PwBr8jkox6F+DCMEoyabUPDNnMDrAUu+qSu
CH4MiHBumrQ2gxpd9qNEQfdLnse8uPnUj092NWfXNkKCX3XsWiJUeSLa0OaoBW7fWzTrkTfLVR8j
YPOj3CjV9VSr6MVpyZR/U1tuw6ahpHNB+5HfhrxZn7qzHrUbLDOcx3ou2y/5gv6hrxg51iJx20mH
jp+NgnEa5oq/xLnykMtFeOinMsYFoDNTy63lLj5IFMDgJlizPblLDyIzUxLj42hXv7C5/RJakmVs
pqxQvtVdXEw7daYLe0PJfXyqgb5vUhnavEu5OFH8MLG0nVhv6xNCuO3sjggmXtkUdwov74nBvHjS
rXajIWL9FZpq+mRF6tBtTF6aB720xhDXBHN+cJTOtC5pgeuI2Q2xdVMtc/RopHHg7BvJUvZS02gF
Xh1Df4NnbYsaUz4WuYu1ZRNcFEaJBbzgAiBmXAL5kcw+uHYmszkE6agYbgMQQtlMUrDYbtwXFk+d
hMKgL8XOcsj1mCZqH5Q2XAMIO2gaR0Nxn2sVUlcgQLudHpXl3QiUdb/AofVRS5SvcQ+u7nCPpeod
9DUtCGsYhs9VsdR0d1on7dxs6ZWjHHCb7JqsTz4uciPfImic624aTLD5TUlKJ3c2Rzm6qGI53PVm
rc1ekM+97SuteV3O5vSjqJF98jrdCgY3HOuu9ktVzhBHNHL5Z7QEKRimZZFt6vNh9U0dq+EpbNPE
AYwHp89tG7l60Iy4/OXoWXfQjKV/XORYmdjMk+braLzzS8Ix+ZR04Wx47WwYT0Y3NrIXTLVcYeRn
SyPbMAIMOBnNAQUFO3btgOvLK3rDfGzbaM5hXkflY5qkY7KRgKh/U1PEZ2Pqjpqr2XGVe2Es/p4s
yfBMAC6k7+WxVJ4MKqbpRTBO9i2dp1B1i7TUEy8lt/EhYOhfYnTYLot6TlA3jBUcBqSwGPBzV/Xi
uzNSYEU8IsbaoornMN5oKpYxEc9HCZ6injU2SKoZG51X+Zs151HkRk7FSdJjmlZeL0dNuO2Lfp43
WRT3+HXMS0ZTLDEzTNmK9hYK7Vy42mSFPtdA86Nsp/yrpCX6Pi8dNXHlCJSnsEVo9844aV+WtBh+
ooUF7DiOwyH0lDgNWq9NFTvGJUuSgJhFWf/QjLKTeqjTtt/DBAlGVx0Xu94iZYDufNJ3X8Y5M2cP
ylmtu6GWYWvC745yPwJ+qlNN1ud67/RJB5sgym+ysQ5y166bCZhn3hl3ibxoZN4VpBK3LprpNkIr
CXnoauSD9mzdbS8U9KJmAW8ekPygYxXOt00CcxlkQdIVCCkOBls9ruJbLvBw8BZDQ6NRX+bwcaTm
tnhsvYHGyNClH4cknZ6GoIierFkZVVDpoE5cFBYcZJPSxbmbW+xQ/LakpXQlZOCOWY++jjuPIWXy
0WxlZcPJm2DpzX3qJbqVfc7luvthVMlVt8RfAcXr/bZCPgLiXwCRd59aTSX7lYQ2ag4OdfQDcG+j
mw1T1fjshTK6rSIdSolSW8WuVJchvGylyLJ8WljS537RzGQTJ0tz18Z9dOfYA5YtLOYRY86PueF8
JXVMEt/seWyQ3+fmSIei/4iwxYJ3MBv4oeqHKkZQlb0lZyEqv2aIqoWXF3mwbOy0V+NNn8bxMcm0
8CFV6ugLfz2+R5Sk+E5LOgeXS4ikqhtLHBaXuk75u9QDtXeVTsrvcxCS932b1S2TyibTVWYUTHxH
kkR5oyAWcaPWmPELXDTjzp5Ry8zQs/6Y1anO3p4k3GOKvpOajT06TYhZRhCwmaIUlUrkbrC6dEr8
2zDlTDfQOqsOKgzx1ZK3g+VOddRFHh0/NHhSZ0S8QLYnZ9+1pfIwDCFemeE42K6pVLnilaE0XrGZ
IXFaWmUN2M6MVeWbZYdxRqaVHbxPB8jwXJjlQ17X7aeKABG2nOZMeB5GVJ09FWK57I4VBoQbtR6U
b1Jk2NdIdDt/+z/9r8bUO8T1/zOm/qJ/zF+C5sX/+y/QPCp1HyjugpvnP4WWPvnDX6B58SekfaRE
1J6f22V/Q+YV7QM5NuVvxP1glhpC1/tvxDx/RLSPkSdISqGzoKt/gplfw9eF06QoL4kfB+ONv/k0
ogyfVRnHENaGUXVHO+/7XdBoyZMyNI3NrTcUlJqtyNmBxMn24zLWG6uctHDDuTQ6du7c7GL1Op4j
PELqLg3vckRA7jT8Wz4luaN+5bzER8Vog+/Ik2qbshrdiufrRinledhOYeEZc6rfh9LUX3XSIN1J
aq358RRM9woojcW1AUp8jAAS/wjkaUv80n2OpzStXSSnIfaq1FMjbzQW+zInDm23+HVw8Y9j/RG0
rPpPyCDX8Y+mbMvf3Snz45RB8v8dZQTpu/f29+7XY/PzX/s2E2QR8c/1D78sHrN//2/ty83//Hf9
TRnRPtCKJO1HKBwkJOI3/979lvoBCBC9d3azBoFeKCP8mzJiqB/I+0imLVIswKNCpOfflBFD+0BH
G/Yb+5W0jGPwJyfgVU1ElMUcgUgSRp7QV04PgAkMMcDuR9pLRi947JW5aazhu5QWzWYMsvKiN+Z7
aF33Lxbv9q+c7YQ3Igq4J6mckC+GKiPEmHB1FYSdl6VIp6NbXjpBcjmkbXNbya2DmecYlF+5SfLH
rIikO6Try81gAe/CEn6aB4+WLzkLtrybqCgHhPkr5Sohwg89oUB3FUdFpmybTC6/4RkYRj7OYdUv
re91iLvVlFzPUC5/R8S6x5mi+m8p6S/0bJl6L1B68Z6m/bVoY/8omvy+0ZWq93j/JBtDL1X6NktF
fJs58UVR9CjtmxrUvEEdUekz5BpJrEgK5E8WVrp/rdQfPRX/S0+cwOn/zy8KCuJkjPlj+/epOzlg
4l/9+3mRjQ+gIEWnghODy8N/HzBO4QekiLjggYaKB+PFAVPkD3QdNdQkKG4gTSLQuf8+YPyZ+LsE
fFtUJsXf+Ae0rHWPyAQ+hM8TVjq8fbikrpHgjoYgEKoDyq6uWu0SyaNmdGsptyK/qgwf8fl6IXrP
YzApiVZvdQf+UCOjHzFo48ecZ6h0lVZ+Qoa92kdmeEuhAdj6oN45mU6eOXRJc1NHsKKGMFh+DPWk
eBT+8OKlvVbs9aC9Lofxb3j7H+3K/9O3XfOYxY/Fv9y++fXY/6v8/a9D90jFGx5du34dxN/936zB
/zdogqgKvLcDb36N//Ies18/yyKm0/IX81DQC5//vb+3H9c4tzAwEwgexBFCsfPv6MawP4gdxq1P
D19gBf9zvyv2B7ApCFDimwGoge77f7afqn4QrgDIyNA/pY0JmeEPth/7+OU9iyAUHX2CKNQ+xfX+
DNB80fIpbasL6XYFd3n1NJJKyF+j8gzzm2Ds9RDMk19M+fWVnqSE5NMc6VNwp8Uy1LtvnRNvdOdR
CY/doLsvPsAb78YaLfA8H1owAvQoDtMaYxXEzihQ/tLdSEPSm2+cejPVFzZF2NjL9V1xoVpnhnxr
egL2IfTyQKCs0U1y0imVjtn1Xf+7/F7e6wcoU2cHWfUInqclUHFUNxG1gsJy+hySYo62VhjBXZXY
7mCFiMc3nm4k2yWM/3w+pIugGWk6irh8NVQAgC2ESBLc0a/yJP2+yr6ZVeWqTuuaFLPf/16rtpWY
FxQ7iBe0Bbhq137UFlWvqqSGd4iAF5oNRvbnGo3rDU4bk92N6ptornCWVgHM2KVRMUVzeKgC+SPa
xXJo+FI/bt6fxypMAst/OorYJC+OkV6r9jCHS3gIhk0guab2Nfhkbge7ca1zLl/rJRNDgaODNcPJ
RadyNSGlDTEYcsLo0FZD46XptjbU1Ht/Os+r8iL8ep4PLxJ0dSDE+Cuqp/OZRk0rEsrBh+annaJz
480VAPD99FTu1SdsRanlR5OrfkUFCXDv+Gd+27QQxRxhEtDd0ER6tyrkq0htFp1aRochu5/1+hCN
5a5U0h9jXZ35cOtGyquhxP558eV4quDlj3V0cAagFK51RznmU71VP07X+ZlO1Jtf7sWsVl9OVKus
HP+Fg2IO+yZavLD7Q/CdmA3BDvkAwp8wOZ87Ni9mI5to9jpZw2xkjAlm48qIUeBBH7ZTlF1UnLv7
Xh8u8X1AunPRCvVr0fp7MVzbGlo1a2p4mCIVA2Iu186nhvb+ZnxrENG6g74DyBy+zOkgCJ3Tbmu4
I8oo/S2pu8VI7klgz2z51x+HJEfYgbFwQFvWflWJXSAHE6nRoe6M5KgrOLZEViBFf3jhgcFEUkMo
qLNaAtlxOhl5mhsNC57oYOeUFpfa9hQKBmfm8taKCR0CQgssAIhVTwdpnQyTBzPkVh2bTZ/dRFl8
i0XOxfvf5Y0VI20CNUp2CkplrYCf14u5GBhSHJTMU4ZU8RpdOqeXt46O2dD0FV8MsppKBxAGxU4G
8a8/HbWdqrvO1+ETTQEv3D3d3S7e7CMk6leX+lUzuZi4X83u538wT0EkgkEMk2pNMYCVWkaR1MYH
jea/wGHdhEW3+b8bY3XfRm0WO4Fc88X0bGfPE3SjMx3jN7/Wi1lop3tiTlCejLoqPoyd3Wwio/c7
WIJnjurbg0Alx5oZjM26WjC2tNgpksWHIm12Ce2EqNj9k4X6zwirh7YDXpyT6zMCF1wrh15UnFmo
lQKUeHyEfeR/hhBv/YtLzbJ6JxnjKT40W/UCUujF4sfuMfdsP/4VVLwQ8f3tD+ti9G9md34aZTe4
sz39DD/4zZWEFU5FnQoOYrWnP8KIxqFr5CU+9Gm/D5fUD6Vz3JUzQ6y792Fcl1IUz/HB+WTb8UVb
nNOwWikI/b2SSMGh2iBzfa9TW72G4xSMGof3iZ7pBaZi2/aivE6vjZvgaG1+PFzuLJ/vaN5l1+lW
3ZXb5iLazO7Pf7BnXvyM1Z0b5UkbxqkSH2zzUPQijD0nsKuKa+g0XmLPvBhitS0zRcGyMLXiA73R
i+By/tWmWO9BbEU0zPJMFyeBTbapLlCApauag1P8FG7PYcLf/KCUJqCXPEduq3kuXSLFEy7Yh9Cs
L8a+zh8pFge/3l9M8Ze8mikURUAn2Eq+wlh0tPiI4834EJc3gYaui3Q195pXTufQWG/O5sVA4pF7
cQyVQnLGcmBJ0ffzqNQBWTg3xJsbFBgb3Ef+QUtwdSlOVAQXyGrJ4fopv8y2ypXyNZzcYWdtan/x
NC/3Cy/z7E1/FfqZ16Pm8nncRZfy1e4fvDEE9PhZA4Xk16wm2xcxMcGSJwe9bG+0JL+ZlHMws2db
xtMvJ4RAhRo5QRvF4dW9ZpZ9jAZVii97MVi/2kUaDkoydY2LAAYYRUMfp4cBu/rf1TRm3+bF6B7b
VMvuK31Irk1tUu9ijF8uG4zvcDWdJcAOZTIEP2xkF7kdF4EayJOuvu6DRP49hcr8YzBzOXZNpBqv
RxmKGhGPogGms7kX3KgZJOzk1VY/ZrVaIhyTScVnhCHka9UM+O8GGHTHa3Ocmtw0q+wUbMisT0Kh
emqxOVCKmwAnB6xmtEW/W+o8usaVwIT/PtEV2UxYTpWunTU4cajjQPc5btQx9vU0qjPXQRMnQH0r
WBA9MJTy22zLyDqqnC8ZEAe6G7RWWvv3+6fndbrBkSH+40qnIiKK96e7GtPTrJqmxDmm5txtoU1j
a9HLmeZKtSNd942lf+LMSld5lCzXrcYvwu7S+fr+rxC30clOUBhbgaeN2AHl/bXGTV7oVRHHyXCA
s38zV3elbvx2MoGMueFF+tOXDOYgKQn0QVVEBGvaxBLHaTROocxgsmspmKQ0Z64kenqr+cCr4+yw
u8kPdFb3dFHlSlfDvNTjo40XBj3cLqseTFSlf0Lz6VrP1gv5TtIaaXCNSWsUyBuGddkkUfI7j9Pw
tndqAju1S+F1FNKcNfd9OLTJMy7oS9AF5Luyapc/A1vNb6Vpqn53vSn/VNul/z5jne24QTBoMYyq
CaGpvLcrnMmXvqhcuJLpnVk7INHxj1Fm1IOn8Co01PyznTrTvR3ZGuz3pMac14hASm7A8KuF20Bc
vQ4bsGFuliupcTEBT4lcOu3olby/F55TwpPNwP0HFYKtiK+dqCueLp4l1W3U1UN8lICDXcs2Oh+y
0jceAoplSacw676bVitd2kEJ4S0ItbuwCH8A8xk3kWOec9pbI/ttxBvphYkCHi0n4Knrn0PXp6/r
Mj2mcopXVK6E/hQE9k6a5WpTQh68glgCWQK64aGpKsvtZ62812QQf+6k9+2mre3hpjGC6RI8suwt
ZSYdnCqMtg7OHhQDR+sQBNlWGufyWgPJsJWnWtlmszFfci+WONv0y/WQWY4fjTpgkqTTNu8v+bMo
xumSIwNHzdB2AOAiqLraryOO243TKfLRsTJxFZV693uwIYy7VamoVzEqRQ95NSx7TWkkBNCyTv88
as8oLRlJ7ZCU+1jYc/PYm8t8C6An+sLrphzbudJyd8bsePbmcqxuuzznbZ4JTLTBA/+qHAEp1Z+N
OCWatPI+vTbB9cXuUsO/8XontH/BqJq+RU3bWC5FmPgX7eOw8kw76mUvkuoa+X4zHWovlqUJ9HCL
tEQVlM5XCTzXLcQQM3XlZFA7d8it9Js6xPUPetzB6CpVJX+pqaMeRinprtWUxps7mI7kB1lqIXP1
/iK/qgSzoR2L0hF4bhVUwbqyPVtmXAfD6Bz71sG+uzOTsr1uHXz43Dbrh2M/p3Ps11FbJUAMqRJ6
fd3a+sUCio6W3xz0X97/Ra8CGnpM6O7RTKK4BSN/FSMuqV5h+TCkx7ZPnB3PleF3hWXdvj/KShSa
oFtocIB7oH9AKeNVDiaHSiwZcV4cg6BS3HrsTeDdiLyjN7JLeWo8LKryOTQvAlVY+y4ddtF5gPBR
OyN/GY3GbcsZ3L7/q96YOwpQgpuAhbLI508vmbILIyPXxuJYjLa9bbrS2CxLfs6Z+nU8Jxi9EEGF
8TjpxpqqiBO1EoH3KY9Z3rRXkSkHN7YUmjtbJO3VnB66ss4/KqGlb8YMoNuCts4mD43c63EO3KAz
Mbk18FpvggTnjgGOdlCSNX/J0zu7BUzXj1O+M83A2PWg2naDNFRXnYE+nJ2krbegtrEh0oi9NtDO
MVhEZHByaYi58WLTj6RrxLVxuoShHRq11dblccQByW9NsPStLlNgTo3o4v2vJe7Y9VAsHiU9dhE9
jdUd3C1sU71eyqNtdskVXXhzY1V4XEwJVt1DhltsPmTp0VEQUayQDN2/P/yrzcJMDQAMFjRaKmVr
0I1pZmUwm111JDAV5K4puJGBPp5pSz2TcdazFPAeTiKsTrpzpwtagWdtQR/WR/DaQGQ6qJ1uunTL
Jq3N6ELN426Lnad8F+aByQuvXAP8wYBN0aWdmmXzJaoeuVtNKSz1blIBy8XW71hCnDBd6sktiKIj
Xu889mw5VLdTVUz+++v0Kowjs2ajU+MTSjeKQEG9zJAQtSsAHQz10Zn6xVOMBlKMjM2Q0RqHroJI
r8J7e3/IV32O5yFRgxDD2tbaGTDSgoh3e6mPqWRoOPUpwc7uFm2DiwdrJPWWy/1Kuptmypma5luT
xTYDfWqUqinDrb5Wp9LSDuulOTopslZ20Nl4MSxLttHBBfqprPeH0lbPyYu8sRVZW4p+NN+Y7Tpc
l5tcl1tFa45JW3bePMUBAgHROU3i10ebdJr00wEHQBS7ZjMqYEW7is11xDE5waI2eupQkPF6hLT+
eMtoYIYQp+ERIg9cCwH0YTtUZmRox7DgaDkOPBXe+uVilpABNIE6+IakhWc2zVqCi1mxRSmP0P3G
jgrOyOlGVUMbpZKxlI5JPAHLQVahHWAmOAGGGx2+9Y59pUT9USi8doENKHgw7rpAr9wgPcdZef1B
ya4piqvi6BBlrgqtjdbqMSZQ0jHqaGxhkvp7ivu/4ZsAFN6W2hV78fRmwTcSoUnEBgVzbd2+yjQ5
x4kaayNgec7GVEssUVW017TSzjdwg8KL90/l6xieWOcZEkBeBxfnlY3crNuSbHTWsY3N72WtXYRB
k7qJHn2eggOukhAuCuBTvRsXqQIvRN2CEDxzQF9PWmgf25CfgBJwXMTKv6jXUJYi5UTG7qgVjuEV
6rxcYoNh0RUoZ2F9Lp95Jd4M8CDNiYxP+AGueWx5wfPFa2kfo1iGKIHZiPpQgKW4bdUlGdyGls6d
Pi8Otp3aZCyepJZjtA3iTP/Z8e7/cTlVoIWegUbonMBMXG3yvM6mAT0p5whv2HHlUJIEieD3+1/a
eJXqIuH4LMUgOF8Gb/PpKs+N3GRxoOf3cVANZOxDzr6yk25XNYuyeEY2dHt5jhT9otN7ffTS2ppT
N2+Lkl4qpAFM4OzhSa6Au3o6BOPQt/XRybwKDBsJpl19krMSswOtSb8tOV6grtFX1LgjxQhxQDAD
+5bkrPhaRc04CcXOxvFHFTvC2ZhSbFDm5hNm5Y3sd9nckwBL8bBX+yQCIJ4G0hdSaLXwkrh1HmLo
WiiCKBa+FkgJI9wkoeOEs8Oi3pfOAj0B+3pZclt45fyyoOpDv5ATo922SazNboWCy6dZBVvncQYx
M4uq8i6Ta/nn+0v+xj7D0ARzX6DeQulwLUARIc3TDnVX3YeO0W9rB8KJs2hS5mI8rHk6TArPAAm5
s5Lk0hhA7YZJld7XQXeurff67kKvDVSQ6FOiCLA2wSjrKrcqpUruMdUJr2YzxMNIN5tzl4mIxU9v
L4YhR0HNBJUqvBROt5hstLLSpEFyP4ZWsqtj2b4KLTOndoMyjnAX3wV23G7iXorulH60XDZa67+/
6K8vE4GrA00DNAmk3dp1BccfU19KM76XMU68ppk93Y9TI99AaTlq89ScE+5+Yzxq5tB+sRjhYViH
nJVqq9jWTPF9nmIYJ0XhsFtU8RLhzrI1wuhcN+41wIJ3GIguukiiG/xKdJkUH2n0mG+J5HG3m1tB
9Wn1cCPUo5AfqmtKpSOHzylNdzKdbFsGtuZjYI37rw2ie7Li4oDGQruPUIHxE5KGM32w16Ge+IXc
42RS5G3rJcF5JuqpjCX3tsInMBoHOBXDQ+CdIFEK84xp6Ov7Ij5bln9jnwt4JUgnkmVhh7vagDXC
kJBZkntKVlCCCTK3VBbPNfzfeDRtC6QY2GI0QaiHiqjs5YMVyZM+2CZgAosyFnrUeHdh3L41KBVc
4HynbavB0tw0NZuPs9GnlwZUQr+IZM0fQW6c2fHieVidOqoVgDco/4O5sVYXe61MdSMVRXof586n
KZ1/m3Z5NIPwIbCSm7Ycnt4/YK9DTuJASLKwZClpv2reYxU0W3FZpvfjYlRXphQad5K9fKOEqZyZ
2OtkEvgjqSt+G8DXeKxPl7kLAyPPW7W4NxbnexrK3a2DAMxNMuKk1CjtuEF3ddznndL6sR2bmz+e
JxkDtQAbKVqIxqu9ZPdQ71I6nffWYsmXeUMJsJJNWBq5cQ57CKf91Td0ZLzy9GelWYRHV8GlWall
sjhBc19xRKudPMSaL9vQ4xBebvNNpUtp5ZWFNn5fjFmTLwJJOCbXfVI+FmWW9FdWkGX5xYgoFwKk
qJGnrlqVxkGx6/B2VqQl3Jjaom7/i7nz2I5b2dL0CzVqwQaASQ8AZCatSFE0Yk6wRJmA9y7w9PVB
dauvmFSR6/Sopkc6ioxAmG1+Y4m6oFWRzngIop+xm/QxsXZIkxSfRMqXiEzk1b8Z02z/yhBkPJuM
prMvBOoN35YcDH+Awy85rYvPGibl7ljFnGUigkh2Xvrs16MaD+4M9m8mK37xTBzMAw8P8ttlVPZL
JXM/DXETwbNBWOi4DoU7X1lN5c9boKHu4oS/F0yk+Hd+lcGjI83AlhrG9UMvdRVUHMco2XBsF3pT
YYjpMLUeorMz4VzgNINAwbNwv/S10167zuh4+wSL1AklVBPNNNFWpRZAKS7OVANsA/w9nxj1vDY+
d8fRvJBUOu/rVot/kQDjLZMuo45ZVqtNX1djpOe0OnmxG+tRX8HPuUsZplXNf9GBzEC/0TdogY4X
pH7IjY2NKOshGUMdfdgmWAeVEGDWs3vwNZpNfAXaA3AD1HrTyVx7br1BH8LKNqYRAFFr+QGNJuVF
c52ZdFqczd2VfltiBkSMeMhRgsp3ooqbp9WJBY6AEwkmdqxFLG7xIadf0vSZCenU10eIpD78wqi3
EhFHeSIKKLJTVz1xUw91NJpL4QYeJhnDrqYWhc7x3KpLZHn8l5SC7ks82SWCHTLR+Ye6WuwcmKot
RojlCuG3wv4mGm0nPU/9EVrDBOv4gTfCLIOp8GryNXeyPvkEl1XgFjW5KRujeoZDjEBNTbVaX5Z+
xxXgXEgcDe9XGNOhdNIlMlcbEsaSxKvCbXb59Ft99Ub0eWcFLp2AKkprN+/CtezSO5+W3hdUwbMh
qsQqLxIcm66BOqlvGSVUEZrrUnpoq4yrHvSaa2WBHJGZ7o2q/Ok5ZZwFC/X1+86PfT6jJ5PPAwfv
GeEnFzqk195qgyp+jmNRXHX2bwcjadeXC15bfqSJXr60Qy+faFlqIvKaSr9dATXXQd+nD/Zs5wej
aGscJS2gfCF5V/no1vZ42QqVHLy2ScbANufEozahp2XY9o16rBXZPEuUryLsEhuWoTRx8VY+bN9g
Ia55Qn6jvatzUz+2fed3vP1pd9d2ndsHXU+QHqzx5Fz7Q9oNYeatyb6xhVbtssHedWrIHxQ0r0+N
kc5aAPMSqdPUWNFmcoCWMYKY02OleeJGrpV8qVCH4OxrKIpdFDjx8qH9m6nyxNeYbnhHyKMhUuBq
63Kki0rOjtgB4iBCWlnUFYXwKWUZdRvFWj6JzbJB/Wg9f7iclsw88/qZZVBtEuZw/KN5SvWrfNbF
j6TzsLhI6tF60q11vuFzsPMkRTeI/BraFEEta+sx5c/6yNdr5FPTQoz360KYf5/Pq4GKzuCvPxYj
NzC194sf0vRrDaZN03zxZeHCY+/XF9dZbDpuEDrCoZqKg5JYyErbqijRts36a8LptC+1T1Pmn/t6
ibMnDIgfgr5FZJc5XUDQAE/SzkUbsrHNOrAGz7rWJJkN+PG4vSixVdJJ71IUhAbPUHWwyMkaQtNT
+i9zauNborX5i4w19QivV134FdF6oM2xIJykPkcZKWnVz8zzV5avHVE6XRxu/aY2Fy3cWF98srhI
4cHWbasHxC+ZjOyVvccdhx8vHhFT9rny8vRKn7PaiPh2FaIB3mA/dYYTqw/KN28DQR/fPx5Rym6/
GQknDzieAUabq/YhFn15IXvHDGvPKyI+HQJlheZH4zyps1E6H0Xlp0qdFI6Ah9PBoaaxSaidQpS6
RVi5VMX4kJNcY22DPuBZYldyB3PZmSO9dr2S0uyAo9yiFE8axutqDjWrbMKi6vubPtbza9POTBjc
KAZc6Lm7fuOt68+V26PJVM0GhsvUVjuYyaUz3Phc027EgozACuYufSjkUMFyN4k/ewPvuoCid5Ec
EqTNcJbGPR1Li4UqMt6whvw8ikJMHxRW3gLSWHXK02REAHpJQE8qC7adZ6Y/Gt2DaTYoc2RKfJ4H
+1uJAOInx2/1Xd3VFYrHVXrIrHmIurJcwrl0cZivM86BcAd6W4N1Zc8Tz2ehirOmRx4RHoH5CS7L
dGgAzh+mMTN3s71658MimzvqNvLCpr78QTz4NvLcajWAYPm0LiK0J82FjFduUb7TPUwrq5mrGieA
RMMXrhTOByu3hZavY+o/h3oT5PomJrdSc7sHNSZyZ6WzE/nr+pEu5F8mhPQnjAmTeh/thJMAd9Ht
RKGbWD3EWvNtnvzxRnpeG1qa5vx6P5j9y3w4ELAY6PFtkpAnG6EBFj/KVNQP3cZaXyjvBg5yJB8U
AP4yChHslhARzFLzPclEUK31WoGN4UOy8MQNBRqDucA855/NBfU+4QA9oULBDcYJf32rKF2L6VZP
7SMC8HlYj3YaNgMAjPdH+Z3E/bkFGIHFsrFwpdUDoeVkydZ6cAZlxtNjHRyjNuiDNahDN2yCX5ir
hh+CKU73wulwJ2snRJPi285weugEiI9EfZjutB13OWNluws9SPfvz3BLYE4nSEEf0IT47c96ApAm
EABXA0v3UTT+zWARmVtN9oLb2k+trz8ouZ7ujG12f451kt/EGU4Vpq1Nj1N5ZTvf0+z+/bn87sm/
N5ktwfojJTeNmSriwvJd+kEb+MEQjbspOn+xwyLwAiO8S8IDV1tk7lGUj/TgA4LGaUmA7G1T5oYH
t60nRjknuwUqSC0q01oe8rbSDdRDakWZT6EsFja52V8gKA+krKmyQd/ldWo2gMmUmwAr0gt7R87g
3BR6v1YfJLG/lef+WJffv4v7hViYRiW05JMsVu/SJNbqVj3AA12+jsYwoq1DKutqyXo+tnYc4mIV
37l1atHF8SFE46kQSK2fb1TViP3od91N206fZ6MvrhAlGCLV6jJK7Ty/e/8bnuyR3z9142zTYUKJ
CxjO60+4kl8S1YnlwV9dLRpVC7pkIbV8f5STXc9RNihMchlinoLg4m8lsD82Sm9PlobQkvuAMrH3
OS01Pcybfgxzym5nsZj/JUT4j/is75pc/kle/b//Ix/7fyPHdZPC/J9Z1p++jd34itu6/f1/cVuF
QLkD1w7YMogYePhT/je3dfsTejKcI6qbG+/u39xW2NMI0OBoyf8BvYyriy3y39xq/pCYb3vdbKiH
vyVB/gm79Q0ue6vE8CM2TAxdInbL693I04NoUlvHt7SW7chM6Av1/QvObuqs8VA5zk0N2N6m7+gh
tp//7LT2XtNXfKZcINtDSbKgLe6jgaRuki7nKfrBoR67Mhyn79pqvvxe2n+0y/7HvfNqh727F/9X
7jKu8nd2GUzq489vm3jG673G//Vfew1BLvEfBjguOjHQ5LfY4d+bzfkP2o5QxCg00mLe4uf/Fsow
fTjWmxELqCsKHrTl/r3XENGAcw/CUKBH7UJiE/9kq528HVvjgBiQSIN/i3AGrvfrrWaCHlYTL8Mz
1qQePQOpnmbDsHgtGvSqxGB+Ff1QGZEoiuk6jlP3jnc7+TYPDlpljp+Pz3+s4O1/vQ5/Smgw6z8C
g+33gGqhgE+IRSuFC/n170nXJDbmPrWfjXLyLuc0bS9WayjCJTc/oj9sU/v388RQFD1hkZOaQEhl
vJMYBJMihR39kh2b+OCVyDN5ASK5lAzpYiy7BU5vkX4Eh/rrmLRqftPXKWWfxCKD46sKmHd27Anq
6gNcozDbIYG2f38VT7p//5rbH+OchCSOO03zKFV2xBcqqvbyQu7a8296oEUfYU1OekJvh9qe1j8e
tZamXGGlDOUGtD0DQZyKC0qUht/b6GwOrICC3Qfv6G8q4J+fju4aAQH2YMTGmzPgyTIWZACIzGfm
Cx6geo9Kp2diotDZSGNV5KQHV+8aGbnoN6I+32hN2Iq6ltFE2uiHpkSTNwRNIdewsWpS5s6smjic
nA7brMoFjRr6vY7dkDTn0tzH/Vy0YZagOYAeSp7fWG6FnQCNLu/FG2ZZBT3geCewlFFWyENKrQ26
xhHPcTmJMwr4UxUMi9+swUI4fOjTFaPAkQPUBkVs5utBU/1o7orFNb43dV+gxmj1w4++TgV8Qage
3W7xsjjflGSy+2bR6xiQTaGWoOd+uV8U2EEgfhUqobiX5x7kBFE2gQWnxj+ksbX6YdnEDciKZix9
6sJj7lNJ7XuQJEOV9ZdWazTYtJZGdoWnTCfDQbMRSpzQiVtCim+NE5QiXetg7ZV5jQgfU06XrKwv
1zI2+5DuSYcX1DiUd4rG3D8jCNH9oKvGDblld1yJSNS+3mB+gqeoU3brS2Ksw6EzqvVqGpV2eP/I
nF48QMMo1aDLvlldb5q/r0dRljvkjR7rL42LpuKUwABJ3bwO/Q6ZuPeHenM6f4+1KYRtAQP4opNL
F5WUrEv7wnjRZ+5ABmssZHcmo9KDtteLYjeItvySLkl6LwY//lk0WYeMO1DwI5Yghr17//f8Zepb
i4sqHloXPC4nP6dHD5UrWTH1Soo9bY15HxtDc9Ypd/2gPfv6/uOgcqkLPiPmRVu28kZs2IszaY5V
+cyTWeBV2mvhmHl5qFQqcVXED9sVC3knpdQrqmDlwz+Z6Tb8NjCBn82jTDX15MpfVTf2hlFaz4Ad
qgDNDWhE9IN3DmjUD67g7dr79xX1eyjQ8hQBra1bSdD4ej95s/KSjEDzuUX+8nbOV3vvTe0Yvj8h
AoE3o2xbludryyfsk+eyl5ap3KERz3WbQP1wRXdtwv0I4zVVlz4dhKf3x8P6/XREvhsgMbq+PqUp
cEyv5zU0XlFONIS+IW6ev5TG6mHh4MD7CdKhm6orG8AOer4IxXoBolIyx/Muq8wQ+cHGD6o1sdpD
KVqkEmvDLbv9NLv1i9lqmhVgWJjhkOLAYj8f8cbh7UIH+2WhUZpHc5O1E0wtZf1wik4JythVJ69t
yO7nc2/zeEuDG/NAzJ79WGUbj4hdyhbfExdY0CFRjqFoUw3DMU4zrHY8h5dhhz+khlavNS+PTVxk
7SH1E3cORKfFn2BQx/nmx5d7+xXdTP++nFz72qQBBsQhl1T/10rMGVVcS5sb1GFG4wcQgKohnCjd
6byypnoIVL0MN/TRGgyautlpDrOuHH3v0/7xI7xrrMfFbrwHCAv85Ww0izpEsBFZUAkD7WzyV5Dc
vLDGgiOETLNQIVNsX9eIzPooK0uBQkJtuuv16MVrdmZVRHm36AbL/KwwSl0AHXOmG7biVGCyjtfa
WWt3yQVFMspW1rxmySHtrdLhDPRFE3pGUugUY/Qujha9mZ1DI3tciHy4SnwyE/XiW79Kt6Ze1sbd
we2beaF0vdA1W+lAIHPPd1FRac+4GyauJ3/1bk2LAjUEXl27Nbqdn+jS56ALg2dVL9t5Yx/pM8Bf
cxii1MmhaEh8AK7y2JaPq5DeXZ6XJeLclelJoF00dWhGCf9+dSghlYgOFmHlds5neoabCWrtl0VQ
zw6NxiF27adppSkbWb2fRQpd0jLQkQ1ugawa8HRSQX8iQPC2SLB7gqUSViJ2+/Mi8bMpWt2imgMY
kOV4yESZPI6t3z516yq/58qX1kVrZe3lvNh5vMuLvvZ20zhrP6Zl0yEGlE+5Q09r/2HtzOTXUsLe
2sUt7YHQX3qL/aw1Ce9qZiWPDaK8BjWZUbr0uM38VnNtpDzXWcx7Y+7cdTemLbLVVr8+CnsYENAa
xppb01iA/je6me7HwQLqq2wXKN/Ue43/DaKX+zjHvXlBE8eETePWcxpqwCuasFezcUursFt3tK/j
sBedsPdWjdDyfZGQlh6Jorz0R07Q430aCpncyLHSHpy+N3iudJXPV5VpZtmVDrVxuEydGXAdntlZ
EVTK1y+l1qEk7S7mku9L352n3TrETRbiwjLfS1Ho2c4fFvu6nHXvAVit/9xoGZELvLn8a935bNDc
QpAbtf9Yu8N2tSZuGfTiJlWG0dMpq7zPGcW3n+g8+L+sbDCeejqpS+A4nTSRt8avmgVtRHYmZ1Lq
KAfnfrfmhVMEUBbtzwb/JNbtslp2Y1Uvc2ihCUucpfyl3SHwgoK3P9vNjSO7/tpG1jJnAVu4SbIo
2h+0UmcHmRKnIPkefRVY/SR2XGTTZ6sbY3rqcQnnIO7Mzw5s4MepLUc0+qwatoYrpzsNhfNjMswO
U0l8WCwAetCO4WMhmV54APY8BMHRQM+NNVCjO1172lYg07RZQ4VjylmqsZo6lIknu/8+zYCyAtR2
dYHGu+O+NDlVtID6mwZjCf+yIlBx3/9y3WmOEPVUcYTOeXHdCm34kkKdQEkd2/PbGAXePuC6ACuV
O1V1m4wJHcU8c/kSaBH2n61aJfD/rDxdAtYSpEilTfKHcoqMvqJVuT4qeCMxsxyk3oYbUfS2dbjS
8BLS9K9S33SuIRLaB63MxUhup9sF2uBLqT65sjXGMxDORhxgqQgvoYyleebMhHxXfrn0RKemkc0R
EAh/vuC2Mq2ocq0aMV6LAx/GbYY3MrK+eMFUSy2exOIMTjDT2rxpef/TXWmVYxNqebHSIE6r4jnP
TfsBZX60bXqtK9AmKgz8xKE3+s8DyNt+5/dIgYV95gNezfDGqwOlj9gD2Iu2citC47xp160d1PeL
nEP83JDcTVsJExK992SKJshjSySNWHHBlX0PFmFtXMCskKroOi+JTnmYbvFFZiEbvpsbM3tQGf/u
Dryw9qMwah71XkNgPxRjCbZhlfPIPqphQkW2ORgd6yfSKpxqMfZhsvplHegIJjvhJMbR2mGkqoN2
GdrnpdJWFXiOKs/nUeHRFIOGMfdF4jbeuVWXE/elnyVDoC8Gm7oi+x8Cu8GUeL8g4NNEsfSoMC1j
h9Bxpgk/DsWkxB0wIfm9rBaynbhJhksza9K7Kl/SexwBEvAoadxdUc9onFCN4xZ+AZxAToCoaAns
rm8Rwk7ynma2lsWfx8npb6y8qFOOleH+ok6x6gh7xe7RzOkR7CYMaL9NUBDW/Vyq5UvmyOnBW6ZG
CzytUyPOSq28cVNb/KiIIPrAkqCuow5u5uc86cX3fo3XXyUu5HtPi7kDC9G2VMYHnKEiUw4kcZJ2
6b1eztI4jLIl33J6f0K/Y1ZNvzPNrpjPZaspMJeTd1R1Rhpm6/l8X6TAT3fMwqGfAja2D8kB1e0M
Sfy7BNYWBy2ghSpQxdy/ZKPqb4aqBqqqTSkmg8gHxC9LuyiWzEEoPrTdCuHnSrUDbLdO/tDcYviB
cXqRBKRO+S+CV3Upi8zeDfXnyi4gy9Vt7FV7eIHOUz9rSDOaq5s5h8F0lyJcJw04fVYL99op0yTZ
OcBNQANxM12NntfgA4t5gcYdgaQLJlOmdeeBYEXGyjC+pN7onuW9iNug9m18CTYk5TGn4/owJ3OZ
R6Wr+rueBhqOk7FeDxHvZXIESpI/Z20v2JW5KL8RK2Xfy8l0ubxqDCvCahizWzS3kcpqAXjm+xo8
tsknmPwnIwN+Z5XLgpGUa2c20ChrOS+Tfr5azfQRnnJ9U1cyRbIdedlgroe127s1TyZtb8s+tkWV
T2Eraz/ZV/o83qkKj+1oIeiM0WfQ5oq/53EbSM5KEhjGsgAXabthCK0sS6/RdffLoLSNudy1S95K
LjauqtRI6d17hgV+bcK6+cLuW1PtylUuFFqWJht27NxlOEs03TwrVTaG7Mb4ekUuD5ZT1gxfzLYi
inQWh5swtWfMc5IqWA0nO071NPJQG+ViI6s+LZD+C7E82ZxV5O1NisOcT25hM1PZFWbR+pd8HQwv
kiKbzbBxinQI2kXiYSaWQbYXWSeLfQxpxgjboSjjG6QLym+NXgtQVcuEB1niFx768mvMEiQ4zC60
4ypJ2aGczaWukB5IK6xEDaucduboZhZRg9bwAkyj/4RzdH2Lbt5wnRupHELbA2MQ+Lk2mUcpew9F
0F6Iq8qGhTcCd4fRsJjzfJ93a2OGWo23RGB4HTRdmxgjoACRnW13S0FE3GQs0VDP1SHO4O9lU7sV
VPIB8MNotlwhOjYafVg0nTNT8Dbmda9ryn2plCpuh9FKuaZ43s+11MPfgE6h/lmscN4v9G7yHuLY
GeS5asu+ica1Su1LEyeRUu1kkzVxFjUuBNvPqArmfSAb25Z7Tasp4+RlzV1lzE38Pc1HLUVu17Zu
gKTloGq6MevPzAFrvqLLzeHcNrk6A2nrVE6qFsxhaNjKXHdK65IEDohYKpj8qr+lMjXpexf8x2XX
K+NrWZf+d73hSggNWevlrrOMvAtGnTgklMAh1nAuSsvYu3YFzq9P8+ka0ipPQ9ynQJdMsaY3re/m
ARYd1bxfKgw/w7XrGhUJj2wYRGKt3QyDvi6QBAyh85p40w8vw02BIID8awMSauMZnEp8iHyAIudV
0+f0OSkyVkGjsIswOjCasdSbc4cUTuzbqc3uPDmuICXWlCtzIH25badpcwmZlJWGrq/cn/5vtlRR
VdkTiV98QyizObKYTXdmZxWNj7ED5lJwa3EXS0t/8WupQE92+V3LUduB+iXWwWlU3LEpvBd8WK7W
NIl0GDQLuyzIPOE9kMQW6NvM3TRf8iCP38zKHIvAARZ+43VaPwYiTrQ0KpqifjS50nAHG3BgSEMb
pQ87iJMZ5qqpD/JR9kbaXU1NmYLLmLaJLaLoEziVo3njxYlbXyKYDJHW7hf3q0a1DZEFEmSdZXCS
CwlQr4m4gOofmETwAEDmRGNBm+aU9ixVeAwyFunHQZc401NCGePFzBabEJoU1oF4JtVF0rf9o6gl
ey/HGMA+TGYNP9mgeBQlSQaEJgFVz1WW97j9+hBvRdPikAx6272EUg6oKx668vOa6sUXktLyqNsz
ONNYFNpTpVecw0Hm3SO5efKo1U11dFp7RC+qmB+neLAw8CM5vsJAvKlvJ2+cJEsptK6luGqON8Di
13t7msoXxcGZAwID53lS7jjs/TgRHZ9/wJ1ik4LsX+TSV99V7Pp4ZZtmrF/qmmnNIH9sKEC1n+Vf
+RHdE55L4ku2NMudIxUXkQuT/yq3NLRWKlf5VC4dt/00Dqn3zY1V/blEgIQvUyYe1uroBIjzxE2T
Q4mZAjnOALHIQ7R+CXx7Vd/rCadKyRUAn9/KLkfKzcQIlbdGY8aNElReSlKjBhh4gepX56FrRgqq
aS39PVoIbgpYEyV9vCtNt4qapMTBSNZKR/04nyVpfmL1X3uqNBT6Z1nb1yKF631AtSMZrmxPus0O
bxeKX/PiL0+Za43ag9l7ZQXitXGLqFdrj6ubKZAwp/ftuDtv7KY7d0FFIgB8NPfnE37n5pNcE7CT
2AFJYJLeXAl85KvpV1pNlr3PdMSA94nmpgIcX79mYQOHYj53Yprwdkx9FeKZjgysRzPoVrJoZ46s
mu5czinmAWidFvmlls6jAfGyqy7wORqNM72qIenx8E75PmlFNQZrvcQNwZLXuCEZM2+fZWazs6/N
zEn3xmovw4VcrDXbzS1anUQ1i15dyNb28+OKmWsXZqWtkDoVsgPQ67ULMmKlUbaXgLHj/Avlhwrn
GuVQE2ctNhfd1XHnfaFtHzuGBs3zlpnJ7TBYMNsXJFKMcNHL6b5BY+grKRL+IIgFFY+JZdrEeToT
28cNWY6fEfuEU0l9MMoxabgugEjF/Jt9Wx7cZCmMyJeIpYYFgd8WWNT1lzwZsqeJHZWFo3Azmh/g
GzgJTVr3Z6AUSLXjbia2MgBMtuCyU/VQOQbl94WizOeMtmEV6FrTPhmFjUNgXLAfLl3f31JMKy+d
S7OIG2vjQTpfPSjDczhPTn1fFgrHW6r5KGX/HyrupoOdiPU8ClH/bPwU9EeqpxZNy//X27x925l7
U9B00XiC3AKbjLYLghqvC39xmdcZ4onec1qmxlWdLcaTRTT0T8um2yjoOm8t+K1UvBU8/+gmrevS
qmFVEO0KMe8KJb1dXRgfTOVN1fT3INSCUULfRDNParN5ISgCUbV9Xka3jybPis9qByFG16wJjMds
+aDAvlVhX9WCGY9Q3KSssjHTTqu0sJ6GATXI+Hn1e5BcOAaB0kz1a8qs1R520mPipWqvLWv2Qafh
7URNCJebvyaP4GZl+Ho1OwCXqRhyDJ3coTqkKu4uNQKZsCvXOHLycfhAEOx1J4GiNw/qZvvgAvpE
COEUJdkj9e7O5IXHwsemhg+pRS7XaNR44qO+4/tDob3wempu7cxKWhYVlFKrL82al1UkA/LSidZ8
ALB6s/Pp07NNCHx0w2LPnOx8bRoI711ZHeEL+ITDRXujnGq8f/98vZ0QJGQYR9C6GMXwTr4V1aYh
XrC1POoat0JCSkoymryM1Hs/aBr8bT5/jnRyxpYFaSdfr6qj5snh3KKOGVl+8+v96bzZehu4AcDM
xvg0aYKcfJ92Rj4+nebqWMwy33f4U91IabbPqu2tT7O3aufvj3eqIMPeAyyJEQHfyaCff4o3hpZR
dMPa9kcFZ/9Zak1Vhh2CD1+gZxSbkE5zVi3yPkb24lbv5bLXOgsZIzAZ4vMqBhE48dx+XexB/6Dn
9ZcPu7E0+XEgw02Ymq93qqFkNzWcuqPDBX3oISIGY+9o52szfn9/Df7yYYHZcfxA9JJEipMt1NEd
4WVe2iMY8DJ0azOHqIMt4vuj/G0+6Chu+rkbZuTUr7IY0ESa7XI4ZoVvUmoqf6yFVuK6SB79/kgn
6JTtPkHGggdh4+vYm8Tx66VbSA5xMuz7Y6FN8Q7LLPOMIn51Q1pjnGltPJ+1xZpc95A6HouuA6Yy
zM31avTmT2eS8oN74FTla/s5FBA25AHwLK438+TnNPY6epWaj6D5EVWJXYzZQj/JxKEgDgGRT6Jl
7mKzdc/SlnZHJHq0WvYZ5+x2nmr7q4iHFh6CDSYVEry/jDuf4kJMc8RX55WZ2Uiji8pAiqQY5VnT
WuW15lbyR2GV2o3nzM0areitPaBiWHuB31GYDRUygp8n3oAbLY8h07//Cd48XduUeSRBygCMJAx/
PWWUZkY/nl26Zk2ShoIaZTgSOe4HYoEoQf7xK0HA8I1e2bp/f+S/bDO+vokyErt5gwq/HtmtW0y/
E2M8WhQXjkS37fUkjHJvt85HvO2/DAVNxMDPwgJ3Zfz+7n8EHchelV6+xsOxQO4p0HSi5NKtnrIW
Q/v3J/WmewrAYNs8xmaPtKmZvJ5UozkSXm+1Hmno7FZNeDuC32WXG/NPkaUZUlcfKYq9mZsPiAw1
IqKdDbEuTmKdpcg07l6DubnIWtROYXwhtoagQ6/q7P3J/W0oToe3zQ4kxamA9+SZWlW0cjp6I1Wl
OM3nPcxLI/RM9yNFmLc3A9PawkTEuWhEg6N4vZCuomAYN954tONkvdEGwJJG7yxhUZprWK9Tsmta
bcs4hueF3ParVpDHaGniRHq6iMf3J/47YHwV4PFrYIUA2DeA9yLc8PrXqKJsdC1tpmNGZhlMvivO
oOtMe7qmtIoXw7uLMxUjG9GJO3dq9B25vvMI40Wn6OIfMrPXn9//SX/7FhtWBumSLfrTT9ZHc/uZ
doE1HcdRT68giem7ZHTaCyrbH+2wU0kqgK8O+odc0KYFINE8FaGvRDNPszkuR80VuCbS3IcRS5HL
ykEMueoG3Cxplzeay6PnI9CIl6zjHzqnBgRQDOX8CbLLsga9qegouFMBCkt3++qXjQI8VUwKCRcU
9MhuOxbqRVApeTRmTXssskS/f3/Z3ryg21Q2yyWugo2qcvJWm8sUr0VqLcd5raoD2oVwJr24+uAh
OeV3/F4xvo0OpIk8+801UNTUAFRZqWNlJN1Oa13xaYU5vW+tprxLECkP23JwgwQP109ulna3aJux
YmoZdqr35N4dyvESoJt9Rua3fHCMt816spkdRIXJFkz6OVifv97MhtnlA5q76rgY2L8SvJS7pJXP
bcwZS6b5I6uTvy257eIKx0qgO3Qqs+TT09igBOpI44LGZ7xku0YuzQcX718mBUSGKheP2W9zxteT
6qwh1mE+rEdN6FvdNe0PtUqtoNZX7drsjf+PWRG4WJsSBNuIa+H1eOaoATLxa3Wcha5dIOJDux61
jt0/3q6A2HGmNTl1BiJcr0cpGwmJQHbq2KqVj1NM2ktZ1+YHMcBvvPnrHbHRkaBwgMlgrM1y7M+k
fHHM2Wv9zDjGmdtdjK2zoLGXx9R1bfpJJaW7w9CN5bnRCj+oezs+1ptIsuit4ip1qpZyFyGDolp2
jWWxFWpeShzuG5djTt+zmrPqgy38dk8Rn7qbXJaOri6owdc/WJROU8WaYRybXKb7pi1hoo928sEx
fnvHMgpnGWEuSox4H78epdM8axRI7B2zyo8P2aSXkeriNvKH2fpgQm+3L8A5riZ7e2Y4kttP+SNC
yXQLW1mzcY6eQ5lfuVhET24nrn27XS5ozFvR+xvrTZzCnmUoXXBguApO2YEKYTMgTbp/ZN7GAbHG
CdXUTAjkjf6TvTNpilxLs+1fKcu50tQ3g5pIcncccCAIooGJzOnU66jvfv1biluvCgSGW9S4JmmW
lnnvQfKj03zf3mvPlUJlPp52JbWp318P+8lGiluIgz6lHzYTmEHvn1OFBKWKupUekGSpZ6wKrXRV
VrAULwSz+0rq05Dw7rTsvhG02DS0sSPjd6DmZIPPpuQ8NDptcQ+zKwXYr/+0j1Nq+cuWQgqAVm49
qx87GkyHYGojeGhRrnzn045+5Facnhjlk/dOQix1BhMIG9vP6oMO1FINJIj4D+mgpBsZnqdvhkpF
ZzCqq6vYjOMdPNLwxAf+yahMLX5Jtm+kimvtq1JpAUQFejhcLqR9CBTvJcW9e59kbbRTusIgJSdL
Txi0P05phJHmAnHhzM3Trl5oM1Wzk0HMOtacfvdOMtJrzmpK9I2Idok8/SXIlu8UiRkAUgw+CP75
Id9PrUqV5D6pxuLIHOOIyL52iJH1nVgTPk4Thw1mKUNYZI8Ccns/Cj3HSq1bszyaxvzsJCCm5CY/
tZmtFx6u3ib3Tz5OCphYzVeD0LpSSwRVxrEMrAMLk3lhRbPmRoYwdn836zUF1woXCA71HLKdNaKv
0CjzlpxTj3lrVxe47XVvDMPg+utR1g5KgNJ/Zh83PZY5Koir5c1SJNRpHXNhjoe83HQ1mICr2ZnV
cScpo3YNNSw50Jwg7QpITH4lyfW0d+Bt9ReO0Ru1K9ELQJHfqtu5UDQ4K5lSaGhvImc3OkpS7gqw
qe2SIExLVxJK/82ZbednLUsKh828zlRu03Jxqki5nuN/nou5zRcDoOuj0LtPRccFm9c3KBtpyMRm
yofqvJ31a0QKp4Ih1nNvNdo6bg9pphMUDqN1rZL5WtsSxGkFp1LWPky+5bdatiLOHbjh1xdKzhut
kutWfqySVPKyTAM77VT1Nhv6l6+nxceROH0uOvHF60TtfLUYguUO5xkqxzHM+O0GyeRSB6fVmzEd
nNjvPhmKMOOF9MkBEf/n8mrf7K95UaGMzUZSQeVRvcgE0MmZSK1zVnjzxBL/4erKYRAvAw4WdnOW
v/USMSRZ1PSFnh6LFp55XeqtL9D2IzJuS9k39Fji+mOXskvSafDSaxB4tZrU1Ig47t5N6CudOFx8
nDfv/6DVw0thY6aNRTiroKG3N5RcOgszlePd1z/nZ8Poy3pFTXgxBC+70Jt3XCt23tellh7jOpT9
2snlG1sbxOPXoywnhLdnVd6uCdBzoahzgOD+uxpFxCjWhlYc5V4eIUvK3SWlkfECabzzq8017pma
E23mqURQG0TJiQ7IeitdhrcpBLBYylDN1wUeS+/yCJWgONKFsy4TzF4uy0q30wyw7bCwowcASP+L
N/tu0NWpKVCjCh2gLY5t2uU7k5SDXWf3/Ylp8uFwxrNR9sR8yHOxpq2pZIZJvEsciPIYpWX0W6B0
QChXAeyZlG5TgivdQ/Cku8887XbhArdMyMcTLrqS2ZtZ+ymtGc7m69/74xILnB12qfqPU/IPevTN
rIJwXIQAtuqjjgD8MpMs46e9MAQ02oaHrg1P0Tk+GW9hEZPXsZxQgS++n19p1llxwvXxSE1tvh5x
C9xUlTW6IVF8h1KPTzHo12Zg9kY8ypCIOfTjWeYS9n5ArayEpaFLPQYWnJxtkueG6hJWjDaq7e3o
SUoH+6czy9Jzm449yoS5OouaBqYW9J78qh6ZrX7F3rk3OCabbmwOjuxXeLZktxOpQcAM/+dtXRaQ
G/XRtl7NFnWI9/XP9MnHT3+GwiArAI7LdSVfh8+UKW3THJ2sU5DD2M2FUIJg+7ejcEdFcadyYqG1
a6zKN1080IWI5vZo5M24CaVYRrtQ/SUEhF+EUaBew12AW4yL6/0vEmeD2eoI+47m3BAiaKepj+hZ
+9vlErewigvWphmnc3Rd/e4NS34ca+l8zLnybeV4DjYoaOMTn8+H5VLjS2bPY9FcbnuLP/ntory4
Omo5crojHRap2USRjp9FyxJlE4RtfUi0Ud6j1xuyDcYB0GWWk504MX/4oPgLkIPilFrOSEzw939B
Pk/cdzS5P7aRpF9M/TChh+5RXOUj8o5F6v71HHm/QrPv0sIhYpKwUQriS33r/XhK0XUNoKyZPmH5
C8WnKF2zm0d03YZ2ZhhoU6J4EqeMWqsIpX+GZc2gHIu78GNVDWFM25WGMj+0JL/c5pZoNUwuPTLd
dAlQJoXBis8tK4QJoWtRL+9NDNmc4hLwZie+kveHnT9/imGxnCyNQjipf1acN0umGqMyI0yJP2Um
Y9XsCzD8MQUxMiu7v+p9/hmKZ+U6j7MVyND6g2xR7WZFbWIlwUyzE5he0AVFwRla01MX9NVC+Wcs
bgnMZm6VZF6uKfFaIOUZFD75wSnj0PKMeUpvRBIgq+Vo3sebQQ3ruz5B9OZz3lto320fLjkzWXUJ
3S3QfYHU7QwpIQYWLSxl7UJqi+q6MJxAunHCNDxHxSTdSQp9eXLoVfvO1qvmx9fT8/0H+c9TsK7g
yIfbzzFxtbhMsVmPtE+YnqbSWPg5WuVaV5rWq8Zhup3HQb7ERFM95lrRH6bEKk7cxT6ZHIuEY6mT
svrQeHv/ecRTI2XgOueHXjEbv5HQucUcmLCC1OLv5yHfIX0iCpj8bOvzfT8WbSu1lfygxzi3O1ua
906Q1XunwSry9VtdPur/ORX+81b/fO/obxZj2eqtapk6aQUUnYccjalPClD50gSp6jWyXRfEtKWX
bSU55xEAx78qc/zXyHiKockSg8Lzvn+fokysXuAweRizqn5K2Dmgoer6Ug2N9nPWJKea5p/9gFQ3
tOVqgcf4QwtDFJGRzRKfHF5LH8+SfQ7e0PYjQ6lPfN3vl+7l2RYLL5u6DbaB9s96rvQKUL+40h70
nCXVS/U42WpOVf3GgI6PKo6K6NfXv+PKOv3PkFA0KLBwyl/g/O9fJ37TNujjWX6wk7q3tr2tE1uG
+Sq6HZxmeCjGEok1YNX0W69r5SVrbnFpgUD2Kv6NJ3aSj5NKZbsCMkjTiGvceodG1Nlz3lvqv6gs
YkROCQezecJoqVK/wJCZZHdxPaLwLEr16esX8f489ec9LGUz9s6FmPFBkzRLYg7NVtMeSNjpz7M5
yHzZQZz89Sgf5xJiGhp7FCT5TAHgvH/bgDjmCJej86BKZD7Lo6P65B8eQ+idJ6bSx5HQxjBnWb05
ztNNfD+SOjYDgRptcqTbq/hKoudbo5Y635bi9tQ95uO748grk5CClkNfHLbvx4poz1ed06bHMnSK
+3SktYZwU92EIbrjug/FQcEEt8HOq/+UBlNn2W9lL8gLJKZ4XDyrQ4UcS9Wpk9An74CwKZA/i6Mb
otDyv7/Zl2epKm3CaLLjYBOo4jRx54mpCXdqTHf06x/2s1dAJwH835JrxXrzfigUzmNkGGF+LJox
38lzITYi0pX916N8PGoRUgQyiXAdaoeokt6P0gYNoIOiKY/9mGmXNXUe+rvygDnHIMRrHq179A6t
//WgnzwaUaGortk/dfAkq/MdHkEjsuZl0MHQPGvUkn1fKvqJUT75rTiTLzgDvn/+c/VoVkSQ3Dgl
FXeALAAFCR9ZliR1WxBBcOKA/Kfh+n7zAldF8CZtfA7JH4LRTbRWXU0y4xEsUIjjymnNJzuUogst
SMdrZnpF0900oHkmigFMIUOSE7v2ZFmmN9iRecY12ExxfWRgcynTEfqYlTMGVE6/WHUgvSruoM3N
nTpGdbqVE1M5N2KZmFxTGuISn7HVaG43EhXBeXSUXwvcFrY7jpnxY6TkULoVaw+2seU+5LbAjX+1
yJB/iyDvSAQ0+BuRRXReDY/rDils/9x1EE1dLU0IQXJU2g979JvS4yzn5DjmZalvZbkPK49yQo9p
GQbuUy1kHjNGDJS7KM6HmSTWVr1oLLzrdA+C5NnqKxV3TqGNN8NQUD8TQS1G324UPJrgUOeCKLDa
kC5aLEqyl4tUjnANySC0EszNkqemrUpEZJLdEvw2vgoDlzU9mACj/Ujk4dGYbUAGdSvbj4UGidlD
+i4OUGxHxc3bNKc2brVJ4fdZggW2mLUcj984G9Cf8UlgwkMd0m5ye6F94AC0f/ZjnZ+qZK7Ki6iX
lpRGpAVUZzl18E29/+jKFDExNOXi2ZYMtwtf89zeYtGd7btCgDMhlUQu9iJ5TONbBVvR1x/fSoX5
cfTVbU4pSrhWsNmfB8M9gAQvn8R3/dD+Nr8ZgVcqXtztSstvd18Puz40r5959c0XBC2HusSomUYv
ZDaesC6eSxJY6BoztLExJ93rmv7E8vbJjYP1xWIPoTdOCXV9Vs5GtecLLOqjidMxckvELRepNr3E
eVjelM5iKI+l8SxWOuQvaiPxq+vlXa0TyAJ6JPIrpU23U2eIvc5Wu5+byN40BeUd8gbGc+7aGGPL
TN0DvNBP7LefrJJU72V1YWABKVszIyMcn6MaE8ZZDHXJ3bdGB28KZfP17/LJKkm1BAU6ZDH0JGtY
SJ9VgzmNTXasOizGkzM4/jT3WDLCyfhfDMVhhcAbmGo0/1fTPtS1ATaAxuYJwvEsN0PTV7LW2QN+
mk5M8k+2tT84W4OXJy9bzfsvLNCwafbAr49SpOIrppPERk3u7UUvzVXk1m3g3LblON3+/cv8c7FF
mkTxab2xgSeBAmUFxbEzatUnUkvQUgo0b47t6MS57+PBnvo5J3umB81/hDPvn1DRisQZTac4kmWY
YVXvYy+KovRs0DvJ1YY62X79aJ9URyDrLuA39DLIpPXVdiqVXTboWUbVnqbqpqpoPqQJqdeN2lOf
JPfhl5SRqlZz/jrXdS3e6DT+T5yJ1osIN9AlZI1palMOo038/qG1bhoDSob8rAlOsZYG4kEz2uAq
l5T4msTSYJvzJ5LgPaWbatL+LheREz0VEt4AN2EmMP3/5Vt6c/rTrSQE25IrNC6U5jeT+EXRdbHF
QJXsSxR0Z87QiBO/88dH5lgBQo0OL1cZCqfvxyzmwkk4cqjHsJnFeYWhu3JLOQfmVYjmJs0GKAZN
lx+sqm429tz8ndvnn2fmmMaLZ/RFEPd+/MHMIswVmnrUgwXuaujjZTIbpw78f3Tvbw9QXCf+gKHp
Bi3uivWXMywAfwIhjCNF70Zxw2LJD8CW7FyIMsy6hVkiZb6OKvG33mAsBMsSQq+RqYQILxJpexUR
RHDfOhLgCJHXWMRybRIqNq7eILNtGORbWC/2RSe07tAXQbBpcd40npph+xU0pxcLV/BKqJl4CoqZ
RgFQ+sRXmG2a11RTEvnwkZQzrPCl6aKfxCEUav18L6mDGuHrD/Dbj1U0P2lggpAoZ+pceSYMth92
UGMZCVQnOwMYZu+VqW/knQIKu/cKzj6kSTTO1LtyIBTDNfCdVUi0cPxvWj0yLrU47Jc8s7q8FiJX
dbcuCvlK6gz++jEZtfPQ0POnMY11wG9MXC8vItzFs8grElBstX9oMP7tHIuY4F0wkkB/amlY1pr3
Px7WKZbZBYbKVruOpxlDbN3VOOrHuQ6CCY5Un5N/InSTM69i7jn0oRdVBhHfBE3q9Hvsuth7K4nz
tNfWUR77U6jG3wCbWz9L8lFrdxgt/XYir+ZK4Z1050XmSCc+LFTd6z9bx81DjdXQuTbT1lodhMA1
KENaYjfW8LJjs+6S/r4u0toh+tZO/KSgEoXzeMFKqFrlkFweKPJdNJOqoydjRtuwB/Tnm1YY6Lus
LZvLNmzaxyxKCAbvJKM+HwsVPoeidbXhxuSPXLTS2M4wleXY2vVdD0AmC+zkCRe+Obug9OeKfFfb
eezbQX00M2zMbg3oJCCnwxqD7ZgNKZqjocdvD0cICp5QC/xxDvwnYzvPcxJ7StaUT8CUpNpPhZTf
mUM/Tjtk5zoRwk5AgrcllSQ/MN1S5ztwtGKiumbDPQuiNvsO0m00vLgexDW32/CQILzvXKUR870T
jNOFasd5QCReEx66tIUS40wSdhm5TudvVtylkh+mpXTWDaYYNwBwkkMod2OwhDoUpL7bQF18Je2c
36boYFW05Bxs4nayH7NQzIccJ6i6hVImNW5PO+NY1Lp8PYJav6cUDNahlw1WvHTqrRc97fACsgAH
34qU8EHkdiJ1LtpMhA+igY/lJuoMdwn8CdeZNBqAy2h14pp6W98aIi8dT25qgUQy64wnkkCqgJcv
jHKDoVcCDRXDIa8IZZEPcj06lj93QyDOEbaQ8t4UTfiSBfkg/ZygYTd+JCth5SdVO06HrJpBDMzo
Xo5jKcrpyjFSKfkGHCBIHswyMCT0elU3YFImU7u51eQgs0FJJKFIzrq5H/vIxcRiZochktGgoIWV
zDOLprzkiToUPxJskA1BhVKq+0mYyqS5lNR/XJFn3Q55BJgTbl5kI2HuLl8ss21/2f3MP6IY0TQs
JK3mLtDMZmuWROVs5yBoLnNJimQs0YnKJYx29TnXZoWAT9KUgEtOPQeMvFKd5GoKRh1qetkow060
aQUnrEu6s0FrytYb0rrsN+RPRbknd9KUXuS2nL1Q0DEvJz0xEmxzqgFbaFDMA/XK+knXGr3yaL2Y
F0DtEnyXY8AlaCxBvcBjAmyGFigeYSrJechSr4/Kvpx6jf4xJfp5T2e0kM9JkpqkDaUw9dJqxkj3
c6mClqt3aG33oKiq23DspWIPerlML3uTTObretAsnBYUjfZK14hzvMJFFXuJNGdPURRYV3Zgm7xm
bZBKXEBaWLsKSYkHnlCbt9JUsFAFvVldQSiVXru2RP8+xZIGHmvMA0AXWRIcSFcxpvNRKGF4hmTb
OVMiDkcesz1rPLnVhOqn2tCR4zyMcXGll2ZGyrcSNPlWET0YCjq9YB0SEl6tfRVFnXaGBBD0WyCH
WJ3ngY8HN0UD40Lwh7uCUJ0nC2QGOlCV7upW5Sf+7WDiJpM9zHowe2oc3vZym1duRRH6ntZ9YGwU
iWy4TRoFwb6F5kL4YmBlT71SYYVQo2iW/XyqWa+GVC02qsPf4ZdOGF8YMX8fdDllScqyquhJa2KD
nFju6BXq+NL8Fqbw486hkYoLGjaAGpCOYcqCiMIFVMqkCciqPlvLCqlmP6yAuobbwAe7m9lfX6su
rVuX+3SI0B0QEez+YIofgsaGKIdn2yndMiJgcWd3SvhrnGukG2pvNyYLU6uonhZk1FiKrNUPnQwt
1K3rOdb9inJQuXDYIoOih2bKW7Ob6DO2QGdjF8QY14YA9FlIMUCd7xBSERxUBVX7c9JF+Wo3hfbA
Ig4oTGih/itNpuqxrFrOZaYUJ7xZzYrEbqpL68iPO5de2Voju52I0jupjBVCSeO8U1Fmt5D3cn1R
WUc8Jef3VlE2WlzDntXjiIQkI4pJAqAak/Uum4oS+0U/UMdWAFt4c5IJedPip5xcq3MyQLQ5bXx/
HmxtJ0JuY15Vy8EPVZhNQYNKSn5guDd+TGZbCQpBTaxuWkBR95Q2Q/LdRie9JoqeN0EAjHJZayR9
Q8pTvydFYQJvgHnugnTpLokGakNPEVL8yJqh517jQHZwNY0yzc4KZv1KygeYE8E0gdjiDEkFq7VL
GJI8KgFaMSwnqkeBsM7Mid6Prwdywm6nyZEEw8xsbXcgGW6bZiX380KwvrpTmcv3epw5P+m75xFe
t6ozOHol1lmrRQb7Qqmor0S6mZlXy2n8JOKxzaE6JNmF3hK7BJ1KyLBmRjGoPtiw8b5u+mjgBC2q
ZCuKKQVsmkL9AimyZDQVaax941AHxq10zPC3OU3SsM+GoSs8XVSh6k61k+luCSoiX1zwJbewIeTL
aooZDpysRd1DVUj5UxUTsncGkE3eJVMMQxM+wHSu9Tmh5gAeMS2redb+NPSwfSjhxZBlqETVWad3
eugnKKnu9MIub9GglTdFHqFqZv5yFsy4cG+LQBWyC0khvTZt6cmstLag1ZOzmA6j1CVorOKeXzsZ
bWUzKo4E50wozrin3E8wVwHd+IIzCel0ZtzHz+ARc7hn1KbDXdCpBRl9SalrP1i4yeuLq1mF/UGv
hmtnqxU3Fo0BDb7DNOu7ZiJ0hf2lG1gvzFh7KdI2U6+zUAsOcSsPdF9Yvzu3wcD3gwWdDWZsEh2I
Y5sqt5OdOzFC0cT4Qc1Dti5i2y4IRoMUk7k0cwP7e8FaO3jAYIbpfuDET67fOFndrmugM22pmDdk
UUc0XnfjrLPZDxNckwFWaLvjqMHXJGDIkJ2VzHLwoFPmm/dppJTisZBNuIfyXM3dtrND81jbUjK5
5jhHt5peqfCihsbIzjrufr9ob0N4HrETSOcmXNefUeZYlDTRN7tyNPVkftmjeHBiJQMsByRu2IAT
UbErCZt/IuIK5NGUS/JvozJFw1UW1KXxyu/XyfdpgFQMpmksy+cV60y4aZ1azS4jVg0o2S2sr7yq
h/xMMpK8PteyMQq3Q5m25s8SUO4ltHjzLlb0TtuisFBeYXBMtW/mYZv6LVOx8fMBM9e26bQu9cdM
6CWduq6asQNq3QVJLLW0CQZwdQlI1HZh35SdL1OMin0Mk8QBqp3Qqac5UnXfKwiA0ZXK/XhQlWy2
bia9T8edmNV69K3YHkLP5gsmtjkgx42VS506TyM88YW4KUvyUOmJh1wh4Wg/5TUHiDnu5OtQVtrL
wXIiuIV6nj9prTmxY0xVmm71KUvDSyAo8SEpqBv7SsBFDl4CEKyt1VPB9oJO4NSibCzfII0eOKjb
VvOzb6Oh2nOLgaDEY+fPZSlbVxwlJGkrwSmY3KZuSePqCyVWPYPV6MYwYH/uIAj21qYJW1Nzp7Ru
Xrgoy3cAk9oj67QktoLUtq2jD3mIistU90T9kkHaZ732SwpIoOS9c5fY1jzaZcJdlWVjiog5tPsl
iI9/Y/NtlJOKK0deSeUOvlB9ZdYVCcGjwoXN13J1ashuS+XgoiQ68jJHCWN58hBmLbCDWVU3SpLl
hyzH8+DKlak+jlHFHt5bcKG8oK+UTdhI+AYEYPStHs6y7rZdHxf3nMCSjT02wsO4B+q5NLDMAKmC
teY5YcXOpk4TO29Sz6HX9ERpkRWXNn5Y5aJGk+JoldcDtONWYaYhQXJTPsdQMalw77AUDvVOblR5
Z2Ugli5LwcqTxrVCdh/hhze501WGp9dhkrvd0kvmsiOTjpg1XfIwGvL4W1amtICkO6KWFnXj1L4g
mnGEhydRrDb6xTCr0ni57Ez+iytiend8WfrwlDaq/urYs3M7GYOS7DPJhEsoRUnCZS4PfstVN1/n
iaQDlm1l49jDA9Uh7Eq22LLmjshfk1xpr8o6MOortRznJyOoRH1eTwOE9aBfuNhgirmOs+u8Dlpt
9pt+ckrZa/MFpkhun/49K8ZE46kQzW+GZpoAzBsT8XwqBGbn0gZsNvt9Vw2DPwxDfpV1GJIBAgzs
fgpCr5EA0UTEZ6ZVRL8lDuyPVhDOrQdhVcbOD0+MT1+TaMcmah69wCTOtbt2pFGDs6sZDmiUp/4s
cOgf7aiEjq8ViD2Op8VoPAKhc0pfAPs2/NIMHeDzC9oscTOExXfEcLLBipI2IEsXyRK8Wy6cPGxc
H0WS2hHXFTUuaPSk47MD9x1sWkJ0wqaTOv2a+6I1cT+mNMHmo1t34ABs3COqGkJ1ojjaEkjIxZZ9
pIKxC94xuQLGakl72A85wEu4oMp5reRT6GdaT71dk6LuRzwsuEzdzC2c30Gab7WE7v7S/aKfheMS
p1toxLVn6ICKziSlL7SNOtAUxyyew8sEZBjfNGW9vIPaUH6OY0yXil2xO47RMF3RqR+u4ySfgr0O
pKHi1FVKVzBgwsnTNdHf47XqaWuNozjI6UTKJhKmCgnQqGlPfRQ3wTk5cGhcJ6sxz6rcql7mAKzt
RsUoK7ndrEe57wy5uIN6WV9EGnUpV5jA2dysyurvYJI7PMhtO1HJlBy5OcuMpDGuIZ9YYFYHkXMV
R7lx1qsjx1/65voFVj8QtIFGwIGX1xMATb2Tk8M0K/pxrC0LP0aqsH/CA4t0T424RbrWaDSD25l9
ez/PAiiDsKycq2QU2xcjBJXgQtV0yh4dxyrZHSOzuVsCOn7McPEvHa0cok0jCHPwjcSyroNIN6+S
uJyf80ZqdY9/V/UaZan5PFQcnl2H9/UAQbIBPRxb6hHjbqoyZDQmbiAy7TdVvPB72oPa4nIeq73b
c/wnSbFyypsKqC/+OSGxuJTo/y2WHkDqm1bWR/mOTvKkQ5MG/kk9owtYR0p2ZQ4FTXFpIiCHHkkQ
Q7PTzLr9XY9J/Pp1WfxD6WvVylvKt29KwqkJNitoB5pp0N0siwbeTzA3GX29FkZscCoKel31f99F
o2r1fjgAq7KcBnTRzFH1iXT2yAaVrBQQY3SiWfP1g9Ghfj/SIFHsUPu+eCZE9ZqyNiMRAWb3HLcB
bLVb1bn7+k2u213rR1vV9slr1tgIaYqWKS1w3mYR33w9wrrVtR5hVUo3ipLMxqkpnqn1uIuNTXoa
xhNjfKgpLvMBMQ5KWXQriANXry0uDRpPSvFc7Jud7ls7af93YRv/1b99M8TqRY1zY7T2qBbPyMg3
df68xCZ//aJWNoKPQ6zeFE5CBdIRT8GNjKW/UN3GzX5Wfr2Zz51v4c3sRbuvh1y3Of78Nm8eapkd
b74jA9NsA+6/eI7sbqfHu6qjELbTRbHLwrNC+oVx68RDfjrf3oy4auao9dTUVsqIJk6ioN6Gzakm
5Kcf65sRlv/9zTNRz2STopz2LEvyVpf0vQkVOgjO0+aE/ORDb2799laV7ADzb2x1U/GMmWKPINSb
rJptNvO7+gDA25OVZpsUL7VyEun06TKBQAv2zCIgNlbzneLxXNKgLJ6t7+g4zvOf8bkg4MFNd/p3
SgWpnxzA4H+fLif3VILSp1PmzdCr74BGwWTGql08986xG39wMQmH2re1Zzm8kkjS1bWHr+fop+vH
mwFXXwW65kKbaqt4zvninPYn3n4PavSJefn5j/lmmNWnMNNgtHIAYywhyvb25gYMtw906MQwn07/
N6Ospj8WjUjrKOI85xZhEhyz4lMBoqemxmr6q5MuoaDndZXwc9sNJQtlwVR4I8Fap+xVny67b55m
9QFI5GorpcJYwvasrfFgPYBPzk+8MuXDKCQl06Bkniuk5Brm6pepZhHq6jwqz6o5DjdovoDW9jDm
ZzOZ/SlapLVVGx5okGkkLhWZx2ExfUxICvC7UUeynjT56OaOqfu1kHpPQR6HMLS0T/yh6jIT3zXk
HHBQhr50yWnZ4qZ+v/JoalfKaVMFjwhG6cRz3xlTzyLnKvKotMax31aa/Zov91i37BLIF1gQiEzp
tcb6poyOBtDWmIsLZwrmxxRjAL3+QRta8nrVtjxHeWCR1GI7VHQ7KaJ+ubTF3V6dbSzAGoTgQMXl
9vXX9/mmtKgdFtjY4tB4/1BWRYc1X7ZvOzmD7m4I1zw29+EP5xsly30krgimObUTfvjFV8c79f2Y
eZK3saJxCsrthLPzwxxcT7y4kt5veCoy7aQwa7W+IEOHmZRzuMuP8VV8nn6z9+YN0j2Lq/4lGWgh
BO2X/MTe8emi9kaLtprTgdI3BrIFznnT99n5VZYeyLOvf7lPF+o3Q6xm4ySaJKe3yU6LsM6VlG8S
81Bqb9K6v9epYRfd0Yme/oz5f4mX/8KK9eb1+8f2+B8vRUuX5+qYv/znv27i9gl7bvEfNL6OxXPz
PvaSf/T/x16q+r+XhQjtL0JEJD38KsNL0/7nvyR08v8GLIJ7HPGZznLHnPjv3Evt3ywFrH9AMFVA
M4uivhFdG/HPqca/IX0pKBoXowHKgr+JvVy+5v9ZwgwQDRYCG/wYuoF0V1mzIskarsq+K+YrYxQS
XMGOFnMYkhcSp34oQdV985Ju/vkXvw21XGkyl/FQFGGUoOAIuAGT0vsvvdbzMVacSL2SCsKx5Egn
5D4WETUvwE+D+iArGYW+oE12UnCT57+lsKKwU6nTiWXuD0zp3YND4sQaRaEHvZFFufD9HyLmHEJi
I8RVqUU06Lg/B0UMnzgfo4uqOTZ5Eey0mKaF0CPrrK6N17AZvhcAUXyQ6sYVeoBvnXCKXa4Nd5Zo
YjjbunKr6sFZC0B6G6IL8asaPHOPGM9vwx5Z471qlvCw40GcWF7IkV7/kLj2cZKjj0YZgvxkdWUt
MVTnhGSoB+pJYeShs+zI4XkyEJrHzVZXzzv5TM/O9XQfttu6PcuabzG9yxun3Ceda8HPkjzzRZzn
Ka27HaLxxt7M6qaOXPY0npeasNscxGESl0m8tQsup2Trwh0H5u8bm3BvVj46k1C/zR2X2gduaLPY
qs9G6qbSFmHKfDUksNDOol/KAxj6ySJt61yZDgB8qBeLzAOPVvw0oSVp4qlQzk3U2tZ+KUIWPlTi
zrNKaly+0/sOqp4cX/dOq7d55HdEQ1m+Nfijsc0ARsb0+TxA5Oy/5W13QyyCyU33W/nDutfuHbD6
FGbo+6AGIp5mmze/uAiTh4XEhMaydNlvzd1juKF3Jlmu8kt8k345lLZRMZjbMd8GEuCxJ/BjPbWV
6DBrXvtEg7oiNZNu+AWhMA+VfGY4iD3cyXDTnO6kayiuekgO1t7wre/4R5A9By+NtbUhsNPavAgf
+dWM7w1PlZxNlldxMLgjL3QX7PQdDBhavIf41wyanYyVak+4kHM9/NwGB+eyuwiuJss17sRFu80u
x98OYo1DUXiA3PGOho8zoV3edF5vjX1wSxONalAaeWN54HQ4jjvtppcQDbkOvQs3vXbuKWFezvf5
Y3GwjV1e+snohdvAU3fDaxK4wbfscvCcS2cfbWS/6d3QKx+mvb0df4Ze7ZGAQ8apRbPHRf+ZQXSn
OY1ewitfk1cHa+krMphE3ve2Z5yTeLIVFwONZIglN2BNhM8LvS92dG32VevTKOq2/4+989qNG1vb
9L3MOTeYAzCYA6bKWZIlnxCWA3NORV79PKVu7N8qNSz0+d/thtu2LLIWudaX3iA56Y90VT5PycI6
m9t5Ye0GD5Wcn8M+21snkDvC5GT7+RvbFil0xcYbT0Nd/yh5xak4qalj9S7ImTjFBQ/EpqOLdN//
Otb+Nwz+H1hIv53wH8Mgns/9u9h3+/q/7cUVQp98czAGSMoxe8sk/wp9kiL9hzoWXzoOLASkbofv
35HP/A9xEI1g9O9MDrkbI+nvuCf/hxh6E/pB6fKm3wnZ/P/9X0y1w5/l34Gnvfv174HofdUE9fit
b0TsQ7QMMeJ7d+VBrgP04Yxpa8V5x8ZnQBQhq2NfJRwohmrqwKNMnhoruffb+vxDBGQ5fgu4twsD
u0RFm1CIigHh8H3cEfHVs5B5wgAqmlN70BPdUQS5WEq48H4SbN/Xnn9fipY14lJ/EY/eXwrMeTQh
RdxsS9xKnLQbOMA0/TPe/JuYzv9E0rfLyIrILFbTbhq19wKbMQ4cGJu9YRWAk4mNGfmtqAExmfRh
3cXi6GtpJoF/aK6m18lJjVOCEKgAMdG1hZgwdXDIKop+d5brZoEte4C3l1RWN7s7Qz7UCo12Z1TF
+qWM0x0vHFlK0U3TozRMnN5DPf4Y4kh4wRsEC44ZQvPNlHfYDwwNQ4YG0XROcll+VPuxfulCydhA
annV2kQ8gfHEbmzAahBLOLHGsAue9ldrloC+/vm5/8PDoKZCKYhpgY5e9K0E+q1LJUttLkuj2G3T
0YD0wIzBDfpr/skjf5/OvT0Lhe3D+8V/KlLR76+iJ6JKmmK2W22OsNlzlX4f1WNFXz74jF5j/NMn
wjKdOhHtThShb2/6b58ITSK8GyogbQCF/HoSsZPO3TpQ/IQDuf9ObK1kvFoQ2a/S2Jm0xu+HDugC
NksddMbmKPffUjFZgXX5GQqqF43mIrcOCvOLUd7jMOak5AnRqLha/mRqudsTFsd5cEZlKzXHIV6L
nVO1ZwAtdnSjTn9JhjUd9KxwAIE4kSF6ISLUidI4DN59gZlbMi+kqMKr5ksbHJJyOqUACK0AqDXj
qeQ06T8DkEdzgt36mWzcz6R1AMi2kvaYeTmj7itm6MkD5hOAdJTsYFbysujPTdK4n7wtt3TtblMp
KqxE4LQQwhE8eb+4OEwVQ9lK7baMYkzX4oIkphD9JC1+xik8jgkLja0eoolRlwCBZka2UTdED1Ka
7mMoX76GlY+LwIC+KZt8tPNAZH7XP0N08Af15yDdfPISdXbzoWhOCUCRYxqXBEtBvXSGNLtdpCiO
1F6ZMo/Sj6zSulVqaKiMlYOx02/w+EJA/7DBUuyipHq1wt9u5EkV0wIP8Wj15/W4U9b9+8UG13Ej
hcqsCXHh95cNuKRYJb3ebbWWDByAVOxzIE1rxGKZVOIv+8sa6XhFBn30BB+Y57AtZHxnryLaEpbu
DIFe27GUSK7GBBrdTVWxJXGAnKbhRoaUT7m8Bi3fuU9zT1XTzx7oXbvxrw+AjCyDI4woCGO3nfvb
bhH6SItY2G6bT6PqJDiROW2Ie1ZXMVlrsalZZCYwztFE/a+S+i9G8mnN8w+hhzYVZzVR543G/P4W
xkIdxFRO+61g4rIFsCTZCNgxLTAA1j85h/7xUsRW6AyAVcT7mFCoUV23c99v0UODHKBOkoeRq/gS
9UP0yVa5q3z+WlkaVQZ6BrBGKH7efywwLGaLMEy7hcHY7XMzN+Fm5sppBN29YTGAwkUz/cqxSbeR
JGKrJzetrwnltDSAJx6mvtR9uUvafYNm9ifwd+njiUyVS2gU4cVoyJ3c1WWhUc5ja0r1NmwC2Wsj
fbQ1XcRSLGkr00GYuneNEL8dq1OegzpWXGVMgqVWjKMP7EZf6Nk4LwUhG+1sHsR9qE2fidp+TIUg
OBG56cHd+O33nBA1CCMdUYhqiz0zeixFU3oRxsMAk5tiYYCgWSXtrG+lG9rtz7v6QwRBMABTMtg7
5A2o+9zV4DX4o96IimIDnM304IRUboh587+NvCpZHlkl/6KFBAHh/ftRDVY11NdE3eTgy30Ru0gb
sZDPxiQfnjN9HPoIN4F+9XZk3x3YeigC5J6GeZNP0kKpmobBGlhKstnaFTB+elu5/y04KDh4Pv91
Y/pQcOy+NW30Lcv+se92+6t/1x6G9B8LdS2SIFR3/qow/q49dPE/Ftr8txcC2BLUvv/WHpL6H4gy
6ABxPuOTDG/4v8WH+h/aYyYC8gxtYbAwlPg3xcf7d4UthtIAchU34azbgOPeB2WU8iwfxTg/N1cR
dFct2bNoXoYR4Ft0BZX42wL9Q8Xxfn//dTUEANGnRGNOhzX4/v3Xk3C8ZgJy6kYMbS0/yXN4GPEN
L5VuVyoRbsuqES//9TU5+XVEnkTEDhAAfH/NPAkiRhPX9Izj3eEaW0TX7rqo2tgTh5LOj5xuYkv6
5Dj5h2WFYnSbxNBQpbq624KDPlhQVbLsLM/avBw6c9VdUToUzE0W658RegktfIb/SdFYVxqzKMtz
wdu6Eubef0Zy/QJdE1E/Wwdt8E1s1WPXTH+IV1vCda9NfsSg+IriuQ8vUnJI+r3ZHZRiSUOsCRwR
WS9QmNI3a7aTwO2jH2b4wywfr/WXqD+Kw6obfinqyky8viMX87PkQW0PerTJwMdrXjw4RgQYc2G2
L3NHvzYkq20c+aFvVm3kqltoMJE3KT+m8kEdLlGxz6LDbLzowmKuFqa5CLSzYriVfBLVswld5EaP
q2XZHiscPoVFSlsN65bFVV4KYeQKpuHgfRuslIWxVqrwraljHKyn+ZseubnWOcSL+AUY4yt26qlw
hHiOE84uxuyqAudfHmF1O2r+0xRfJvOimUimBhh3U8dVJ7l+BffvgnQC4P1zQFcaH5jCssPeb5XV
wLCJ0Z6t1M/BfAoKt42wOUVqsR/4xJojTM8GIz8JDGi8aa60DWciZQWRbyNW64qm5bGIHUDiOqSe
EMNay+ddCCu3STe42hnjS0/jU11g8xuXK+OzEHeX9/31lrx5YqCVp5Jd38X/OgkbcMmWfh7jHKKi
DlZJxVnTnUQVgnQQqL7Zxsq2GGvkIoX6oezU4d/uCzYDKRjjBAQUUZa424yT0XVpOunquTO/dVMX
OTS+Z0evRtDweKV8ko992IW3rccBybZXbptQeb8tNEHuwAU3+jnrrccgqiLb0CGLFkOyvTbRZxon
Hw4382ZFRL+b5IqZwv20MhiNQeiVa/ZwJe8Fj1a7amc8GhX0mjHf6Fb8ODUg6/98ut1NqHmoXBVV
MMQvEYxByO6u9J0QCRfV1Egfmkl76YxllOOfi4krJGEzrUEJtyCfIv3qtem4xCCOd7mKHuJ8OOlj
YdptbyordDJKD9qsC3n1/Of7M25r/O5ooocGRRRhP0SDb5oz759BLGvAUeTQuhTVDtQ+T9ugT20u
Ndm1qOpiWxWXU7qU/OtKHD1MUQH1RpUn/IRdNIGth9Gm2RSCAN4cWuS7ZiOt6xUiwAsM03tKzdqx
dpACmsjhC6Fv8vek0aX1KjkYW9OGAX7vwwxUEUSxhR/Ctl2XOHTY+h6z00u0ljfN12wd+tEi8GpP
NpxCsCEIS4kbnLWXP6/G20H8cTUQOSI102Cr3QVA9OtMDUw7LMxHJBWV75Re8HrA1+HCClYTNvKm
fGScIR+zDQtxBT0kulWDIQ2yoHbzBGFRqJ36Uu3GTfKzfOVzGJVNO+HP9/kmnP+n+7xrEaEFPNLe
iKwLNPetOtmj6USrhhZ5uRSWBcfoL4m1fU73sx+chmfpUGynde9hWRvsU3kRRE6wi1bWMqRbf1bQ
fXVozMTl0urhzLhC7WYRvqzunG5xDjeB8kQu0uAjfGoIzK1DBBtMO6UPYxtLYxOsxqN0up4nwcaA
paL1UjNhgfXh1v2COYsyHxATnjW/ZQxRHqfgm1i+dN25qB2lsdXnbB/Ypa8uq0VyqnblQU6d8oKO
5uKzzPsttb5fNzrFgCdpdOJNcBf3U/CBOToU5iV+EtfSQVrNh2Tb7vO9ZWtL4Yv61Nr5qa95W22G
WCCjtQ47HmewfDxRE8iUX/OrR9fILJ32umrGIwOwTHAKyWlah7+XNQybPCP2qZWj2kOpxxyRb3EZ
SZiaA1obmlKtehJTzG2y0VK3wG0D61lPiNZ1xabzs6/1RVj3K/MLxNQv0m7Y575wJPAoKBWdmLDk
0LA4PC69aGvq5cbd1lz2Q10uFRWVdl9IFuPM7MuDxitCRojsZPfnt+9NwP7jKpK1IIWpoF9/F6im
hBwnJ+e5BDtIRE/9WllFjyjVuNm2jlA88wR0hEo/ah0dqzdc4Hf6qvezTbEBRuhap3J19WQfvSK8
tr/QP8925fLPt4iEyd25RveClgIFI4MD4Db3gJtKLa/1DFP8lJmLOF+AXcc+zmx8nf2IUDfn/yat
Aru1vDxcheG6ileZcdIxmC1WorXWx01bvajWo9mt29Yzwp02OQxnp2AJo7v+Xpl+ONhdue5+TYco
cJHNUU5FZzeYhDFV+5Hi9f0tPFa/ZN3ry8dwejabg3T1+HOajBmTrciZRsfsPWgjN8i5hN2jG8uX
uXTb2p3GdZnsmSg0Gay4RRb5cbjsjILcJnIktp2lHLJyPYiPBsSwKdnP6a6qF1FyO2TJ/uLEsOdi
f6Ph9IblysWjruwty2VjDv1Pbr7uFjQ9k7PZ2v0r8g6Kfkn7TSL7JSKAwkKfXidyRb1YFpBleh3u
taF4KS73DfPKTOUjcjNqiUQPTZsxQegNJSvWQHN4RYsotcVkXnZmaGuuzvRwjCS7Mbb59WxEx6Hf
tWaMDOFTDA2hAH/F1NIa/2Uqg3DODWrFVleYdKP49z6wBbnc6vMciecCdjmsu2QF017xanTwnbk2
Pokc96kMAw1Uo0zgYVg+3NTN3l9NzBNVZ+TQnGnQ/GgbUjcFNxDmFhBFo+rTVtH7dogJlIxSVUOR
91Ye3pAh7y/HqERvUQYJL4kOtbGX8BWkDfydccItz19HiSo6sbEqhkHZgs53sdV21TlsllZlrJtS
+ZcSVrcbAqfBPIWbwtpHuvegEdC5iMXoKp4lM/iCfbPmkzjSY9W3IapfdhQGi04hqAr5CWmFfVwb
J00vc6oR8WRMavYvC1luh7RGw3sDlXOK8bvMkrPpGuaiPJ+DZlyo0EwjFaycXtf+bWDjznkZ2Czx
Z2o473uZt1Vg2GiQPuAzgmj3vRrONVY6wyx78dzH4OEA/InOIAESu1a8eX8+4e6zWRqEJClkKeB8
WXjj7vUWwkxF1STvz13dCai2wRlmMMksJ6Ky/IrHr+6mkur/+aKkyvfHKhhLrAN5yVnVm7Le+xfv
2siVgou6fE7TNcjOPFlF6g8rU5y03M+Zo6KWYO2N8FuRD7YChzaBzaqIe1PcafCZqvJFqx/U7hxU
T4V4vF43xfUyVU9T+4pbOh2NSwRmoHuNddjBW7LltNik89KclkUNf2YJi0qCXAIMR1JaiKu585wj
jJYPTrIy6mUKQVhFTU8yD3PjxfMSuum1QgSDXX8s+p2mL6EriygK1Kqwr+elOu1S4VdJzTHLmtPK
sR0IvkHoxXU0PPfW2SifaoNKaGlwI+ZBCH1Z+Z6VT9rkldd9G7qjviTGDcYpE1eWtmlyVyp+WVCD
mhYLhYNp8KFhlmcLfH3tIVtz8s+CZwlfzORRnvdydKbCNm5sIWzcWEVhLas/g36BUIVU7gvlFNcP
GeWt3q0TaRGNKDBMq4S1Egi0jWsI25gJWZWbHpZ7rqIBuvH771EpOGbxTZJYU+1riwkpGJUKx1XJ
iVqUbE7FRLGzbGK8LVeVCRlqRf2sGw9D/xDxpRh4OI1yAX9/NZ96y5cgbSlLehRxQOF8O6vbylOY
fWmfKKx9iNqkZfTnVVCydF/ZT+9frzouxtDQAvUcxWFGwa4zUavMDsNhBQcvFFTQ56iMf5tNg2q7
CbqpeBypXPY+V4jmEAOsQlTOs/6jGOy8ublhejfpRLPcpPWvVtiLKTL/BNPwpHTrUFkHxUIKdmr9
1KEKIbjt9UUw/cxALmUn5/tYhvmunUxKAe00YQEXOiqcdPoJJI3NGmF4uFONvp6SY6ve9CFZ2Wld
l/5gucNaNraFnSuPZHXzMQAnY52soffECMFJVwv9AR5xgHKm05rreSjsSlyjt3Ftf4YwSWHfIzv/
I9AX8BH5E+s0pLv9DDJuPETJcwnQCGU8pFRyW+q3uOBWRmkbzZOBahFGCM0hU3ycGYr4E9jZXz7m
v2eNt1VGLQs2DpMUOn53NYvZ1gAaCkU+x8qaKS/ZwrDNVtox8DJn/DXAZ9zN6EI9q4YrMWebAPTa
yaTbQ3ASZ/Q6atvPKUmvxq6Ktpn6evtFCB0mzp8YSuWDmxX2XMGItsurY5GxX6Z9Oa8TYxcVuwO6
EBK0i74ga1ZXKrEZzcHr0Hmp8tybLEHJT8w1VrlU+RAgrQyy+Lcp2Vn0fCzGfospvkSxJ1+Xwmt1
lNqdIbhSuEF1u9Cfgulx6AfkPGpbnr6F6kmpwBa1O3VeCPqhUmzEJ2xRymEMciA0h2n6ZjLxQiOg
M85CDJSy3w5IqaO6chYFenalI6CxZMp2jTKAZg+z2+iLSLHz8KHVSi/oXyVmqImQgmCCCTjdlmyi
HuzTJdozWrOTKa4TavjYBg5fp1dbN9zpSdr28q5WFvJo6+Jejc/Nt9ENpeOYOdWMppewy3QEF+qD
FuyDZHTjYaE1PxTOtmgn96gydoMTjNq2aI6t9iSFwTINKcerQ9153zTAYlr/Wl61bd/FK9gMQNbQ
Rru+MkvNjZ8i0L46r+x2jlBSWRRNa8+1b3Tfpdgx8oBz3VcM9PmiddAsJhCFesOZmcJTUR/yah1M
q2vqVj19vb4/hrDDc/21yn5oyoNsN4MrXBdayvybnHmZTGiDEQtI831Mnx95mIvi65P8KlR+NC/y
AK1UNzkLj73oSj/AH5gUL7WvjJ6F0k3qNdddGqEhbA+nbn+dKYH9gV3uEmiyRbSaEj8wFmhGgVfz
6nQ9ZW712KUb2qo+xM7ZA0WGsoESrkR3W2WL0dFCFE+gfO/i3osMX19aLuJwtRO9IDZSfg03ll/u
02/CESxcLtnD+er1q3EJ2KQ99PRS9RV6aNE5+opS9xWvo2V9iRPuDo3OGn71qtokX9B8CpzpBAlU
/VJ8UvPdDSdvqY3xNp1UkBVDb/A28Ph9KF2Sy+epVcjnpElMb4gRc7rWA7xeAhfTwtjtJctLRLRe
rygpeSjEuXj/bTKdxk5c63uEkh8him9bMf0kZnzIhekfQj9AtxWkFLNdJju/3xlj4zwWAMickyjr
nVCTSzcthvjfZpQ6GS5VhHGTLkU8/C4yKV0c1GYyiWecZek+a/2TGIlHVRwo8udvnTgfx8T65MxE
9JN7f3dm0qukaQkoi8tzdt7+/DcoACghASnDSTrnGSrpjmi4ubikERXPnAR+Xbj0v6+Kp0vLQt4n
wiLiPZ2fMs5YuvDVyvyJNs0rxw8yDrQs+mxjSOcwKZ0rECjEXq7DPtY4MzZT9LPXj/P4U8qfjXYj
Zq9Df6wTrCCeiuHXbPqMxofEAQlizMjEQUN208TtNYecU6ILbxu1zzuQRH4xOc2EWJRXkkkl67hZ
FYZ7BTnVO8gosWPGmJPXZvIQZWuTtrIPKGMpb2hoLElETq1HMenQL3RpXS0kf3Jqb/BbL9ybJyxS
fwWP6a/quQQ6Wm6Yo/B1TI382tO94SX9kr9KL/VGWslfp5PAz9pxRGgaGJHIGMUeS5cfRbicJT+d
z4OwnIqVYmyv46lYmMqyyl+H9PuU77AzEwdgQDsxOXTjSmgLyP9Emmo5aJcE54vyOXeLessGn2U/
rtdSurFo4oSrLF4Wim+lC7AZBOwCUTckBUM2tPhQv6SVnb9MtLlLx6DfKXGycQTa2dU2XuLXP+fq
FLofXx7QLwzsbx2Qj9XI1IFmNLN+PkeSq9TLq75Mki0uCtLVDyyPpJLfV3VXjleM4GyUpHix1a8W
pFLVG6qHwnjtyz29eHO+MQbpMqrSYogRd/Ki2UcxLKR8S+ywctpz9iI837Tv9q1Dck2HILP1Sxd4
IzoIuScfgsv0jARQOvkwm7ST+jw8Sb+ic/EEKFc5hdtqyQ2t613kp3wD62sGRLuxy21w6H3D4x5X
xVP1TXvCDsVPC0SXnPTCcf8LUCBoK7rKku7GkttXdswNLqODscwqW0Sp3UXNaFU1KD486Afdr9bR
1wLgFzo9XrvqftEJJHBKdvui7ZCi0nbKTvMsB37DIl3obuuHW3DiLrRCv/GoYIRvCQ0aNlTiKF/p
tYiXYBs8iEDEWbsf4g95FeLDaSMDbiZ2vSvX415ZDkv9R8tp7ZW+/Cp/STYAz7VTQevzoQZv9cye
KioPxhpSguO01uihSt5cLEVmVsOPyjhNw2pSLlC6Ftp1a0V+glAZyGcVIpIdFbZxFl+KL+lOf+nR
EOCR7PJHpBL4YVQeP9Am04WlXiJe4khg8XUnSp26RDnMG8el1aLBuzGHXTmKdOue22k90sPkfH8d
lsYCt5tupmvvjdECzMlwAgcnPY4/tJ/DTsYd0rQbvpOJmLczpx4dJGFYNjpyajDx/CpdtNpC7vZp
BhrTN240OwfsWKHa0c+blkxt6wmama45uWLvB9o6sJD5QHfO1yQ/UBCK881yHY2nlBZruNT7X2pM
PnVRGBEPy7hetCpiJI7SHkZKE0QIOpff7A3U8BZl6XYjR50N7isNHBrbDBFHphaM75hEflJF3JHF
iJCwVW6THmg2KinuvXilqjW5aQT5fM57A5rEyA4P4mtmpwPzjig11l16lpqtLvdHnANAKcquwD9O
Lmq0eJX0k4j9oSPF7RA2FJ1JIvO1+1EedBI0tfpIOkvPVmFNnqjBJKtKxhpX85M4xajvw1EDcIbM
wMJ3C6Hl+24Eeu/KgAzOfL66+bJe9/vrdnwCUOlb3nhka0CXmZFBjdb99aFKnQZ5HFrEj/JRfZgQ
szrSJU+GYwLwno65QD1CJezHFqJdjoxsDeKL3+dH4KCO9i3PHUWz0eDHrC0rMRDxW97to2x4eXeA
uzYOnoHoROf2iXctkbbzmdeIx+TXbaMfppd+WCrJQ6jup8FTOJ6P07HayC/NMlzl2w46fbiI4Q+k
C8HrNtNRddMFvdUvfN2B4/2p+DZuq73sj5xLyh5oYJ3sDV7JwG0TT4Ma1KynGO/u3dwdr+kODY8+
cdXjNXHo+KroUeZegLXc4AnGSSLkIOtl8Gyc8Sg83s7GnXjk9tHLJA1/FI/M18Rn5ZfAGZlt6BMb
oR2gEOIyh6Eg4ozRj8pZd3W3dCQbwdEt+a2vwk+WXWxdfzUQpyxbeCxercSpWiRT7PRxZN+Zdv2T
hb4dNct5rT9HZyji8UP5QCkkrKvTTSrw51Dcoqb1wzqOgqNKQNAQRbHbV8Rvc0ZJ6NPIdv+r9Ipd
fYifaZuszX2/tpb6OfkZEp/HdbPNHrTv01repa+WQuMYPg1NYX4WruvkUVEYK6OOQgltd9JGU25b
FQBZNpzaYGO2e7TPBT8t19mwnK7b63DquyOquqHqx2CEdVdA81DyY5NDh+MBlY+F1S4sxRX65Rwv
4sgfDYcuhlo5+lca1jrakYmbt46W8LbY6RersG/IAsR5vKk7Vv1OlpdT78sT7Kxd2jqRjvKjIxRb
od9l3UHoAifVdlb8VIXroLWNTyCA/7BnmVQAQlJAKOoAQN+ne2aPhV6AHu0Zynl1wB8HefRcuqJp
eVU9rFWnf31GAMa+kdrofYCqux9OJ6U+JeMopOeAhrLTxSYnZlOvSzH9MZlYUf45I3kzjHqfzd6w
3wAILUnC0NS861kiJaoMfWSm56QNKnee8ldNLvqjYqSNM3XfwcAFOIB6YdSVHkRnFz0ayGNFQUjV
CVddLtN7ahnVT8KiA8fvYB7Q+VbYfv/zjd4/BlaebtCtuy7qmgrj8v1jqK+wCLokj8/VbJWMdnpe
U13vXIod5D3lfvXny70ROX5fl9v1kPVlJnmDQRhvVcBvWX5aWflctVl8NuN53GT1tL0mgemnbdQi
AjB/r3UqqimBNz6ZM4OWyDR8WsOFU6pZsxkaakY+D4bOCZRCHcFt2nqVsa0g+P/5Tt+gx+/u9Kaz
roOiIKqwNtrdyrRouAZpo8wX+WvP9aSbFkn2IBzUhXYJFqhNeOWJeWl0CdflT+ULRz1D0fhrljqQ
9chXGrDYyRGF9pwErOA08aR+j9W3EvtC7OMJSUqi3RxSQ1uKif+XXt2rw9I658kmlDYFCmP1hiyv
zpwEmURoi5qPDOgwe5o52FG2kjq/b0gifEafEPcEdEXzXSHTvD0JwXkk3U+8uPboCZCITBv+VxHs
+BWP6ROUAYSjBpAHKMCBVoBUxxCFdIlcjnj0peP0A2NlOKirRonbkARqTjV+ssRvoJf7JYb7wViH
f+i2350ByCbc/JMz8TJXzbboc3wyEYdysohAifCmjPCs/g1FPHQCUrKrXMTpLviVWGm5Yihy/OSB
38V1pN8VjbiOuwCGZX8Jdv/2ZlIKRzpbtrjIciwxxckOqjoOiyD+LmE9bheP01AukxE5rz9f974P
/HZd2FY3E3C8j99Km9+uWyhYtettXFwGS/CxnkEs65rMdqyjHiXHMs0svf1koPJh0/NRQf2SudFJ
gE5910YQVJxWJaXOL5gdDl5jbCaYMBR5ZPNJ/pmG/z9c7LaRUOwEawy9+a6bgICWhi6Rxrom9TOW
byTYivmzlPrHKYs/y0zvkzO+PU0EoA2kg7ewcte6UWpFpLkdjpdgTmm5FS25tszI5s+P7C1YvH9x
NUzdcPflPQEWe08rTlQkvqRaHy7mjqYbrVf7+hCh94mZzMz2J+lzTIreeGlmRw29QvEmGAHddS4e
+3hVFpskOgvWobpuKs1LAowvNVi8fqZ5cu5Wnddf3RFl5+ahat0sdKUWGUjXUpctKpoxJJZNJ3kG
haK1CVUPpkQzL63AszRG1K70i3KSqfWVVAnGGNoqD/mD9GRcoeoi7etUe3Iv/jx7SiGb4b4ceVLt
hGSfg9N3TsnIMNuXitfFy2u+Twx/fCvi4Q6ZgjMAvan9WvFCY5FsunwpBot0XAy7YvGZI+r91I9H
ecPL3TzfwIJ9IEuoooDSLPbcFzGdHUsfDsz47NmSr87QNc+Y4hwi2vl/frAfcIk4Algac2Zeo9vL
+pb8/74ZjWgsMpgIF2aSCWXg1Z1QnfMUTQPbNbSqi5g/LaEBUWChC726rD4bL3/82LiS49eHzwhq
BsZbWPrtDsRwDqNRuxaXTFCfsjhHXFSNAiepi9rrEll2k/JXb5TZJ5/84y7lCJYNyCk4jOjYjLzP
A9oebdF4qJrLpDftujMXAlg8LdKcXAqFT/qL/7DKJjkAfAAdsQYDnNn7iwmd2AdjU3Kx0bzUorRs
iwyqObp947EUiptMR58hYc8IKavKTxLBf7g6yFN8gEg/SM2Me3tmFA/lqMDa6CIUosXMAhHMItwp
vVa7Whzvpu1YJwlDwPCJydzzn1+wj8tsWWAPFfnGeaFevTt5ZTWuQjx9G0jtLYIKMnWNaHFe9Lp9
tdpPz6kPIY2r0RbDZuKG6r9vZFuj2ADx09oL0IpuSSNr7FboyYZ2L+tPCsLqDqS0m0UEXP8/f84P
WFAg4HxKHjGNXFApivz+EUd8GpwemIDl+QTIrcG6Ajx00V/6TtgUjcIulhlJXztDgAypmA4IURNm
8UrHSHcpVZnod7PoG6OqX1rm7J/c3m2d3x3gkI8gsxHtGewrH+wxkyoTbmLt4nmqO9MJr9OvaKhx
JCirFsVKpvskAwbQdUaZFqwf6mqK6Dr60sUIROJ4ovqd2ZderpPuVcpZ1rIeNTwQb1Xyya1+eGOA
qyKopKOLouDz/gb++u08wHx51K+FXl2sCvz23DIxsapacgI5/R7VIMr+vDIfAihnACJT7A5w0aRm
d+eA1fatVEDPukw4IwIpB7eSBX32yR7Ubpnd+/WHAE9qjegJ7l88ivevx6g1StmiQ3upAashTWHJ
L4p0PbfRvIrquNzqKmi1cJoZAqt1tdFxzLAtIVN2eB8fMB+wjrC3Uz+YgfdcDW096Om4r7RY2aTo
l9n6/KyaqF0VTaIfrAhzin7uJX+Wv+NzT1ERvFooxa+4DbqlNIXl7Lq3ao1ud2GpTtZMoA1EEpVO
FdZCGpRnKy/cROl4ADNC45UhInNCdzTozOE0G16Gv84ZWMGkdeXRqJHL6eJP0tOPlZOMlxxxAQIP
ZSxKVu+XrI0R3OrbLLnMXZ5gc8NIeBDr0sWdsUQ6nJZfnHTBGuvEI4f5A/ICo92J1k+xE3epHHjK
VR2+qLLlzA19gEa2Gh/OtPpJanRHSTX5ttwmt8j+Mqj07o1aa7kIe8ss4ouGNftCGQflIHWI6IRD
h/J0x+vUByVogoqSqKRxqjBdFBv2ftTXglth5eAKSD3TyM39OZ2Rh7HibW4MEG3VfhFnbbtVhXDT
BZK8/POr/yHy8iLCB0BhAVAGZvd3JbvSF40QaeNww3VZqKg09pYJG157ANhNqOl2Zl57999fk2Py
lnXghMpR+f6hjrIGThcl7rOcdN9xe/6ZR9mXLEhXuRkQCpl+IVfl//ma0p1J8u0ZkfVzsRuizrqd
K++vmipKI+toHZ+L2P3/7J3XctxY1qVfpaLvoYA5cBEzcwEk0tInKZK6QVAkBe89nn4+sKRuMVUt
/hUxF3NR0dUMSTSZhDk4e++1vqXl+JaPpg3bd/ycg1QGBxwoD3p2jhuprfaZgXIHhSaBoaShkIwJ
l6byoiggq+BFnghawZkRWc1Ko15rCGEgfsEJZgQZ6lezRQT81RgLXFWHmrYfDiC1v+zVhLbYlmTr
KbtRxwviGSjwtv501aYr2G55QsVJOfS5SeF7l3eZ8nWovIYhXqfvhL22w2+If9OQ/iAsGPrqmbgz
iq11nxurIX/QtMOA3YbMzd5trnTL6ybmYch+GJYantG5NhjubvwmlTcJPXKARPmIi5tAmEuzvvPp
4hn3IhWelVwGvOH6ZqJzVqzhLdYj/diLqVxNliM9svYy9ooAyJhr7IzcVFlFlDMWCx7qyCE3BOH8
/sz9+iyAzsfNpeIORYN5KoUEdE6igKGyTmqQz0nC0egiXQSIa4uhTz64NP+kfbxfpHk57gSbZwKQ
kVMLbKRnmbzgzG86sR7U68Jw/PmyIWIhlStXB4KX0i7QH0zryS7PfU5i4R/D9iHs9o32qIlXRbyO
A42u8iooX1PpPPRBSnkiuZ+7Dcq3rjj4MpOYO8W6WzDvIr4PetVtO9shKYpU+esA0lZLls2ItKJH
OTIkO7+7GcLzQt0E1kNH/MpUvqhN7c4aXQzOUNORQQXcqa2IpR3vbX8/hYCG8PQMhu5OhJta9FPG
pt31oeRpQ+4CMEBGJ4aOBspAa472ckLUXI9IgomaDazbBCzUTnQm4dYbTAG7DAiS9qroL5FUOrly
ZT+MlFREiTkScn7SH/zgoSqyTc9bn+hq13xWxcg0+DJd1s9oYxw5AlDe8ExJGHND9v6CgYDs17l2
4s89kqUlIvy6Lm/i5EUwQk5Um67AzsIgbQe3dnAd1Y+FcSOjmwkfChQ8xqGyqXexFSF3y+Ibnzcj
7J1dbLryEREVYuYRljkaCq7YbiPpKwt1Ov3oamepzvy54MlHBJdj2y7dFqZp3Z36TTmO4Yo5uCKQ
eCVnKn6Fha8NP8Hrymvpmtlg/1U7gOugSx9tCmJJam9gRWgdgZiDrg0aNnhQ6Pl4VMqrxPo6qJ8l
2ysItlH5Mat+WHUJeCK3CldGtzHjbZpvbCpkfx8hZhy+2A2NyZ1K+NC0juv1sHjyIEeNEnCK5Z/H
6bKtkaLjkmvGe9IvmMo9dsXjyDQXLe4QrszPwwsgLIZ6oLGwGDKmrdVbO9n75POq+6B9CKxdOn8x
+6eZK9PCwmKx6Vgm1l3oJaxjXCfMRu1N0Xnwza3xgCqepZD/8v6slo4J+qhkR2U2qvskRT5wlnVe
XF4YyEXy5muyTJVHJ2l2uXItePNS+dIr13169MdjzMix0T0sI1a9M3iuF8ldHp7n/oWmbNRgE2Z7
QQ5KfJZ0+zjdV91S5GvzFo1kPl8q+QH6fi7WmU5e3T12Pq2/69J1tusKUJGbUazL6LZOMAjeKN1V
x/jfv1e5PeZxp9uebZ0hZ8/0LaAdYBAhYqi9wViy+KDdJJbN/slCsqAsqfRkCEPYX98/b/q8aAsY
gv3NzBgwQmGaxq1jAqtZT4p8jON02M2VMVyKthJOkwVnOdmzK9/2w00o00upOpXucELOcqKim6sS
NsFmr4HxNzLUDETCkWrQ2f2tFee3rb9McdXCS00ZDcQiB8uRbLVZOG6qMaAP0wMC6RseU6ktJ64e
3kMZUJwScDya2R73ieUZVetGqYHqcy42SY9A6/cr+a9FKDsjfIdLNWjLMtbA94eEELwmVkIpPaq+
PFwZYb+qtHwFJ693CMDlYdxjabGCr2PXQA+Sg+6jGvyXc8IbWFyCiwNyqcFPeq96p/QEIevpkRJO
nAXlFT2BaV224ht5RKPTtuCE0poWcT2RU5wn8wvWcSZPJRf674/FLw3Q5Z1Ay1EZAtkm0p/3h2KY
09BOoZMc51R+DHSyP5KJumuJ09gYIG9s1vXfv+LbturdBbm8pKHJjI1lnSLwpAzPMy1tZlXQAG2G
dmUV+eC2ifmskaN6lYkA+0Sn7oyaKHGraHzPF/VlPaq3Gg/DfWVN6PqM7C5Qa77Nmmq2QHnvtnUC
yPbVJOXKxQM9fnCU3rRd798zXoOF/8XWH2Xa6cY6mv0omaIqQQzH9dErebjpRxlMoN/1K4UkNq9M
iYdQA4omA81ubGfBFQkfScDQscvTnugVW9lMstxt1E44egUVKOkCZR34jbEmINHeWObihMliJBlN
22wapTS2U4H2Kgyj5wm449kEY3CYVPmD306crhALsp6GLVJogZnDPNmRNlNJ7p6Yk6OKtcIB1XQ7
yfEH+/s3iubpEfz5RU7Ouh/oxCAlPnKaRmbcMZvZOlLqEjUNH4SF788MVAA6KQ3ZFCKY0dgPVXeZ
j2m5jk25XqfU3cqgXo6gqx2SLb1l9uTKCBpWczwtERE8GUYcTJkhsPhJ1rYUAeaEUjLX9oqzq320
lf/1Ll5a6iq9LEtbhIsnd3EZWQYEnVm6MVrkTaRazF5FRpRjkyWyC0uKFoN9QRec6ePS5A0CItr4
HmRag/XBKTwhzlBVMExYaJsqp5K9qXlyH7e28EnwLqSbrko3eqv1m6rlKEqz2BW6ilVBLaf1jDaP
UEJXVSbt0o5aNgm4JbxAZxOmZ8xbYvMjOeNfvjHSkxfOGN1NUBXvF5i8HHICzGvpprIJfWmD4UYD
F8n+IF2xtmEBztvHvvNXo885zELpINNNcM0JrVQvjQ0kuvBYZOPD316EqOVZ9Th7OvaWUzZKTQRS
PAVlcCSFNb8gkmhraN2GMM7hMOf+joyrekUcReCOYpRdwVe5RlMaBxKMvVgiKuVMY1Yq5FzaBk2b
sVcwvuV2OK2rKZfdEXfE2xv+h67yLwZhP527X+gqt0XyegJ0fPuOHzBjqCoKtrtlccZQQc/zB9FR
whz1CcqOzjwRJS09Xy69HzBj6xNdUY2inxYpNhDQK//mqkj2J2YANAR4NtP/JfX873BV3ppp/1n3
EDPTi+XZStNbtpnCnRqZVHTExD6V8lFVrrXqMgeYSiDD9aQeChXQ6E6Tb0pCzXA9+3hujYsy85p4
Pe8FyNp7O3FnPAj2vss3RbkPGEb6oxN8Q1aGtuSWPXmxYlnsY6L4LvB/dYSDi0vAraNyaI3FAGkP
m2DyRu2ssoWD/caYAQDFPOQdqYPycRfWjzLxrsTLbXAztL11KxnlqsW6pMR7Pb+Koi8EhRr55Sif
2/O2qS4J9csx98hoTC3jXEk+B4LiE2bIJLYT6qHg2I8OZkSnumyqva58NGVU3i+7348o/RNOOT1S
43SAOsgk0REyKx+JG33Q+yBajYEwD9psfjHHjr6hzTRDWg/3JC7r56Y29at4YJb/01V49ecZ/JnW
eSLDW97GMiZiioBUgabOQtH+WTKd541VEmA7H5NQ/ax0inWjB3J0oNmiR/HDYBVPRinuMnmUKCfr
jSqXRMtp6XQsYqZ8vXL3+/ezPKTfXWfs3bi8aOiCnoCdfbKnLQpLDSbNGo61WsvrrozsdTOLh1ab
Nlls7FWNBBCUMt+ZM/+sS6xLHML/Tn267fqntPuZM/v2Df9elmxo6RiRGPyg0lQsTtd32JNpfJIN
iHt0HRmsvi1YP1Yl/ROADMbnb3Awm0WJndoPxLoCmX2BhbFV59tUW/s7q9LbU/fd1cKolG0/ixtm
NIAhJ63PxhRlq5d6S8FKKZ7R2DqMGiWxnnViG3WNtcubMdsYQV1cqb1W7kmQL9fpZMxXjTb2hy5J
UqQi+SYIGGRZRZWc2XDbbxVlzM9IZUYnD3FoK+pmPkTKLONb0Rsf1z7eSVg69Qc1xXKv/efXYX1f
eqpYVFnqkR2QwfT+XpRFrUOx0cRRZ0+9CrLc8mLLegbK81Hszfvb7PsrgSpEX2bbOP9PXqnLGjsm
FVM/Etqqe2E4Wrt5xASS62VGGyg0zstuQfXaqTJ/sOL8xS/JKyKGMpiNs+4tb+2nYVRolcVoZbJ/
1COoC/jlg0PqC8pH3Zi8ny7lv1jcfnkpLjJrKc9sGy4jTer3LxVz3fR2n1W30mC063AynjIjlF1p
VL5jqt9BkH9eRt9mke9OHfwEAGdchmgOKIVP1i2zkI0gM6bqNjHldRY0O8vS19bcnuWV7FXQzWGf
Obq2y4MEnPl9JUvXSqG6MTot/wmzlxCWW0vNNhza/ZRdyTWNrV7sMpGts/Sod+HdqKPkzRahfnNA
bHeoe0qzEM9VpyofzImWN/v+l+FZr3F7UtTzwqd1vTVOsRGqaQLzdMCWIlPkjT4ZWtnUFsjopXz9
+/P0y9XIHH8x6OOG53nElfH+PJUDHqh4qsUtLQZjM/sjUhRpRMCb+fmuHAcCUiST/X794RVyUjMy
vmW2DTaaO4/ag/3X+1c243hkWByJ2840BthVObpk1c92v//9TqsHXoaGOxZ7G0YOvZpTkKZSKjwt
EaPddr6CAEwKk61IpHmTZCZuCitdMcMhrjugMRfU1DuNHxIlKhpwOlkdXWDi0zwJ/GtXPf3+nf1y
5DFKkb3MNoRBG77/kwWUiMi0K2I/uIv8oCDvve0uTbJfQa/QQVYYx3i9gszIRH39+xd+E4W+u8bY
zPJsYOsB84k5/0nVqbQzrE5Dr+9aQcuaNrkehoiEhvy6aqb7Wutv43QilDWwZWdKta8tXLdBw76U
CR8TTXcFvrghhlZ5Ktpyk3Tqa6BorYPG/2uBHENY82YsK2/EmPT7d37adrNQQmAP4IpFeYL2+JRa
INHgIYC2n+4qXT33AYkOKTGkln3R2FCMcvJCF+y2JO6V78rXf3Yp/2LZ/Oks/FI93cOljJo/iIP5
Y921Xc5V/mdkzO7lf//5vf/esBifmEqq7GdP6JTUUdZSYlHGvCuhFO3Tsq+heqZcWoTkLAH/3qyI
T4v0BDglq/qiPlT+zm7lZBWgqNN02lPYE2XIJ3AhTi75ADx5FClyexd3MTOgWsvSizGPiC/Tx7Hb
LFIbkt2DIPHmSe2/Vl0NQMaSGzqEmpHc+VVbXaSjlt0okzxvGpMElJ8O6l88L5d19j/35NsbpIik
N2jwvEQ3tjxPf3o0D/Sk5Noy2rsqRt2PZHWPxcSi/ZdV4oMl8f3C+/2l0MkukNql/DlZeNreHOil
ze3dJE04LYc68AI5jD/wuv6yQVye/pSs8CTFkhV+ylkZGAlINW37zz3mno1iMBvIEIiNVSG7yAAq
1CkdmuS29XnYpZN1MVfSeVKnhzr0cc0oARF2XTJ7kHH0Y2ZxxCXFJhNwmpK16d8kJsKSpI/LbRyU
Go6R0N+gQdDhSRGl8vuTcyKHWg4ZnSd21qyW8qLuOzlkEzvDesqa8LNpSuGLyTPhaggxqbDJgmEe
lTZTOWU/ChAfnZjKTZ/ObjAl5Ni30DJr3HBpk9Xop2510cdenwTRnyf1n/WJNYbOyn+voo5PWXGy
JvH1/16TlE8YocnYYD/FaVw6AT+CqujtgD8CrU31zV6EG+5HEcW6BLyZrSvaVcSU7B7erUssIUtv
Bz00D1C4HycBHb8L7BDLJufdbc+2i2kAZDLeBCXZyY48qDopy6xZAS4V0b2sUTwhXvPn8qWMfNyr
ra47UqAEo0vNkBaupcw+Q29QswsySa4GUHik3xJRbWM8JgZ8dprUMK4EXWX4g7LWJG6QTKpJyPdU
HONZ+lL3DTa3XB2Kr7I208aBWNIMHlos6QY54kwAnwj7jJjxfiq9TtbDl8woARANea5DmQ5rTNZZ
m5ZXkcYWuWqHvnIHtSf6rYyqSnpEhWNfRmMAyypr/X6XpL1pOEGOabWaxvmDDfMvqxm2F0SAaG3R
ZaLCP1nZa85sNFepcpvKkQ8Yp6vdLBP96qdr6n+yPPMqCPxBK1Px4pxcOko/Lc9pzfasKiPlNstF
4+VhUa9HrSF/ARWmp/XZR/i/v7gw+FWoRBcsFDI+8+QFOzXLZw35560hl9MhyIv+cdQsSVsPvl0Z
TtmxUjqqEtsbgOMhF4NiDpnTaCWSm7EQnla2PtEQIhfPWS63r75c2PBl8V6YbmsOCLmCqRBHEUH7
ddVSTHedOemo8TRtKryoZHaWT0PdeB32hs7lAZ0Uq3lWJsNJumFu3bA0c8NBShlfNkqDFVto5YQ3
G2yjZKPWWxmixK3om9WNEfrjFxwZJt6aptOe9Miov4ksidljC+a2juh9Igr/5hmjX4tOFw7CwoD4
pWtKbgLJEKMx3rZB/s2fiaOSODazam9RBH6PK/1n9f0XKmuWSAYdSyH/FqjH/Pe/r8aQEcrytW6L
HxmCP+8W//Jn/VipZfsTThYqeBRStHQXfsSPlZpPsQYznyJwkDpfZu/0fammpaXhCWTujMeAWcxS
RH3fQfIpxuMq6zg7kGUIbv2dhZqa7P1KfXoYrGUM/tMKgHUv6qJOxLsuO4QidkzlNWOVFDi7JIzt
ynSBFkgdVlPlTvNdFYCM9JgAxbpnwZrx92nhhBg3uPuEVyRb8znh7oFWY9xU1ZXhX8z2BsijSLfm
fA9wJzZfFrROzhArap8rca2IMz+47f1dSHvKdCEEKfpTFB6t5ELqLsxyX6mHxrgqrDMRX/XNIeHj
QfIPc3TZjMCxsSf6hyUgRY0uiBACRjC7c3thLpBogD/JVzPf+vjO7M96dFkAza1zB0tbDRu3sTGw
4ZBPzzMccf3OUNa9f4DtY+S3I2lwmqsSBxBv1XoXDk9qD5S0wOfnN27c3WTTMdRuZ3knJffK/KVP
dmZ47jfbrN0ZLGzDhmQGY1gb7OMYO9pnhuI7c/rZBhWauC05csnlOG2MaC30y9A+UwYvTg9NuR3D
vTacT/0VXuvGZ8K9n/vHRVcIAYPCU2OgIRF8tDXx+M8PwKi2+HiX/4r1LO7D8bpLbssBjm98yPDd
6Rc1odPN0U/P43ALtSGGGWt5Ub4Y/xOSY+LNZOxraQuUU8VlrazVclOFl283y99aR26LjP/+1/I9
z0U51REm0v/z/q9sMb7/yKVce/cX7y3O87p7raeb16ZL+dY/O2nLV/5PP/m9wrudSkJBn4sub5ef
FkRF/u52XgAzC4MbkiAdJGx3v92o3eVR+/ryx7F9al+bP84jbuE/Lrs2naI8+KvgA+Yjv/7476uF
SVooWiQsNt83aOwKfiQhGJ8MCkoaKmzR/pwWf18sVGspN5dcYzrgbLtktnw/yk3WEXri/DIyhSKN
WVisf2u5eL8rQfHPSrbEMPAEZzyHZ/n9aqF2yKD6yAgeqx6ldF+H+o3SxBclzWypql4HZnTFPB/9
iWs7sYjOEZnXWhURfzFXeJ1rLz+twn+xf3kv0vn+fpB1WxZqZfZLJ/vMoUYKP0198JglZbWWAgMs
3/IhARazkhJg3lkn3//+NU+6NRxC+Jo8NhYIEUedNf39QWg0NZcmKdJuJ0M66ErtZdlQfw6msHLa
Oky9uhqFm1dgEqo8/GxgX//9G+Dy+2lzLRbNK7psukT40JbK+uQkZGHecUhH62bWJ8eGahhWaKQE
WG9D2lEaUJpF2gVqmHn3d1+YvQf+Gfq4qOj53/tfvG6CEI+jpt2ohgTQxsSpN3BzOZrfH+1mWDe4
YnSl3FaFePz9K/Pwe/dLcwVzghnkcZ5JbllEE+9fO+6FnmeIWa+JKHVgKDjn5192u8wlxXTTO/6Z
fmF7+kW7tVbGzthF4LrqA8iuC8kDx7myXduDIse/L19Xbuttvm2dq3rb8kfbU3fqVeuAJ+ULn3v3
+cpYwX55rA+2J1Ymn46/Do8TxHE6gFC29fNgV3rKxXwRnNl34zX2sNiZrtRd70guEkK3d0yv9p6v
+KHPzy1/HN1uxXFyo9W1vupcQEWkdKL65E+aAzzDq1fyRt4Unrzp1wSlfot3+OpWhHdu7a2+ijfF
FoYv/IT5Rb5QdtPNeDleSgeg+Z55pp5LW3kDMwZQE8ZzfpoCiXz5+Zan76S15tjb+UpcaCSaxhvS
TN1v20PhwIZzzdXyZfaq2laHZpu6x8xBPO1Ck95g9N4BDdvYt812cD6KWngbAv9UIf55PnGw2xBi
kVad7jsiuAF+pUvp9Xp1eQuQ/lC5xSa47r9GqNlbJyTmtfTwqEMt3wYexmNPcXCHrudt5BUbvtRj
l71+3VzsJybqtXucnGEbrCgiHf7Bi71kRQnophzyfPn/+aS4g3Md8mB0ANHmd/YVCJyIv6+GrbQK
1rm7fO92+/sL921eePJ7kjlCZjNSGtbgU5VDKbKBYlHLrsfUDtDpD9Z+7KsYDXS+GSLwAsUUL6BF
i3Z0W539+QFMS9hl4e7tb800POZB32yqDC88sMiOx/fUu8pYQobvC+TmhlLJO18Z3Fodi/3bBwXn
RqiiUTQ77lCGsXT/TZYGbiOBT3e49PNY3vvceHv2gN8/5IWBl8gPzNV//u3t6wAyWB+sYm9RTidH
Blrv0sKAvWCRdfP+jvbnfIwnUG7XDGH3kpDORB7exG14ZmWvUtseFZ9w2ii50CTlXNVnRA3WehFI
BbY3M8ZQAUvKL0FIHIcg1DnOn4rCvq7MCBSYfeiy9r5Dt+E3Q+rkXyMxPCJG2hZIx/Wphl3SXdiF
sYmUz7QeLI823xV28U1VjgBk5nBjkA8D0e5sbJM1YGVvEL5XhJdMUQEclZ6PwbkwAXYY/TYF5YWY
diVEe4jZZGopm8QqvdHy/DjAJx9IWPj9RXXyBHpbDEmtQj8Dehitx+mMJYutzlbVLLyWEx41bWz2
DgwNqPTf5BZ4XNRuFP0K08B6DOz+gxd/P99ZzhgnjCfgwiC0eRicPH0s4JPT2Cq+h3l+dCt7iNx4
HkpHAKXw9KZtb0oRok2PzQ8umPePvbdtE88+glHYmtGzOL2T9KG2mhHl82XcqK9JxuYdcyRurAC4
WdDoTtxqOk5sImzsuFE2Hxzy969OG59eKbqphdWCioT94furtRQdOSKdLt9WSgKhRgTElFrJQekw
FMi+lK6hc4Oj14tz4gl30Rx154kOTlahrEIEiJspfxJizldBO6fkGpTPZVw2t5lZf9Sh/ut3yiQJ
5hy2sdPU9tySoyJl/3DbKdEjNlzM0jKc/0gzD3kTPXaJjogZ8Ww6px8pkMTSzv/PPc0ci+muzlCS
VZ2wUaav74+SMmS1pRIpc53m3SodBt8r+3m3XkVmiRKwBjfQqQEz6GQm8iEKgfGZECzytKMVtFhR
qs4+I4RvGxA+c+iF8mBN+XDdDmq9qWtoQG9/NQqCHXQBRyufkGW2Mk2egMGHpsuXViXia7Mt/TvR
XszZMJ3Fwd42w/5YKGFNd4dEiVhM8ioc9dhthrzfz3kur2AytDdm4F/IRq+v0AvdvV0//w8qoHf1
0GX5mh/b+vW1PX8q3xdH/1/WSsuG+793TTavRR1E77rYyzf8WewIg8BpG+EzlntEWfSJf9Q6Qv4k
K8tAlLHEmwKRz3yvdYT2SbdYgphaqOx93y7u77WOUD7R2kbWaGLmgHwg/lalw1t5dymjGaB5jnAA
ecAylsUT8f5SzqrYxszR1d5stVWySaeY8nswS+NzpDcC7UfnE0pfBb1mrA1Rj3dqn1pPvONx51sF
XK5+Nhg/J2En4PMaM6MvRE9LkZ9o9oPudyBV2jZDyGhFdqJvkHEMeMLmvr8cVbOp2BOo1FgIP6wv
bYoGl36FPAEYsyv/PLfsBn/R0IYL4r+QCjdLTCijiTyMZ22raD5hhp3qBiaOjcuh9+Nt1Mv2WWuk
00WgVsWT0OPqGz32BWEcyk/zPIFiq0lEeizsPNXoo6QDXMM0lC8iPC6PbdWbd3aeDdEm9EO8Z30c
EixiTAG8R38QZuMMaTazYQuy5glckvIS5pkCZmyOsnu15VQ78hRog+O3cwZCV+krf2WFDfEoCiaF
Bz005kMOeMfYSapS8WhOL1VRQ+jtBrveqyGd1U3W5BLJnzoKcruI45cwTqTJQdY+7WujZK4v961p
kIozNSkUYRKvXF1tYSuLWur7FfyZJnJaP9dIVZJQDNJ00TScFHlXMvACesPqHQU9mJ9O/SKaXCF5
z0jra5qJwWK4Ajsat+iLVnIiWD0rtbUu60QjriwNyAh3q6wBc8LATFY9SRL1vVbo9td07BPsa1oS
0NPJBuWpl5aOVRBip10liz6nDxmSbn2clJAryxidqqLmLVaXSlSWY2bdfGU0NA6gJ05DubViETdO
YCaYrKQhV7f0xgd1ZcgDiXMFG5q7LB+izJX82AxcG9Z2Qo6zMrEPNvNI2nSjDTtbCMms9lVT4nJM
dZn6scqLCmtZgd+eEN6uVLdtBZR5FDbeG3oMVu+Fdtgy0IlqIHJ2XKtHawCgnY9tSK9+tm5Gf2Tv
Hqm5NrmGxjUWBNHUQKlt+rsxqUmENs0YAKtid5mxn8M87twYectTGkzobX2m3YfK6vzamwyryFCI
+osG39DNzNOzElIMvgLr3JwLI3HFYBIDr5a+gp8zlQwSkcxmnrdxReqXI6Ja17eFBVEBjyXmF5Lw
EgDik1DGLzlxg4+lpBIWJVor5fg0osFKak89f06HaS1Ptf21nlt+UtXh/gynsj6ftRylF9nE8rbN
egJ+hrjgttWMcVDxO4ZQWdAZTd8SsukfzW7moYZJvNWcOGbqsQsJOdNdW2aFIEayqr8pgQUHKMZT
nawUXNfBqi+Y2DipJhWp20W+fm9mRZ64mhjxB+NmqDiYQtSfmzxKv6X9IH3JmrYiGqou/de2LKGO
cwcOF3qvzvEqLWHZuF1TEFKT1DGErcSuU2rASAnvrcRWicfWKkNxzTGUA7dtw65zk0gJZoR6MZAf
pLIx7CvFmmV0RTlMIQxvJoFLetyYe5JdKtURbShCV0t6WJulGLhPdVuarxB9sTms9DDLVrLVZrLD
PQq0zLQkRFFIpU15Z5CmHG9aygDSi1IUBOtiLtRhPUkBS5MRz4a2newEX3cxtSyHWiBqOizIezCh
ixJ59lwOUg1SnE3w2q+ostZyn4iHQq/BclvWGH222sJ+KXy5e6DJKKj35KjpN8xAsdUUXdve2uNk
sItN+8TYdmWr5p42dQ30Uyk2SfadlKBk5ZG1+Jm3M3a7yMgiwmmNRnwZbQHxlV+8uwnNJAi9rJT6
YVsX3axtgnRW2htRh1whkjTpxpWV9RQSejtjWM/BHCTrYWiIlDCzJn2RYoPWslnZ6zgzAC6VwbUd
a6Q/m1UXkxtRmFkCjb3c5lTVju6zs6vniPOKWoHzp9tYJXWiGg0920QMy87mIj+PBwqDKvN3Oufe
AmdoFdMV6k3PDiZQUMrgKFl3kQS4s7iPs7K/FJX83JTRtazT39FiZZ/U3UbraKj5/uCERtZu+2RY
aRY2z7fNdgbJ38aCXeJQjILy0NT6A9kwL1OTH0e66GIo2QerT0pw1bfVeZZMoLSnrdaEu6YlPo2C
bmLkMOP1VeCbjdHkZVX4UPeWtGr1qtqa9XDb5T5ReHE0bjUDyHie3zCdZG2rdEgg1nkeaqqbErYp
g0Q3u2criwgF6cFN27xaKgMwrDHVD761t7X4Xp+0cN2mMvnjMVI5oA4SXs0hIcBrTlLwwtM+mstk
LxpN2ltZdxskIoOw0qzgtxbbIdmqRcatOtW7JMDHH+bWlujIdWr1Nw0ird6w9zadsMKKCZ4Yv869
DGZmMKcd33/v18F9Ewvkebk4pkm0783wYCXaWdJPwK+smVQ/edr01UgfX+bHloG4DtPxWZfi3Mv6
sLHdQVeIv9PrhhgXIkUz7tS69SShrsNecI/Oh5jsiTRXDoNCclqWYyXVxWUXDlw1LDkySIDFYYdX
waoemJyssjh5LQwbp1a67WJ1K0/W57IhicKY2TlPVDufZ1mA6yovG5V2TAQ7dLaycxYjQH1jFnnh
GBNHPQ+JG+agvQpEa62y7GTS9jkq1Ju6yixgXoXtErcMyyRdV0V126vxA+upiy483Em5et0vqqW2
LVgEIiDXosLUtWbvc6zM4lBV6ZOahvcjkJPnulCU2zEP150Onh22o40WBxsimennzSB3q9gOoTMU
43WPY5feSZZ4RVcBQJcklYzprn62BMbIwuyV80FRJqcdH0QJF9GOjVdebhUzhwqjGoJ62+s2zGKf
PVqmnMek4GihX20s9hsrtZReZtzreLq8OZ39vVrW5bERJnsTdWZyvfBarkQMsyzXbmIZp2Zqd2QX
qAZoCrkXj13dz2dzEqySiqZgWuHWyKdrVQzrLMbtnquMqizOIWLAqywvqYYu6qAPdsggL/IZ2o/U
7uo0tzny0dc5Cs9n6Kqzz3NjDC4kQ9+1k3FltrHLDiMiDUle4TY9qjqw+HCAVWsEXihMkhHA+SyU
w8CZEqC/ctWqK1H4qtMm2bYl8U6VkvOpDg5JAvFXyW5ykwg3E2YkS2og21cqDxqd2jxRFFw3frK1
Ky42u8JsswI8StzklzABUV03d+wyHhiiOHb4nJfM99LraGLoV3M5F8du0vaGz+knh4ddoORGOAY1
4O5aMA9XXfAZeZ9rKvQ5a4CT9otUtGcTcDTaiv55WusHuY3XUkoT3pp8qs7XQdEgmQrFq8IEhG44
QmmQWNhx3IJRrLstMVFejPhk1S8vBfrwi09UoigDWdn4GngqjLurIDHsdT8kpAjzkLYN5nI+K7M6
PyfVBMUu0ecVk/vOmWp2I/LcvuRk4Bb/l7rz2pEcx9b1E2lAeek2bLpyWTbrRigrR3lKovT051P1
nD0VikTEzrnbjUaj0UAXg0bkMr8Za6g2c0+MXDqQ2ovXo9vhvNSWu1xynXTpl2JM2h1TQ5RkzGGU
u803YmuEN6tv2lpa/J6YFisRkGdfyW8Ruo9n4f+00cQ1x6hJyAuUQq7GEFa30V0gSozk+nZCCbzI
v8IoR6Qz82SQ4XKHN0DaKYEBQOWNI1oWvXEAtsBb0NV9itzn2BXbIU0dTOe8wvnRulnxzXQK9JqB
4Uf13vMjr0VBoyiosMHWJtYqy7TdQV40b1xvQMo21B5PooIrtIEh0d3XQYEhJrxF+44Mpv/F2ubD
reVFfrrz0gjGv64D710WF8VviV0tZTiB0kRrtKgUiKAZ443WcflJSJL5B0MTX73xolS99cMBrEon
B+d9bcVmsKnq0JHk9/gj4l6j6598Wqgm6VZC/ymglxfbvkSLaKMDJrarfQXRw+RpeDeOVtdtTaWm
N3hw40xTmC0NW60KPWI6qEUAMzNGT3V0Mn5ggTycvBO15/AsBtYSWYbS8u6qPDU+j3NlvCYymZr7
fPLyfdFN/k9TeTwzdd2DU4GQPX9/eZHhVcqt11W/1bp68H+6zgAE4lKh4bHvutM6w5//4f9jMLzg
XygagLj9D7Ho313V8F88ChBGqC4umplLjfrflYbA/BdQUjAYwCMFFEqHIsR/Kg24j1CGpBgK9p5K
60t6qiDr/q6ZLfgPcLvgsBaZYxq/IIJPEBiRXSUCQ8+Za1c4MZx4kXrbuM/a/ot2VC0pJGR1rg5V
I+f2rRDA3B+jIMiyG/KvcHrb0giw800CQSooALTnxXADxh/DCIkBBfrsUSve5VVYfUriFP3PtpB0
HMoxT11K2l7kvXMSN4oORlUYVOTMsgxa+peuUenu0OXoy6Gdknlju28aq3+kQiFIdSxDvEUxsPsR
CmUg4G6EGa+eNnntyJLJFaoUo+4wbrA0iJze/WL2tkLFLgtjsoGRKiJBCtALd4x4jvM0xZpodBSh
RNnTmdh4qZ90hyx180cjdnCMFNlQy4OwBtO7FWY2S+fgdRNLJY2w4WVUYRuTyP51jJ7pLz+3NwBj
F64FG02j+XRvGqMcLNbMzzZGFWftBuhY27EhdXhf5Gab7i4Pt5LAWs4CIv6cNegj/I2Jwel4UUoh
2zEVOJyM6wFe6hCjMZJ5sTN+F1ZBFDCrtEnuq7Ka5I857MwPQz12X6ax4whMKQXyKytwWgbjF3HX
LgR1iBX8i2evflEXG3MWxyWxd5fRzds5RmXt8Aw34Gxm9jijjjMmGCnJsCMOakqNGH3hx9d+hrXU
1/9TWXa8gKoyHwqVf7pofLBLW+IvnJLnlf1syIjKQYKmE6ICaVRZb/IyT3ksEzWKgxMZEeZf4A/z
ex179i9hymZnasMC25fX1vzNposWfuLIw7Y4UpRJmnKTB309czEj+PboKHtM3o/RPEU/3EF3qEsL
qkfuteYnV8dqLnzoVCoXmXmqlWtsp8iCZEphGSJ6hOD71xl9vWLvJTZqo5fP0yn6flk0l0GACi4q
qiBJV8fXLe2I0xFRYkt8rTxcyMzJf51V2GRsy4JEizSiIJu6POr6o2FUPhkb8QDQAABYVx2iIhiR
0QMciXnfIiOe5Ags2F4VYSsStjeXxzqbIRo1UC34XJCNEdB+To9FDLdcWrmE1RB5UteoWSAqeKOm
cgjuENF0rXvVj1qHV76KUzQCC0sLDOoVViPI1DhnEBA6uoFddLFH4BPPHqTyLn9bRBlhexlG3Sdz
aruDAl5Mbfx/yuf/i+toGRZxyoXtYdFgWXPLZouGRmU5LsOKeW6Ayo36VR8Edb9Jzcr5cXm05ZM6
+eSoyUJko0jPsLx3q7X1VW4N8+xnMYaZeX/TtrV/jHrbPhqRDN92viVQGrVnvGG0vnKEEB06G5xm
OYV+VJZpnIfrjY2ivLHSxub8dJGuy3ibh9RjH7uWbOebBB/bhfjq8buPgTv7AAbyeIEOm4MhMYHO
a/zHgR12ysPpu8qh+SEEkA3AAAYb9x1R9rD1G214BNwS5m2Gr0E/V/O7sep0dYzY4OJdNZckF95o
ThTy0QZupsdaCQ81m8gzvHdzNKTzbzttane8EZ2XL8ocoy+ASaaDMfyKRTPHH0dnHMhLsynI8lfO
mFrO65TST/OuDAtPb2MrrjDgGaUd+/e5QN4D7RxzDPCRG2U14XBagaHSgW7a6RDPqTX3294sU0yM
SHm84TZ04sLB1jzzQ/kxmSWl7UTHs6mJbBMsCTJ71vOXPrBSJBAGtwQCkNexRyLv94kR3NZSjmhm
x8JOXlNyKTOsp6vCueHPiMP5kBi6ioYtkpdW9l2WiYoe6OBhio1MfsjV0QnPCKrXiZ8FWXHLyfWx
Gqu1q8Odmge0mlE7Mwww8r1vRe5eNlah7bdYajST87u0vXJsb5q6kEa6q2xccqx9aThN4m97O5qI
4ONpwCIsTgsj+BUaRYgCXDvmFFg9RG7ICarEr78bbo2GACruiDGmiKAnah+ao9H9IrLx1Q5MaJL9
CkMpyzvDjohJKJhkjUUaUdYe9gjxnKBYago97nNHZRjPO2PXV1srC0qJOulMatR6ZjXeWb1XhDdj
PBYULOJaYf5eDobxmuws5vUxUDrp3i86zuVbYpf6d5HVQfgYt8aIkUlfu2b+hbJAnPCmU32iZpHr
SbwiKkwtBB1pq94Peuqqg91bE6X83Evdu0AhAI27VunG+iNFaH0Th36UH+rKmfhdZi5xRKiLDC/Y
xC/bD6kocAKs1FiSNksj7r35e1AakSbCZMtwpZRB5eTH0ezsUj10jZWY3rEu6bjUu3DMk3naBDFy
LrOhEH9GEHC+H71gsI+6K3J5O9a8Kxr3H5X2QXwXxIbrN3s/C53sg+/bRf+Jsv489dumzURyC6HA
SDi6gVnoQ27ZskZNTQiEjmiXU3ymOdQ74q4a4sErNgMiizPFcS3dCistp6SBuOlH5ZF7O0Yx7lp7
Aq0M1b4Ga0W5m+K+NnJhvQ28iZUl/Wtm57vVxiaejF6T1HsnMhWUpbjNrTsrdwlIxYgb+VdtQec+
uNSg+te1RS/sYZ4Cc3rlFT11a+pbBgyQ3Bob/waNxEE/TJVvJsdg9M34lekGcfrJl2mc96+GrKiD
DiuvpFLTlsPh6Ns6FSoKvsuWKttHEtUc04QZGowGnuSPCpfbQEdh8rEbnDS9QVm4Hvu7gn6odzvk
fm7Hh0ADYLXetJM0qDqJQvnVu4qKdmfsZGdzU1DgMR35NJG3gnYxigCDvNkwxafC70V/74sCN1Wj
tVX0yogSKtF6dJwfk3J9ee1BPL2uyaDApnLZkr9AJCFOXIVnUekmuREgOdpMdFRoWHS3XVE1O+03
aClpf7jyQJyPhy7Hgn5Z3A6A1q/gGBkWEmY/TOEhj8bkBuJKd1P52AYENpf0PNvX2Pinb+EyP2sJ
yRcpuAWBSHP5JPw0Im8Y1BiE+Klhus1p1AedDDO9o6h7CPrAxIc0CnaGZ1dXYrhVTvBnaI8mOZIK
XJ60pVfPcF8RV0hrJkHrky65y7kq9HbSwN6FSJrPABamW4njD1YobetiyFuMxSFrMlwZvKo0r/Af
z2JXgkrwL7A5PQ9C/x8EyF9xuBnbRkrLJvqd0My9y3rTunX91L4SX51uL/GVz5/tggwAUOLT719C
zL9G8ZM4s905an63VSHNTd50ybSrJHHlsbFlT682yqKXAYyWQS1gCB64VgRsyMNWe+yBWq4rqkG/
G76yAYfCssyPrSUyfSBHH2F8pTn2Uyh7zuSn0aRugygT05fLUdf51BekK4pIwGwJL9fK6tr1miiw
kyXwSeiG2sdax2i4Y14b2O2rhvwwLjZ2s0jtXh54fcS9EFyVF/rcXBZf89pZCGeBybIaFOJsEN7Z
Jkr0pI6B1ZuPJbdjcqywPd5QLB0Wnyo0zW8uD3+aNSzHXOC6wF94MQHs8OzTLTes2OsdN/UPE4Sd
G2lbzV1sjcnrqCRQunK8nhmLwg5gzKWOA1JktdPSUrOdkaYeiLHDB5SK5UbDBHtbe5nev3RaUDSX
48RZXrRGl+/pr5MsezGMk7uoLiWxDxRZgwCJK4O+sLBVfcW97DQt+XNV8MCCu6JohdW3WGVeE8Y8
oPLi+NhlbXCbtTn9AAeXS6vucWgMSuFtUI2wr1wJz4wKT4K0BKqiaZGfnE4xDjqCX9sxMIqR6l1l
WeOt5039zkIH8r00Aig9xuC2V/ZwBYJkstDxfdgStDgWd9W1FEsAlMFG4B6FX3/OBVpOw0hgDx10
IRAWHh2j2MD23Zzpxe6lrItq203CHzehaLP4mkPB2ZGiNAIhnN9Ea3NBx68WoR+imEow9teZaYzb
uodb+WnoG3wZpiZVL13yPxcVCa+Dwgg7vXzLf52qrE1MBRmD9lPQDsBZodPT6wYA7Ex5sQtoJ//s
vTSQV66I07uJJUeGhgSUW4m3iNxsNawzNABom6g7jrlGIde2xkdRdiNs+743cO8xcZi9/Pmclp/+
jAiKkfoTDyDw/3UtQeSmYfeEf8d4NPdWW8RvSpryx9JS9WcO9RfLycrHQsX6ISace3d58PWNyDZS
9OJzoiTH5bQ2vQFfLWTjReo4VSSduTQpF6VV90E62G2MJQiB0ajxVs5yfWV/Vxpqy7wt6B3k3ejz
LQn4ctz+2mCwpkacDHo4Dn08H9MAA9hQF+GPdh707ZQ6iFuPKt/SY073cujHGw/g1DEHIQdmGltJ
qwfu1EcWZP7La3J2zjlGOH6wlTalOGA3pz+sqj0eB9VOR6PRwzZ0+/podPO3oUB39PJIZ6vPSEgT
2OBYYRpBdDkdyU2boq+6eTrKFLFlXVoCuFCH4ULmGk/KSLoHfPK8jeHH6poT2XOTRLhuKc0zOH29
06ErJy5bZw6nI1U1Yjx3APJky/hbyNr+vDzLlYEGO41ZK1o18IkQDEKJYbXTjtHphRxlHlkBaMkS
s0mh2upY0nC/bSSQkMqiQWUFTfxah5N5VF3mbQPRivf1PHmHWTafncKqtzGJGpg3swBhkSe/SgM1
7su/9XRHiLbhahCCwj6i+sW7uSonqqJoGCjIdm4KRe1OGtqZvxqGBH7Yx1H+xq/97rGg+1eBcaLR
/KIDwVWPLpsD/JzTQPGUa+h0V/Ix0IP03RltR3+4LY26fOc2wze4XsORCoLcdskY3pVGqg6X5336
wP17YIh1KB0DSAWWczqwC6gv98BH4Z5slj+lkY/FLvFbgSyl7dcg+xxv+JTSLvp4edzT63YZd0mo
kHcIEXjiaKwgqKaVV7HfTogWpoF1pOhu7cpKW0eZIGoP4Ure/hfjscd82CRXVP1O51lPtqbYQynd
jWAR+HMwvgKT5BzbOfuemFpcuV6fm561VMFDk9YXYdLpcIZdg0QLGgF8tgrflJjvuFvwZy7d+qqm
7IZw3ZWY4dkRKdeiBAx1jnvsdMRK2WGKTJQ4jA7aT6ASrONE2XAPgS3bFNqprtgyLyfyPxXUfzaQ
fTMXBDHX+JopKB1j6HRtsaAOCLY4QWt+5L/sBm8K/ouhwLdYDEYoBEb6dGqYvhI+W9F8QEiDdvg0
GcD8kcXb55GOjBc9Av/Mi9sRwaoFpI1k4+lg0IfiyQlS85CN2n3o3CR48JoW1wmqdY+Xz+T5Ei5K
JXx6xLU8hP7qTBaj581j5oqDNYT+PkzCfCPcqPmYd80179/zzxwsJIJxJPqCFGwda6gQfGkG9fWQ
I2i8d50er/Q4CwDIkO2jFwK2acTd6eXzW8i77BxbZK55Jb2XjGIIlMBkPfVDsMlO9UE7cIZuiYuK
aw/b+gbnMMJgQVtgaQpxIa0+OSvs8yEZUuuQ+kbfvDErv5k2aakCnA9029nNTiYWQrrAXN3ofQO/
Vv5bU+IfNvYzPYxnVpl7nIom80V4ZF25QezcmOYB2ytrNjrac0BIyhop84ZCwLbOQG87cyZflBgt
B9ZbMj0uG0ggIVpUpwfWn2VhuSODNp6Pgjrh+23Ma3c/pT6AIHtyd0U/tS/+JBdFHXR+cBSjGWIv
t9FfMRyL28Mpw68szbwvg5DjwZwWLbci6P7h179oTZdAieNLv8Rft42NLtU9gGGc0WyCcQs+zS15
EzGizOfjYCzIKawddi8+uUhhojCNvjRfxTqzTcEPZO7c2bxOU7JTHmDtvpnzm26BYV4e6vzeZsug
UILfWBqa6zOT2hRyDW/CZ7worG2SGvbr0U/Hh0gbyaO0QPVdHu+ZS4cTSty3SISgVbsKPQuvGowx
YzyrAhhrzkq/dZLiZ95odXN5pCV0OH0hiAAXEjeTW4y2VqEFvaMxz/tpPtSozn8RfQlsT8gyu/Ky
nw9D5YGqHZ00iKgQ2E+PYohBH2AzTBU6kTgTXRNKTFursuzPl6dzfr9QVwFRQ5BEEYm34XScAOy7
AbLVPAiJcQH+JeFhpgz8UyQgtYdogAkNPOyQAdu98iSdH5EFqoOenkXTmSLSqvQxB4aSlZqR8HAQ
GC0b+3dAb+DBGKwn6oje7vI8nxuNyiQNSgzlkApe3ScleYOJrKZ50HbZkHH5fbyH1tJubSn9uyad
/O6FIy7VdQdPBYo6VOgICE9XNsL2uyriWdEeA9M6hOav3vLvtIe4Cm3o8cpqrj8ARuNZpzAG6AVY
1FrnoTSLIaxEiOWvMYjbhpjwaBRVJDcFCMLyhVHZn8GIdCH2oxnOAT2dmkuqWiWKwereSo4WNB7k
Afvmbh7QBxN15V355k5rCktlmclxLy+AMKrM1uoRDFLEnIbBUXttKhf53Hp614cStvHUY3LOeB0a
nG10a3We+4V/a154uyzjw2/Dy5vClTg7ql1O6IT+MuY/sdRb6qnZYaK/iz57O185NWf7CAQDha8F
+wEeA1jG6dLqcIjAP9j1fuy86WnIZJ28rZu+y+5Q98vfXv4onhsMYQoePCpgfImrj98GsWabqUOY
VJfZfRTkKAVVdEhV2NUvnxflxqUU4XI4EYVYzcuOeqfxnHo/mwnqIlDrB6DyUYVIQjU25dcXT2zx
Cl8ERsjS+d5PR8t7LwIIxrcX01I/kCUFn/ImzHYqAb9/eah1dERRhdcA8AzngmR7DQbMfLRvmsgH
ehopded1HhBZy9l7hDcbINHZtq7na0ZYf6yM/n6EGJTCJXEvFTaOy/puiQMri2jRd3uza6a3hssx
gefRqpt5pL8bAeW+960+OoCAE9GWUh0EDcME9TsojSM00nG3sCVBz794LZDzpnBOHszTeFZ+C3OF
/Bu9fOyay0Op51BuG6ea9jH4nBsPGeNDi5PNNXb92Rbwx+F+QXgMhdmikHG62ypzYhukCNrNA/oq
A43sjdNCogKzNd8K1VJ0MNWV9/ns01nGXGCG7ASZgFjf7rE2dJJX496ZZP47tXs8CogXbqtadC89
zMtQiI2hzLw0UNcRh531VeJO6YikgWtsZLHQzwbZ3MKlzq+EpQ4rdXKuGIrcno8UCSIuoWXWfwXA
6Tw3qKWigt05hoNne1tvhYjGK5/Mc2tH1kYItaSIZ0qJiT0py+r9ce/bzXCnrbw5wJAx5KYzmmvZ
2nNn449lD58mwKQ/mhZ/zch2VW83cMj3VmPZu9CdGxz5xuBdgqzlBmlz+AB9X770sluu7wVNt0yP
NHEJuv4aNI0gE5pZr/d9hkiaoyp5x/Uz7U2raA4v/OSWoYCdOpz9hcm/OvtYISnEhSjljtZk/0Q8
ABfFzC7RT6xT9aFyhD5GpKXfL4/6zA7+gUGCN1vKa2edx0Qkrd0iEJW6w2+7r8yHHuwKxTVnevff
jLSoe/k8UczxdCmdoqSs7dp8Z6mIb2bP4EYJO3g99M+v3F7rUJibdGGi/89Qq6X0o8SIUNEb90GQ
1+je5RjIDzAhtl5uK+BgUfLWGOJsa7TVeCXAWYHniHCWsYGmg4ykVs+xOZ1mmwUILvTzuFcqHBd+
0Xgb4kfxVvpaAyou8qFCI6pzHyvPg8jgYT/9VgyRfiO6trvnochupzCqd3lVdHSCazrgpLLCuLJE
z9wPtNp553jA0bFd73tE8hg6VBn3UC5+m6Wc4IL5wZXrYR2qL2vBcwp0A8AmCfkqBJrxQqdsw5Z3
g5/f1dy+h6CN7IdgSOy9qSfzSqnhLLpcxkOkk0oDyYG9lrUBUlVzqQ6M10DG6xQdbbt30gOVf3O3
eGXD5tNYwo4A/mWty+PlE/7MDcXwZK+LRBg7v6z5X5dFj1tdH6UA2RpPy1dmYw7i2Hnw4fwKgVuM
A2X/RrnKda54pz+7zCSWQCeWdtkasTGbctSD4MhJ8Bk7MtrgvoP9s/MKCS8oD641A5454xh+IJe/
PNMIaIrV9zV0IBpnzxz2NZTAaJN0XvaLSqf7ATaEVptBts4BY2/v55CNw65GjxAxR+E0v6rJzHFp
SmqsgQf8CfaD0Gm1AR9d7eJAB98ub8j55cZhIEmk9MR+AJs53ZCuGgpq0QPUqYGktJ7z2ty7rVnh
2Ud5JboSg59vwxJH0DukEORyn66eXD4226uBt+3tHHIrsJX5CX4Gt0ykEmZrmFcu1OfGc+hR+kvA
Sqdi9XWZNSoyw4wuwBDnA1Qyb4rkx0qmfbnp+iwEkMU+VVcGfWZJF/XBZUCiQ+BYp0uqHFrqvcj6
PTTl/DjTXvssYsDWkRVn2fby9p3fUYGJj+GSLTJNztrpWCDopmAScsLRpu9+WQPm1jL3x8+XRzGX
P+Y0VDodZrWOnTO2o5fO0x6WqbvrfJV8MVuRNaQ2lvW7sTvfeGXaFSKi9BT6z8BD7V0JABfN1c7G
VLOiKX75J50tMrEbumzLMlMOpyR6OnE4eGDZiBMOCJ4mCL6TDlQJnvMTmeb+8lBnh4iyPoLGJKqU
pbFqXN1ZcRPDVM1b91ClQ/8WTJmzjwtIsmJqUCmd8l5feSCfGXARJ6f1ilwhqmerryQZ814lCEoe
gs4tHwT7/skO4PQEYeK+Snrf0FdeurNHgbCKjhr/oApnsrKni0nmJlU5ZdZBI1j9xkpj71HYuf07
dmChbApwoRTlBO2Tu7gPRXHTpcY1k6SzeGQZHZsmLs1waeCuThjBXmjLfLAOcZk0TyVNzNeC4sAX
0alq2uY6g0Hew3BtM6u5crrPjxJrCTP0D9OOb2gVdfnJ2DuRN1kHWioLp8lF1N213f42LiYnvHKY
zh5A5ulS51yEVC3aYatzW9u+dJ25tg6wrstdCvj4kRX9XSBUg1puj5f3aPa7ywf4uQnSM1jkh3h0
AWuebq9bi3rkKUJOop4M+J5GN+4a2fnulyqORHDlqX3mMAEDtfAKXjqnZ4V3bYcG6lfKPpC9pjvH
mtBIbAIMY0y7fm/XY3sQcS5fDRDXUD6wql+XJ3t2I3JQwKJCwaKnQdS2LMZfEUaczdHc19I8zF5e
3EW9H93OYaaubOMK3sUyEkNwWNlG+kQA2laXggCrWbTlgMCNFtHnRpfjbZc60ZeukJjXqh7NNYhf
nUz2cnZ1va0wOPlK1dl3rvySZ+aLodGiR8VFSNaw+iGI6rpdTW/soPPY/dSANrsdJHaPl1f1/Epa
gEbcDlBXCBbWD7fX6kCVZGYH2aa/HQty0UaE7CyI8eIhCkDGXx7vmVnxfCK8tSjbEXquPhM79+KB
7AQrdjH+SBAh37lGcK1vsxyFk1eNjSMmQDGPy49gdHXtdQYvxqw65+BMbrytmgqZwKLsbkJL5Vee
q7P1o8IAI5e5AHEkIFyuhb9OpSpbUjt4iod0BKuNeBbQIA/JhLdmV72LsnzYXV6/s6kxHocyBA3O
M0KTaDWeb6XKn5XJ8Uyij2IRlgT2j+mU07aob10e7OxOYzAfvTMk5Be+27rVZviFU3VZZh4mq5ze
w/TvPhZyBpZsz8kd2RmNeGSXr0Q+zwy61I7R9CPAww54dUKK3mhhMjBDwJ31Qz2E4t6rfPfI9ert
8W+eEGeBEvuimVJ4g+bJkaQ0xSZS9Dhd1q42hDFr4T3Vafo7G0FkCAfw3baAjLfz9aA+SUreLwua
/xkUZbaFcYuI1rroOpiTdETRe0+DHsWNIxIr34zzrB+pqjubwM0RDbw8zdUV/s+IVOA4qXwX9K1O
pxnGVSxR0HafYFDP7b6c2vmeQpmPupJvRq9BvgDuszOXkLr2/WorYL28vvwTVvHAn5/AVMHt0lCl
kr56lKljKSE7Ji1KJY9KDt0dMTe2fH6zyJvl5qZI7RLBA7e8En39OTl/XQt/hiZXoNjD6QLcuHzL
f32rPcazQR7FwVOqo3x8haaJsB8T6bjzJshdq9/rEqmw150Z2dvJ6wN7P9RTMuIVYyavK1dbyS1s
J+Nm8KJ+/t3GpYWWilBemR66zjf1DwAUqscMRiXm44x8XLCtR+E/jEUGsOPyMq7uHeZCdOzYtPh5
Di2606dzaVB6Mnx82Z9EbeEb7PYqg3/nSOzNwzx/bfb42lwe8fzsMCLfJHHrwnxZN/vhgsNnMlz3
Ce2vfjs7hvqiDTUdFDpbd7BhzZvORj2INhrfqmqTl6Ea/kwYjg9pF/kl38sq1hGVoZxRRt4Tuhv9
0QoqtYuTUB/iRM+HyzNdUV/8ZSxzuXk8DGromK1rN0ntQMXWtffkja3EltLtNd0kE7ZvRfdH7Yag
l1slevOVj55yeKP43PbWaI/hBkOPKj5e/j2rG/Gfn0PTDqW7JfxZn1vIH84gJ9N7aog13sEjb2h1
TfLgJ7W5mf1UHH0J4/LyoKuH5p9BWXAYVgs5Yl0/0IGBOEKtvKeIIvfRq8T4PUNCz9x2UeW8rDfw
77FQyiB0hlONt8jJhzlFnt21We49YSSafRoXZerSmrLbrqpeZtD5z9YuRW3mhYIGkzsdqgndEg0m
1lJ6A6awAnlItA7QmcpRz3VjYxvPfXGw3Di9cn7P773lUDlUxui/0pRYzTGx28FyBtd7MkYKvzod
yhs/LPwNNBO9qftqP4ztt8g1iyv37QrSvcyYgJ1B4WbQv6fXdjpjd+hT10ka+dXRrl9/GIokNDd2
EJsfbdELnMLdDIPXqbAJyprCafwdZys3YYrWY3HvgPjnwI+1WRy7wc72tqEG+8rV8swHR70YZwGg
ffT+yXtPf2NaqYqar7a/Uh37GkUyP7jofC6oBmtH9IvGeo6Vp9PN9aaJNYhbHYfHrEb64aWHniIq
bAriDlr13rpOr1LR9UkyBE/UqpM7Uw36bdcMxrdpdI3iyqTPv2pAvQvglRO/AANWFxqpeQ3gJ42e
8lKq+8i029soQRw4moTxCQG/fIOm57Wv+vzZIKiitkLaTXeMIOB0obM59uXsDenX1sKfrMvy8KmP
fOqSUeL0VCt7/fPyij43IDXBpcWCsuEZyCIoKghIjsi+Dp07fbYiq8PGxwLWgSTEl16J75eHWzlT
Lqcd6DwlfQdYmuVTZTmdYC0zOhC+H39tUoA476siB6JuAgUQ92jKIsBWYyFkSOtnR/x8j3FlojaT
r8xjnQTRfvC6PINpm/by4I4qG77UZTdfWZJnNp5sjrQO1ztqtOsIaEL20U6jLniKWofs2SXwyrSC
JV/n4w+n6INNm2Q8MJdX5vw+J78jXlhg/+QNa/10A3jcbKNt+oSmWHpbVLn1MIfa/SKMjF7L5bHO
7zrOFrEdkCgyFbqwp5tgSFr5iT1nX4WfZtuGWvSxaJFTLRs/vse3un+czB7mQN7pK0/3+SyXni+W
ktQIbLog6+1XCcr7fSK/znMFgdvM8nI7dmUiNnnhJFdui2cOG6NRWgeuRMWAnsBqnmXm90jg5F+r
hWOxLVVDQaB2yqJ5C1uoVHuapu60i2UUm3sJkcD/hiSvflOj2xxtXCtCOL9vA/9+qoeGUq8Mg+xD
rjrO6eUNOVsWWjMUbH1E+yko8BCd/tCUDhUEU5V8ByEWFtuqR0iBKHmK9gF4jw+XBzvb/SVSoe+w
4Jnpf6052XNetO6IAuL3woryh8HL5TEoCvdosDyboTLsjxhDP9jdcA34enbXgAAErYl4Nlh7m5bD
6SyTUqO7h7TIt4z34Vtpyfl+GGr9rpaN/pZ5+TXi7vPjgW4kDqcytaalqdKnUq1z61vUFeWNJUPj
86BLuS/7Hqm/2BTyChHmuQFDNpHWJTnRWU/Rj+SYppF2vk2iDr7Ng/belhJBUIFq4M4enGsIgHV7
AK4LbsG4adOJAAdI5fp0RWeTDnnvWga6pm2P+NHYKDIeJOdu2yhE1NXGd2j4LlH3cQ0UKWpVPaad
p9R7ZJjxbIO3V3G1ljlAnyu5M/E4Y59kcwtD7Q/JFQPZ87imE8CClC6GH0gJJQYiUCHiipu6k13q
b0ddBm70ECgKPrERyPmNg6QeMtjoJtpbI3OT8HUdWwVlEwidO226xfha1T1SBqXviO4G6c2xvNWw
4YB5lboUd2TIpnszUwxMb9rJXFTZBVqwX5Ax1Djs9LUt9wH1/R82sQISS7UiOh8HMy0fc1l0XrLF
bIRi/N6r7bZpNhCrs48BKhbTF7St/SdAHoLOqZM6T+QnGTJbzhD3+wxZ9GTbFZP8nijlp5u69IPP
WHcn3SJzFlMyQLojedtYLaUKVdv8r1tXkIwgc94hsnJbxZ6bPmIQ3z9Gqo30DTLIxXvQRglee7Pn
pLspQ4YZ3ypd30+Wsj4g8KXMr1MxI6hZ5XmRvRmGTN97fjylULE9R+49QCfFx87RQtwiDVEF42am
WTTuqNpkD2GtUbx14sDuNyiYoxBLOzaHIIu3L/R1F8+qX10RCbKJxmz1Dpn66jHLR6THRjPN5UOw
tHvYvjD66Pp9Vx46s5o89Lhz5/MUIO2yw6g1747RFBsPEXqQ4TYdaTV/8JopEeMemF4NDhAlT99P
bioUkoODhiL7ZTYy4fzIE7qzoLrRmjuEjWH/dlI8LZGVx/y8r3beOKXuNWzr2bVIdxwgwBLsLer+
fx6Tv6oPZhiLtKjF9IMrQh0TOfaH1FHxYcmqUXmx/R3s7GYn0jG/kgKcjYzKILgAWPbAypGUWz2K
lYedACKazk9vFEV7sPrOiHdoAJjvVDhUH9uBoh4uTwCZw6NKEBa5hrQ9Kx0QeFBQB/xFNwp1hdU1
MiH55RZFGf9Wk/bid3aggi/GaM4EYkX7ZkSMPaOVgPZ6hv3QR16n6cpLfRZyIZ9B7eAPSpsUbL32
cm7MksQl/054b0JrLZx4V5eIs28GA6+ucq6DrduFdXgl6Fpf2AsDZInz8F3nL2dd4ZNBo3TdCu/7
ZBjeoZmn5ra2gvqIxoN+DN3/x9l59caNrGH6FxEgi/mWnaRuJaexPDeEJcvFnPOv34eaBdbN1jbh
A8wJgICpLlb6whtK9A6uv73G4lKkX4A/DoKTc1Ffwz7m/MJuE/RufHtwX2QR2tPJHtH6UeY3egVt
sgwoKALR5aKNaZtzZrns6qmKUky8su4LlSKkkoe6+2rmMn0TRWuu+c5dfkSI33M8SfQCOlLMf//j
4IjR8HFo7v0XNceiJaqn5liHpbohfBo3ZVflK4u2bAHhmsWAM+sb+gy4kiUaLXFCRH7d3H1xEzP4
ZHdu9+g7xbjt1L65xS3AlmCTqBmkwEBvweX9hBWu3FxfyIuU+P1HoAxCHMXOhZd9Puuq0wowz4n7
kpatqLaoE832BrbzLWg6PNdGx9gFVhS/9oP03wTq14+JmamIhaeIC13/Lcv747+fQjcFYRBqxs4i
esRTRx2mpnNfCtdprVu369B26NrJQUO57wR3iVZOxzzNo09aO8pP10e/3NKzGsn/G33xIUwU5c12
0vyXss/Q7K2dET+zwFld9g+3GbgDbsi5BrHkao26GHo6HHxwlP2+GG6l7a2pMQ88jf3JClGavz6v
j8az5jR8Fh0BSbRIkvIO4SjXHZ2XoTf1r8iTYRc4jv0G3pTxb1NW4cq2/ujIAvIlMubQkibP3/mP
Y9QBzAJWKbEFkZX5JIZK/sgCXGMwWsCG4u/nRu+dUgM8LTpjix0TV0SElQgZK+js4ZC3VnLK9dCZ
PFjbbnbIEvP/Oh39f7loH2wTetI0/TTKNtA5Fp8ThnTvKFHuvyi+1oJzs5jgXo15ylfm9sFpYKB5
0QDbwTlYJH1FSiHDKCb/pVaLHMkp3/056YWys8LWvxGoZm3K3K++YrxRH65/1Q9WcM4yTKCytKio
3pyvIJKgU2iUuINo6IW6B9Sl8VdBP2raqUOXTitRw/LN5NSDxSWBN6nJknEsogYrFI2SaFJ5gU6M
ZwAFWRwNamEFr36BhL6YxaSl7vrP1yf5wbHgkof+Q2WMXXpRdw4MiwqzyefFruA1bvLuhlQRPbEh
VHb44JUry/nReNDAAXaRwjHmoldMM7BKNHVUXhSrQi5/6LTZCmVMdooTRncGX0FdGfGjZURjkr4C
eSod7sUy0naKXN/XlBdZTgCrHSv2N4jFRjhBBthoXP+cHx0LyCqgYMiVSOIWq4hlUVAXQee/ZAY0
px0CfOWzpg24qlwf56PdQtxBvg+ZgO2yOPFuV+EzNNn+i53K9nYS/biLZ4sJAHP+nV1OyW01Tv7K
I/nRoEAc5+QPKNcFiRk6Ye7GdStfFTKFjZFUwED9zLoJAq3EUaU17gsRRoe/nSmcybkzTQMVOd0l
CrD3OzX0VUu+ttho6pvURGunBeHTIJwnyzssE3DGhM1sbK+Pe7mSM1eTCIi6FlSdJZaLinU1yMDm
TMSNXnklC0FIQsno9/VxLrcnFyjtfj4nzqH0ac9vGauNrBRF8uB16G33Th/T0Yt62/psCGUNM/XR
UAjKgleHREmvSZwPlcowjlQcXhiqT+9GRURfg7QriSfz5K+vFYtTzsUC6IQQZhkYS5TcagAOzMrV
s/tUqZVbMNgchQ7jzwDly+sf8XJnMhzo4PkO5S5bEjYMH88P/O3DVzSqTGwIh+bZVSDXp24UnnpF
Fxhy5WvihMs0i49IBwUqD60LynzLOZr4X2RGloevKkjcg07RZasbqY7pTaw/UGFudrkyiH8CCmU7
N0aU6/qcP1pNQou5FMa2oQh3vpp+WI52iUzfK9W57pZnMtoYdpZ8tqcuvL0+1OWlTZBOJRvcG2eB
3Xo+lJk7nTlZZfpaD4le7tQ0zOMngEyK+EaFqvkkC2FhI/L3g1IL46CRTBLaLF6KtIhjbDry/FXr
K3lQJbav1IX0uxEnmBuYcn+JFmWGQG74hz1EFAWP4HySmWtNlUF686pXtumZqgh7r+hr7JnBT/2O
KBOvvPiXCzi/gjSkKPTNSg1z5PNHhAgYLcpkOySv6igmhCGk/a0LEUeptW4SKx/zg7HI6dDxAFEw
v/aLsQgjkDbsi/gVhVB9+jrGFem/7/qpcos5QP71+tJdjDbncRpcyvfi98WndCohi14Pm9cBtU5s
DeHWaQSoPL6K3v0PY5GZgZCYSx0Uw86/IpYFhaXiw/qqq+gRNaqV+DveRH3b10q41oK4uGdIwqnN
zpkZtRXyxPPB0HAdq9IXw6s71PWd7uNLALXffBy66LZzox2GePHK2Zt//591V2QeaF8BJ6YAoNJr
W8wvLxw/S2QkXtVYJXxp7KxUd4Ja4Ured7lmlPNpInFZwymBXHI+NTfuYM6gXfDa0KPovQGvoGMw
+F2zSVDQWdmO83c6n9ScYiNOArWD12gJt9dqUwk02Ni/ErMFaR9k5jeYB9EGPWCUIRVMvfQRv2UZ
i+zX9a15UW1AQ9BCoZHjjlEGZKF5if84dfpgIV2Mmt5vSqbWz7BKixOZ1fi5jAz/iIxv/6tQW+Ur
6gbDEYaU849Ix37lWy+puFSozFleFhg8WE+QAotHP8yUwc8ns3mDIlyhwGxFs+FU2MqSuhimdMck
VLVnxdUn45tipAGguFHXbtLerGJqxqn4iWq7H90mqparK2/pBYKBaIu8Dogqdy7PyvLH6SFgzyYx
xVuJWdlnnOz0nwpIq2cq3lWKRyDqfwPVI6hHwjyVeCnZCMQp2tOkyXwOJozun2qKh++qpcJmXFk+
sdg584/jSCBbNYcVIDzOl0+rnKTptEm8qVXj3uOEIZ81/OVxhKgd/bGPJgXlx6Z0ba+nXJ9i8GQH
wbariv6mMYIeMyRkx82V9Vy+j/OPmi2rEfID5EJIcP6j7I44sUMp/W0ak+HNLLX8t5lQVTVYtc8C
D621rzDvjz/PD/VNwuF3WDaGGbANzgccHDPEAW2w36K8UvED7LMGSWAbVZEyqOVjXheZemcHo+oZ
SdQ625yn+jM2dJ2X61r6KxuJZ/aBaNK/s6KYsQ6UfudknQTIBGSx+BJOks+If83/FbfmTyVGVdHD
pAEJFzsrbtKoeru+HZb3McPRW8f4kK1GQrKsVfpuW5dtLuSb5BHAWhDDQujAyqkqUBDsdWyfjd4J
Vr7+8vJ6HxTyPhV+G0b9Mth0xyYoOoRs3wDjxptGD4wDLS93I81ce2rdQjsMZq3d1jiirmR9l/sM
GAPcjhk2C1RqiZfpp6A0zVaRb6MW9T+K2fYniEL9ZLRDvB2c4OYvvy4wa6zfuaV57eDmLyIwIiU1
DKMoQl8fqzBP7/LsddBbfF7dLu096lr64EF6W8szzeXunqHqhD+srA4seVkQ1rQJFyEnjN+qhKNT
ZjNjz618bFos3r3t9UlefFMGo7Wpgl5hOQkhzo9SUdkCO4Q2fgNaEeKVmTS5AruR6kcWNsqut0YU
z64P+cH8qOPP4mPggoglFncYNjARjfIufTOx3LmpfMc5pVMGvyIEwvq/DAUAd1a0mC+M89lN+HEX
sVqkb0GCmWPqagqC5kJgNhpTIFiZ1wefEhEloj4yTPQFl17aVCERxVWq7A30YrDBTlq/aWlGHcax
U57SfFortnw4Htw0kC/UQC40NWE8xlqkhflbGJmy9uwiL5tbVQzmSVZZrnhFYegr0MmLsw/WZT4N
83UDPnS5dHFAT16J7fTNiqIBwkFZ7Ko8sryqjQHcqLVo7krDjPez4tNa0PTBtuF50SGNzGELGlnn
aznCzozgGWVvQTvkmQeGJb+pyz4K6XSn1krD/4Nvy2CkJdzjxPJLKakM72w0I+r8bcpifZcbVrsD
UjgcOl+Xm37Efef6Rv1wPF7OmaxC8XP5YVMh2qBIh/ytrSLrhoJEvJ2mKn3i4cpuap75lXbA5cfE
8A0XA/4hldOWKqPlMLtXpVr8Ntm9+rmUbbmlwDw+Uchfw45fhpwEUfh9kThDLKWUtbhHYc/GGsFS
8iadsnC8bBLJHo9G67tbI2bsjFO+LSO1BDnV6Y9Wj41G3U3lSgvx8gPzI2YVMmQxVRZ2EXJSlRzV
aMw5nPYUHcw4xw/VyPRf9lAg5ubmf4vWYSSErAAIzmQ5tLMW96qvt13RKFP2Vo/Gz7otmxup83AV
k70NSZX217fP5XICDaMTS1kSAzx1qWTViq6NdV9p3/TY8B9CdVL2ceSGt4bevf39SCAJCTto7gMs
XkQ4Idq8Y6NU3Zvfi+JuEm6w6zsZ7lMUig7Xh5r3xR9RHrAu5BJAxwJh0GAgufNl9EeqMk51YkdK
Kn7LLDcOhVaLXa05PS6Wio+fMqpBqWPKbdCH0TfVAfV3ffglHOm/8WdwGTeePoOpz8fvgWz2TdBo
v6E+GMaucUrxT2M07SGTPezlsVDvVOn/UH3h3IDgBoRjTdPewJv9UW3StetvcfXOv4ZqCT0gsn3i
g2WCSusWyDR66L+F0tnbWvpQMKzM1z/Hvu4cat+Yjd9rH/PcuFqjgc0v8mIlUKfmCNMZ57pYVk6t
QbczITP9N24JCa6N+fSPiGxlpSC0TAv/m+I8QeIRVASWUL60oYiZZZr+uwHzc6slCjaJtZvip1hV
wV4dTeFlEWZO4zhM91GtPOhDjE+53dwmeM9+AT9dyZXwaNkY5ze9l/p578hXCd4Xr44ztAOGTIb+
2xL5Twzm/ZsAhPueN/JHixtUhR6OFUxbF5esz3jjQhMJW4BYE0HN9e24OOL//RBeCPgRVCLJn893
Y1FmwJFFYvwG5hjuaqybb8Og7fZKZyi760Mtb+x5LEBfzJYCBSyJZWm37d0QSrkRSE/RHbRTXQfH
pr6R/w6JrG+neoJkXGN1h34e5jeKT0Eb1M/L9V8x35Dnm86e1UVU3kMgI/znfMKadPLeBLGDDVxU
u8fWcT8VVe90aBG15ZeoQtwYoFobr634/CGX47IF6UeARLzUFhn9KFdio4OaOujhQ2HjA3ffQoXZ
iFIZf9cJasOmEsqfiCJm8BkSVKXMATOEFj8CjLk6tTj2Nc22lejyg+toNoAAWESGjVDBEubsxmZg
ufgtSA9Mqnovhza4NUfF8drYHnDE9ofjMJT1xkZOfd+JwYZlVxunccrETqdd/c/15bncjw5AVOIx
9iIUimVo3Qi3sxo1xzcvhol+gy+W/8ii4F5v5Gtslov7513PFxIN41Ci0xeHsMjyXlFqu5P0hsZ0
A7oc47WuSOWa4t7FnmMgCEHsOShfHPf57388OXZfDmOFUgq0ZD+d4h02h4bYJk04FTjZ8dx7oP8a
eWxFX+Qr1987YPhs4zE4Medc5aSnwkV7Pjj6nUFfTDobz4dqNe7x+wjEKUgK+RSmujl4iWM3Kjh2
gJFbDKhU96j5fvgMY2rKN2UkLZyssUxtPIF2OxnroBFXYeoKE8F4wvc2zDc4JjWGB6rXyndV7/rh
TxOpNOWTVRVBdjQjhDC9vA1BRuLPOBLDa0NWlYXnw2MNh42hS+elC/vsOUgDA+ulya70dod8pIMl
FAWrCW5ThYH58/XN9sG6oAVA0w7WDmzu5eVH9RtDpEHXpGfxHtxmuH3e60aZbgJUGP8laR2ea0xC
1lgMF28ukQ5MkhkEQSmAlOd8RTozT3yjTgX2ntCd6tu+zMdq03e1rp2SorOTI7yu/oQZVZHuSho2
a4/+ImpFfBV1MppOcxcRHu0SJWRBSYOK1OuB14COwwrN6GaDU3gH6iZ3s/bFMuQanf1i0oyJlBTC
e0R5c4n6fNKg2get7hTGNMz8V95VuJHM3o6BwHdAIK11MGEi7K1hslZOwAezJUNAWYmnf6aOzNfA
H6ePVC423VjQShur8MZuZBnfSCEm+blB4cK4y4nY05W84GJn0c+ncEYhns/MRbYI8jRptFFLUTMC
LWwYXmPHVrPRKlNLvbSXxUbB8/m+Amzjr7wz77XAs+NO9gVec2YhgnqBnnw+29HucjfVdegwjdo1
2XEg9a2rTYG8aPK9KRO67rnRas2NM8RG2GxsB6jR3WCFWXtvZz2hwJ7sfxL7Knbixxbj4MDTKgFk
PlXSttg6bmMcAgJrOIdFPc3Y7jCVkQftWNq/gjix2q1BKK/e2jqJdbAx6S/6J7fhNAs8Hm3ckOMG
25OdkaZq+GDFFIS2iVlXxRbjeDC818/48kEBukVrlV3HfwFYXuKGY2J9lRxNfO/ddmuKb26CZsz4
5fogy9CGzhW0Vohw8Axo0dnLTKkBym5PGSIDWlzJJ00o1cYI9WpLiszTFSjqLk8niCOake9bWmrH
KgNHdv1HLGb6/hsQoyCGByIzUzTPV17NeglAt0BVIQ3MXal2He4CU0IjyF/T+F68nO9DzfnCXMAk
hF0aNhWtIvwKl8i98N34vh9GeZoizFOvT2hxiP4bhah9lliFsb3k+SmDmzlWjVhKmQfGPgj9aBPj
3rRXeHhO0kqNE9aJaxL7H33Fd51obLlArS6BTRavXmg7rOTASm/aJEuOOEOEOFHhn3l9fouL6X1+
vAG8BgBwHABq5wvm+Knq1pxLVKIidQuCX9lodlRvw6IM7xQp1kTnP/qe6LDM2RYgfm6f8/F0H2/H
2ZxmX0GcexRNPrNCNH/XxzAPdD8fvNaK/7KG8N8kOX0k3JwLZFPOB03FaEXl6GL35BA0lE1cceUD
wlHxjd3/9fc0ZoQ+NQv6N/BqzofCKmwQXRWIvZkoY+5RIBoxcwIc+AOTY2MrTbtaqXd98EUZkeEw
b0OIcakVmVrR1JfAqPe9lMNWVtGEqZiwD1j3VndiDP4duahvrs/ygw3KtmQsrvm527k45gE4NKtl
lRFPSeTG6oxo39s8blaUrmE1F2/2vHbMi37TzNWamc3nH7RQB0PErq/udRyU97Fe5Ftu+XyrF0k1
u+ZO+9qZip3v92sR80eT5B6dC/ngRujMnI8MoWnMwjbFTiT00y02Po1XGznSZq6zJpTwwSmcSeWz
aNLMMFnW193WaSw9xiQlKiROIuUwbaK2Sx9FUNP/VJo1gdGPpgYqf44O8H5gzPOpzd072VLT38t5
41gj7UXf8NMbvAV+/f1OmVF2dPN4mMDcnY8UIeFrq3HGpIIxE7/IcVrrk0bcrnmjkNPz9dEuvyMi
dDw/PEBU1lAuPh+NurLQY5eLugDmuFcMNwa4EWKnOIbJUU1QAL8+3uV3JKfiLuNR524Bsnk+XoN8
/0QZ29i3gWreGAmGAoGYyn8txw8+Xx9qWa7hIMxjgfNhL4KvWPKO4XHh0xy2BuZOoMEeCsMPqler
txOkSmRoV+WhG+pI7s0G4+gHq6I7nW6GVqTd18LBqfxG9Lb512qlfOp3TCwVGuSvl1CuAlH1kpoC
kqzS983S41WM5ctgGVO6NcdOpjuUbLFOsrsw1lbwMx8sNq0hYDuo4Mx2YvPf/4ip6aUWGjAWcy9j
EleeEUccs0A4e/y3y42N4dfm+hJcXkXvtywYChon0HUWq52EU08Ykrn7ts7jfTt24bPvdNktfGB1
F5VKfZ/qvu8BbM1X7vhl/ZDFJxQAkkhHjGsQ6ZLzuQZ2o6dZO+CiFBQqjGdpNpuuxHonIh6GwKoP
pzTDFDo0M+tOHQb1U9kV+SGfhv6rYZcDDcJJrOzIy+8PyYPW1Kx5BttjiR3s8FwHUZITGhl5cDJF
3e7iscpOAeyih8J0Pl3/+h8NB3yPGtEsdwT37/wTQMvjqWuR5FUQ4f1SiiQWm8jp4gIEWjftysRw
k8P1IS+P9ww8RfODXgfx9FL3kMV0qFZIfa/HQVZ7oHlxNq9B1e07WIhrXg/LMhiLDNR07liT9HMt
L3GKkISJzySval2H1dZwisGz6lZ8Hpopg6/TNVtzgntN+y594QZ9poRjb9IBNXMzt/KVuV+G13Oq
QukdpN8sIroI1NLY0YaWpAu147RBh8gd4w2uq8EaSexyWRmHXY3AHJ00Cm/ny0pjteuSAG3JMBuD
rylCBycr0dITqF7FMxPn5fqSfjAtdEneyZOzJ/fS46KOrUwGBp5O8cA3DpDMe3CCXH26PsoHG4fZ
8CzMWnY4+S72auE0spgyFT3JJDK+NkOQpJ4b9/2pzSChedcHuwwAgQDwsnISSfT5mOdfcCzjkRq/
jzpnHQQ/A8U1f1JnldMtYqxKvSvMZlAOYWXExcp9+MEs0QLlOuRdn62PxPnAjWY3c8Q2p0VTezID
o0IWhIYgNr2K+u36JD/YJoz13rGegbzLpqOjIdAH/ozXbwzSY8BluY30AnE3jTZdYMdrKlkfjjcL
sLOMHP7ly1471uC0EDb3VgzbIomc5GgTsNw6ZWxsBbjh3f8wP3L3WVpoZvcuFpGwtrKqZjT2ehpZ
O1fgXZXHvr2hdlBv0XVq1l6UeXH+qNFw0YBAnMmZoCVBkBiL1rUejwENEAepoopK577IGvuLEg7w
6eEP1zvVqW0abnZl0CkpYPtu7aSGKjUixK5mGkZJxeqVc7Gf+En0Zrhw2VVzVfJ8P02YPlUmPmf7
jBQQFXsx7rIBi4TEHtdaIRfLy1DMGgQ6kgyz9sj5UEFUAcmhQbNH97x4kEU7HIJpCHbNLDDXUTVd
aXFdXDuMN5PcQD+BUQX3fj6eGfq+kuOHsG9EhbtvnaIy702j1vwld+D9FiBPgr9Ayxxg12JisZEO
dtHF4sDRjPbNYESHEZ2gHTf59+s79mJKwAFn4MGM6CLiXlpYo2tWWxLhpYOOm+QXNo15xBswWFHq
uByFfzV10/mCUWcj1fMPF062wFKtNg8aeifpDp6LoGbtD8lQOyv36MX2o/tIK5TjN/ejkTw6H2rS
E6MZ8saZtRDiV9SdrRs/G4utFqv9GpH/Yv/NKGlgcDP7YYZwLaaV2NRhc710DmFsIN4M5BVisqLf
+XpzSlTFXyk/X37FmeLBRT2zSWj/LXZFF7dAVavCORjWOOxQHZ1OfmmsUa3fDX3+vFMwcp/dBGev
WypmqNacf8HOsnHgQoJs2yNKYHm6ViVZdYu/OJInblQI2cF2Nu3+nhPCJxXYKfoHVMoD/YgloJV4
DTVylzekthOvr5B32CQxLC5PDvVY7TUM8P4tWxPMWyGrL3SUnEdgTvqT6cdGQjycjN9wrmpPfmyJ
L/2AKpYn28zRNgC1Rej1kTRfUYgq2g1m2+r94KjDz6AXTrot0WU9NRC2jK0txpjybCXc6Ugdi/sv
NoqG/rw9+rpn2ZX6SfYCs0RXYJz8oOZd091BU9KHHdgm65dLPT/diMAIvvpV0v9MxRRgVGBTILmT
teGXHpcPoBnfbORDXtN83reprXR7yyzDaUubPM0xKpbALGSsRvbO6oXUnhyQr7/6Nk+zA/rqDo0p
X9O8zhym/pcu8THeyoHTuOsNPexbWlUmQk2bKqEavk2MaEiLY0urlCDOAsQa32h0x3Sd5ous/AzN
l7hNH7M6kcFOVtL033QDmY8dIUdlbEI11NPbphgmZ+MEaanVm9BQqpKPZ7TUDghEw3KP8J2buh54
lcBX9ojIRMNtnjXD8JYWpVlSfNPdjouoHcfvnW/DcvSgz1TuoUYRf43kNx+gs61IdYMzNvdV6XtS
4TzfisgJTxp0TbkLZZSjcIfYZIpnQ+IhojbtAaE6nszR78qUjHYhzIjt9dtxecAJ5Qn9OBBcJtRX
lg673VTnI4CiaOdbQ35s7Pqn37XZ3nKUcm+LfE0q6uLoIbrPncVzBhAMAsKyxYAEVpBMgR0dpZ4W
/r53BQIl01AJc5dnpm5spyAN+1tDFMK8tevSaXY1+OoTBNbWhZoPWuJgG1E47Tu/VP1dWVaq41ki
0jindVYPz3kd2IEHomFQ7/NWjf0vAJpxK9UzgtqHcZDqsW90vfRSIKQlh9hIP6UE4N33RtpavhNl
L5qtZcfUK0w9polfoXCkYqfaa/5j2uV5vUVBMkOHx5bEQDQxsupHjQ+IvQ9jJUALHe/br4Xom/gx
xj/uTlOKMvfm5/ZF7cLO2FVlFGUPbhVo+qFv1EC7EZGIf2tGFJuZp5YkVx73ReQ+9bYoUO3r5A9W
KrU2ELPA3Wh12N2jwDTt+h762xew0bF64rcO4Utsopv8j4wUOd0104hpg6+Xdn4Aa2jjdZTFuH3f
WDHQLXqMdf8UDlnmHEbFzRNM3Qf93s21MfylT7D2yWT9dhvTg3GNnYkQteJFLTLwwcYy8S72LC2q
IBnEcFjEc0mzcChu+pCG8I1TJlN4QIJIavikSNduvLC3JvMoyEoV2BBuKZ/0MVKHL5Y+ab8aAjrt
RMlMk4diKFy6/45IUghiJWhPo7Kc7vn6xidpWxw9+iR0oeaCAOz6GURxfvTqIOwpNTn5keaxBmqj
pIpj7/Hu5sAHSp7LxoNg6VZ7x06tr8ngD79dybXwVGSI+XlxjkeXV6N6kHsNhZ32ZrKz8EV1suBB
5jzhuxTmSrdBG7QwdiEHQuoeSoiYZDfRMApkjwORPbLH+2iTpaqovGJEBpL1gnP41CmyLz5hbKak
e9NJ/XwHydMMN1mZ6RUQhF5Vw7uusrXYa0Z1ytuNiqzOsM/RJI7vlTQKw11Wpk4XIiuZB853Y6yN
6YelTI75LKokf3HqQLc3raG19a0TSlAtbaTqo7PhPhDJgzv6nfMWwoIquIisOhofGivJtePYxu0u
BUMa7V0U7JCsBLynhxsbR576Xzp79mZMCj/1ugDxp2M0BWaRcp+Zo++NflmG23Dq8snTAnqe+4gC
4IMhcrd+AHmW+T8sK+0sD6lmtHPC1s7HfSSNcbz3Eyh9u5lj12z8UI+Ofl0pLS9nCmHpU48MU+sJ
dEvsvQkCCEgMNZhPVd9nN6MbDPEGpZNWvR0zxfFPqBq7nxQzDZzYc6qhh08gRDUqm6Cym+hbLGzx
DPbXb8dNX3H68g2kjqDapkmTqlsVbP649ZMiNrd27pjKhr5GkFubWvDKeRkicQ6GNDCpJ+Qewdn3
HuzHUH1Us8C3X+1JV0DrjHqe7hrk1nrVw2UpSj4Rspj/DGVWx1+pO09bJdMiB0SII1+rJNE+F63s
tFs+vzpuS3uInhvOj7zRIUDMmB/bLpWtb07ioKtRBP3IyuFyFoPUn/1aD00v8Ntwy9Opl4ewzqbx
ZwYOVnuskS4cfxZurbNMmhiShyEOUEHGH3L4Klsa8xuhNv0WIy/ask2XZDcyF3mwHftCso/9MDAx
S3f8SHhJb2bJt0wZ/X8NpWj0x7DRgKqFUa8Ge6su0huzV0bxFQTwGN7VveNSMSq6PPzq63UaiUOf
YHJ761bs/tarQojv5ZbKT5zuJqPPxq+TNphvBn/ElcGYEADz9FDjwfXcCB1FcKE8czey1ALf2o1G
VRubKEK56Kc90b353vu+oRCWQ3gfTgHyIcYxmALH3mdarN9Vil33N2OBBvd94Ja2fpp8JdUAH0VF
R1M6iEGhTM7g7kTeiuQX7bPOPfHvMglTgRsXO9Uu7UNrjTIpQCEGA4LiUgmnTT4DEDw9ruvi304D
SLOra4iOqk8f4LUrirDeBunUyE9Kq1f/GFqJAm4G5nM8jL0w8o1bBOGphWMz3ldgglFmS3hddkmj
KbdUMxTCvq4jevba0nURJB/VrN2rs4HgsLH6NHgGB5Hk91Gftt/KzBXKb6IvPfN0zH6LIxTuXvOG
SNV+STWIlJXyyzLEQIlsbvfT/cZfY8YPnd+zkQE2Wilr9YjeXJIctMmH9xHbdOYGdMxrTds0baUo
X9bu9+X1zrBURQhpwGOjAbZIZeUIxCAYCvMYEy5mn5xqqtxxQ0mketVFEFgPZtVBCIlDIAc7BcG0
AUnYlNvMGBRzenKHhiPjIFH32xzHCVJ0nnVN6/nmLMQ3gbh86YHLx73X9Gi+Y26vOXeGa5cCTGbb
dvFKWfm9mf5npDgD8OYGONXXOWdWF7mRQS4WD7TXj45WSwyT9bxNbkWrudUWcf+YgDmvw59Jljvf
jMwsQUOldmE/OcaokwMgGuXfKZkM1Tmp0YzSy+k/+59Jr6JgwsZC6B4xe6rvFIVL/nsdN9HRyAvN
/JIZaPA5ZqM1nha6WL5bRZuuec28wyDOpwd+eq7Qg3wFZ7Y0n3QbQGC+1LtjjxtJsU8yVb1vLXLo
oqmyx2hUY3fXgBQKPVcOPuKFav2jGrNc345Z0BwVZ/xh0NV5w4cGLiYiFt03o+1+OYDk13ydLwIH
6jEgwQQ4UF5tSprnG9qg31rZ9dgfoWaNBUzloo5yT0YFrWhvYEPVG6Rk1Adb7Yd8P5vPJLfXN/fl
kUKIjYCRsPS9FjD//Y+WktEGdEF9Sz02VDu/0b5qdiX+bzovOE/OIFNi1+sjastEBV0CPPfQeoD8
AyBuWXVgqk3hKJl1BOYRqYAvihy4YUdycbILPXIe8ERL1Q1EBOeoCIogo1eNwp42WmvHvvCQJHTt
T3C8p9SDqZR0CCZZToRLlIm42NC3odgQwSYPFv+veKgSulMrc1gWoC3KWnPG/1+xm/z//KuhlWfH
EAado6yd/rYgIHqkAu/eVSU81rbq0YLHPXOthHI5KuXXd92fuTzrLM+tq7fw9VsKvwVcCvNQRZXb
3+S93TlPMhmT4Gvs6o1z52ihWGszv+/Es0NFv2uW9GcapJaQVM9nDHFKoSpUpKc6Vt07p3eAiTfY
gspPIQ3RJ6Us+8KLSh25J60uTPEYxGVt7g05+pmHQoPa3bB44cMYRV2VeWNZmclhSEXyPEiB/aIe
FXj+kd9kv2vmqO+L2C/cFcbbxc6DBA4WEmADO28maJ1PQtZ10Ao1U4621e5HF9x3bzbjG2+J+cRb
KHejFrQwjk3zbTQnf6Wwp1+cdhcOGpgcsgXekwt5HNGFRTYNU3zqJr3UtoEr+7ukKS3qNIQeKcr+
cYyrIyTc8otNobTk5TfrJ9FN5rDxizhF6RVirtwJmwDX33RT6qcvDkSL+9H2nXwfT6Scmxylinrw
AqBpsD+5o6vRM1pHNE89ZnF3I9jIwRsMw1d24NuxWfEybCt+GaZikIkOo4UzRqNZzS4s9UCe6FW5
4gRovne8sY4LBbIuqXIEH6m3nA3FKhfatgnNHvs7NLTVw8p9MR+m863HsgHWosYLtpL/OV+1rJ9c
SmJqdOotOUyeDmn5qNVT/0DtPD9QB4hOLl1xT9Xkr2JwtCN2ns3P6z9iuXNmLhZJPPwhdE4ALy1+
g5sXofSttjtlFT2g28QnFvE441p0pJtHVVPXI0v9P5SdyXKcyBaGn4gI5mELNUkqSyrJg+wN4amB
hGSGBJ7+fvhuLORwhTuiN+5oFySZJ8/wDzvbaJV10JxKz+7srNKLwz8/BrNw2NI2gcAHgPB6KaZl
UYZfpP1d7oHMhtALWWCodWOKHDOVRpj6Wb93klx7N06yCJHwrK5s4l9tld+/BiuB7gq4di6uFfK4
WYk2SGnGZWlzp+Il8Y9pH/RL2I1+698s/QDMFDz62JwpsdpvdgPSeS9du7rP+2lo0fAbG++2KZIE
l6ARPOphaLOx3bVwCvMe7Kw5A5Ed9UEccPjuztWilxPWFgAeb0dV+XelHcdTqHlFfdsFSasojkC0
uwdkHrUjjvBDeWVKtW2R87rM39cX5XIF47kp7ZVhWksCZ+xO893vk+5r406k+ae06Wv7Snb7Zhq+
/hb9A6AFfF8mfpvfEqL3i4z6DnqO9n3C8tUO40Jmzh6F9+xYD3RFw6y1vOrQlr38oGLUIJZMDp/p
yI3g2a+fvW12sHLzmauw9cGbkKJsMsWZhqZqZ9HeaQBfs6jvYW2UZd70ke7QwozMLluCK3frL4zB
6x22qkCRlbC/CR7bdJtw4upT0w932QoauHOdorZOCOt140nlvTmGdtXIMbvrdC3RnmfseuuHxtaX
XT4XffGCMJ6SLwGNjocsDbRkX0K0uaOyMz1ao60x/LBLU00Hz12K+Cjo2/fh4iZetivzXOCohSg4
d5ZVZsq5x1oyVxcIM1y61LX9iwYhRhO4nUizisaRUB0WBYJY1wDUb3pKLD0IK5TTYSysAM7NZqhV
rNllMlZ3jDX7+zl19ASwSVcXJ4OxpB/2cW4ku9bpICeVQ19/XxqcgA+GgFUT+R378xb2hb7LQHlk
US3c9CPkk2o+TYuhiV09m9bN6MTDNZuQN6gtHhxlISoM1B/XedymWupLpv6pqto7z2PzPnQVl/q7
LKUxbBhzVdw1ueHc60vrxEfNRCX3AdJb3kWD5ebTYSrzzPv096D5h3MFkIVGMdgdxs30il9HTbPV
Zz8HAkHUtOq7yR0BTyK8/mgY1cPQ+OmjgjzzSHpv3rSO04hQryerXjGs06ekBS15ZYf/4VTBQUUs
ASDpCtvbfNoplbFSQ2HddfSQafUsrgo9o1yOdsOQf9GZPV/5xTdIeXCWK2CWAemKy+dAv16CahgL
I9b0/s6C4AvrpfbKKbJ6mek7Pqasy7C1ldk9GeD2e6Qe6bDuNNpFAG3ywnKufJG3C8Dr8xAuH4WS
evs0yrPjRK/d9s7pPDe7KRYmXzs9sUf3G0z2rN7BzbS1m79vg3VVfwsrZAigjIALrycKIszW4gGf
9olg6TIdcGf084x5WN5rc9M7ZBRZe43s84dfYwrjMTenxCZn2aSaeBGX9sSIEkaAsZT7pUByNZrN
YLi1ZCH++/urbYadvJoBEwJoOYNcDt2vA/BbEZfP7ujU+WLvl35paRsyFmEWqVlXGt1v34mtA/KF
GgSGDYjq15uoDpzJi8HV7zMEMNS70cCZ4JMamGSfZtuP4yt9l20hv453KDrgja5VPBzVNZ/+7bVm
Hbu22BEubD14JnD8MRfIqQ6HGKouI71GHZWWjMmNNMjB2gid2WHcBUNcfNNWnMueIU+ah7FiZ417
acN1bXZtmSxMTu0aS1aEL5pahP6oVaZx/Ps32cZBnp4p/i/NAHvVqfslTfX704+0rz17cS9d4KL9
QCAQ9BHtQEKBTd8tlSu/aAPEmyUWvnuCFlk8ybpWL7Vtiu5K1rZ+md/2/vosq1QeeAKQfQzEN3nj
MOtOWZV2+lQmXmeEiZ24UVpMxhfVpt5zOk0eDceguAIB2RxzfnUlc/APJ47ByHYsUoqeHEGN48VX
ZfwjHlL5Ptb8ZfmmlRj77IrRVvMVBtgfVp3f9NHrNJCn4BLaBLpSAqmhO69fZr5NcFNPgLDvarsq
fRmWcWH6NP5l7h7jLpEVhlKTW9SfNS75ZTcHKmlxm+j18Zq6y6Z8WFdi1SFbgx2EDHfLBq0XOy6m
sZsuer7se6+Y3YjNcaNMYTvRhO3PLdYsRCIa4KV1SkE/tdeSy/UT/7YFiH6I9HAvIxG0CjNvZepy
D3HLfI6NS9kYSRaa9Zi5x7bWFu0Fvw/9celLVe6zdmzHqEvnLv0QgwKRtyVcBD2/tdK8MkJQ5Y7c
JdB69Wvj61/z6dcPSKCgs8vwmBKdB3192tuqxU1M712wBo2xiFvoFgH0WdlgWBiqVJfa2W5n5Jxp
swdpGRrD4hmRaOnVXHRfBeOhBQHAzAkElc0VV1pF+WyWVtLdxXi63CwVt+5/LVAQeM2NRucf1B7U
2oMUiYrDdsDjg3ZfGZvxFBl22z/LCYsvpvhznfm7oq6RCt6ZiWacDDk76jAZcyAf4qCs84MWJAhq
D7U/zhe/aV2aIRpyE/t2JBfaiyJxtNsqzpw2gtun3jsjJMh9MWIAY0apnEV/z4DetC91bibzHBaa
UBj0dNPs7Mq5offlpnE9nMwJx0YNLrH2xFMVL/ScGOsrPijGLTj8kCHr+Sxvh2a6B6Zvy8e4KiGe
Xksn1lO0+VYor1AGozxIN35bqdRaBSLO7o2LatR4LtHepN8wz8hQC9z+ImSqV/c9RJwVJptDvDMn
hfIAEsRM1PCIfv/3ULvpq7C1IcUxdCGzQ27c2DK6+krZyFjYzVO/xA8Kd7ZTQOc5UkVHo6OM8/98
u4xPxhhXV6LNH3+YviQ9MY448eT1ltWUXZt5WbdPU2CnJ0ZlMvRK4HT8sXwU/qy9dBQLMmyxHT/9
/Z23Gd360gRXiiSgaGgrbKH5aV2wF3DveaqVlwa7rhlFQP8YbGwEtSaP3D4urPfZaHjRotfZk8Kr
9FMRiGtehG/XAFghD2MCY6S5tsXpawxKW0QWhqfBY6dj9GqGRiHnsxzn9qjbTfZV6BgYFb2rffz7
EmwuNVaALsgv5Bq9c5DNm0KjqE0GqxK+u2/EkzgUzpjO50y0wt7hAjvDAkVdMazqKrgaTH+91esD
wLuifgQNEzUZYHqvv7yegcZrg654Uuughma11RRr9TLrRkFbZsU6VujoyRCjPB1N78Aul+dpcii3
+jmwRLrLtEmos9JGhgoUQyq+4EKVTP9NAJhm8XOGpajezUBTmGQKqdJjn5gBXseBiovzVA9pE/pp
bs6hW09TyjSxNRhS52V7V6kEY6+i4xTu+5ExjfSFOUdS1yeojgz4wbdkBnILpheP7bt4gfx/oFtb
jQdaKpoQYdzkQ/eexKx6dK15+RITAeOLUzWNe5wAe5R7cNZLAA1CF92x8zK7iZbexXcydQfd+770
UBewQzXq+Ba554Lg0LeK/9dKhfsY+4k8l4LB63GWgdNFlamZA0vFgvW3bd90+IjSLB123gjNO5Kd
6YIMYGzVPANfF91jGfu9vFOTI6zIBFnMNLVyxtgoUc6QGdPgSU75wWsn/wlmiFeFXhq3n3JADRSh
nVimz44rnS9rKe8DNhu6RyA3pXscslEKxpxtihiBGlULeFVXJ1+Wmvqo7Lk95dkkwFG5VqudlSLF
C/1azeneFYx9uabKERhHFBidLX60iqnqbsxx+CuPydzYzRdfJZ77uBKVlkdgzppxAxTQ6dJoDrxk
35ERWRFZnLU0JyxL9HeCCCyaw6KW1t616KP40eLNHOmpqq3+c+saqjrD/yzobwAB/AnZzH8slVQf
zWqe/NAEwFDukFyqg50pAT3oY2EWu6VIghN4JIqkSJdMIaMgTcEswBfzb9Mmi+ejo/zqSxVUzIOV
v4hPlJVFgFDFCuNxC6tsIqj8AB2OYPV08VJBfQ+O9VLXMy4kDZi6tvK7ALqKk8ZROyslhr1jt0Fx
M1tTgfGXUY7fmkIm+Q7dhKqeCZqj/6Gj8LTOQyIHD15ZqjVhhWmNJ09NIUxEwV17vDM86dnPPfQw
sAIzPbtsZ8vAnR/YCIX82pmkOffxZFbqRnOCBf1rTRP10Ru0XgI2VLm8o8vQO++hniTjeWl0pwtH
pAS/L8uMgdikaozjlYkgVc6sNmtSNDwwutpjJ1Mfpads470GmmZJDi46/jcAnsrePKxJDRmV9PQP
k1b7zBUNt45hz8ROdRA+iA55Lyup8PtwUrq3ERYc3WW0K1E8msswO2i/IIZ1BfX+NkhCaWFmThJO
/45u3utABboXFIib9U+AXswdADh/L+pUP896lWKXNeS3NTOLf72QOXRrXQ93de2ebg2LaU6D3oC1
hXsdgxYpi+y9L/zqe+B1NKkrzrNxRyc7fih7tDCv4BDfXkiOA4mVioP5It2eTYNa+npnLanlXNjM
i2GEA7JPFv5sHFAon5mLjkI8y/Ee1CAsrl2X5dk1sdE/XM4IexlgIbGXWImg6zP+Vvu5nVwAnWbZ
UznppEbo/OQPHXOpG1s28bM16vbJsebs5PaLd0GTqttrfaZdqUA35Rf3I4cSO5sVrs7dvLW1mUQ7
FYFRyafCQRwwifI+m5Mj5wvRowQYq37jGK37j1p5v34VRbPVoIQu9v+xcr+9eiHp3drFUj95up5e
KsNLf/ZxuZxA1RcPesec5d+TUczWUfpeSbAUt1u5RaT5Vh5FWT11XlKWWBRO+bQH7mWHLSaS3g7z
dd+/nxv1sUw0cWSujLxlSjb3roXB8/j3pOTt7nN1BjP0fth8NGXW8/jb69co0qOaa9RPqq2KL11f
N2c5I/eKmnN9lzPAmSKZEBXUpA1XTt0fjjo5CaR/2grY177Jhzxu6WJqqidr6MT9OFj6Dn+o4etE
czmcC4faVvTi6e/v+3aTOSRALD1dLsNCVuf1+xZGo7XVXIuncQCHWWeCW1BTeCeHU1YfGBWBMPz7
L/56j03uZSHlaUCEJby8OeDKbckWusq+5NkCvLXUKotuBqYNIwIzeW7AfXaKA8ZKjOL6xi6RUonj
NOg/EQ20+lz7zXof9wh83w52YYl7ehRcynFsLs88ObB5gotc0lCrZiv4MWPHAUQ3nyckl4xYzlYX
DllLLvevgQttAYARBGmb7weW9PVSQi5BfdUfxbP0RIEKXec0Jw3I49GoR/3kBVmFLiwtImCDpddc
WdVNh4LNuvb0iFpkFMz3toqEueiVJae6eLadVB06TWfLkCnBrC2aqGzH/FRqufVggUi81TJhPP/9
o2579OvvU7lRRXB8VpbNus9+OzceXHDQyq3+xGlRq81qEVSk0KPzcwrG7ELfyg6bBVGdo2jc8v1Q
p0URIkLjfQBgIJkcSudfywtil8fdRzdipU7Z253NuL3RCjjEIs+KJwvCwgn36CUG1m07J5GP8Xlc
kM/5+0K8OU/IDXN00Q6DWm7S/3y9DgtA8phOuP3UxFrs382jJc9xIwGTV02QnxRA1e9//8VNV5eV
X9WUWV5Gj5CBthPOVCMnGKZkfhomTb7vGq168jJDYDNKdv33n3oToUgoESqgVF/HMMxPXr9cgpUq
emNB8lyndfupUuZnlfnuXUl5L8MhHvK9i8n6vxbp/CjUVIpUSOTo5my+Y8t8D5RbE2MvbCV31Gx+
pBtNRZoXO/du43l3TUnahxjcPF5pgL5dWn4Zmj6DXRpi7O7X77uYUzXlxZA+V/RmTpCswMIaqwZX
3MJOu3IPMtDhr3sVGNFtY7uCrmJ8vO7d1z9XsZmpoTLvifSjaS8AJ9B8qzpctRX8Sml3P3UPqv77
BU4tPgKJIWk7koKjPVoNE0jn9ZJNw67vDXgbZq398Jsmzw5dlslH5QcyPljgQNoQJ9wMgC9dpvQW
Y4XOKkJD93o/7DAx7pjUp3GDu4czZggyQcu4UcqohkeycWP4bmR+UNznjt/oVFk53hQP/Tr5DnsN
eutpwHM9YyTjNR9rmckPDX7wBSi4jBHrEo/Jsk8GvfluEBDyXeWKNolm0Vlj6BKl77t2gNhCYq0D
JkrL9qff2bMM56Gr+3dO32mfBRjn4R4AZPcxbSvtBb307nuxGJbYw7laHl1HxnaUjKnTn3VrcJ7s
SS7fAQxTfMq2NMJ8pLUcQfKpClw1zXgIizlJ3ynLzFBC0ItZ3OJFUD0NKHz1N2XZLc4OV7ghqoMM
RFvC8KkMccDDR80OfCX3OuprycmbZz3COG5qPjaToQXHIenq/5Twc05FAUH1WPi6Sp9LKnftZ2ui
mP0IgFvsSCuxInYCUel3MW2WcyKsQsOeWev/41+g6ySZ6nvgjsrCVR5V1pCmzfhBU3Njfqraurxt
O+6FW+hZlr/PVDyI3Zwaw2eLO73aw91CCYAGXjcCdwbbHdYgrkmc+XOss4fWASZs5lXl3s94yDI9
1ZlzPfpUS9PB1xHZO+NVbGYfnE7IZhdT7U34AiVWcZqQL6NnkK62G45dOae2KqUBvh7aQjhUg0Ce
LpNyeNfM9E4iPDWN8aPnNHl8i1bUaI77xYwzjAuot4L6C8Lb4xg6TVJ+HKCu5bs5GYfjOPup9TxV
K5zCMosWaAmpaBqSn85WmCJ6vHroxcuEL3Tlv9C8D9zvTQtCdoesSP+hSexARD0aueIO77Oy2s29
Mdtn6cP8uwGHn30dEguP3irJNEr5EbXoCkFLJb4nXFOfEmB7X2RRyjbU9Lo8AMIKnHuRJf67voXo
sW9iFXsvtL8rdN56d/bwya5hqHnsf3SIIVVlsMcG5wfBv+8ug6Om+0EDHLoDZczQYCC4DaF0e6Zi
GZ4YL4WAZfSY94sbz6GXue6TH9P0B2sm6Ti1Y6CfKAaJIvQEctUMoejTZt53edZkmJ1bE87WmDl7
H6pxsgMUKD1ME0IeFUW3nSsZIUVOqpXWYRpVUYVxBzDqVGdsNs5NLqe953U8EdgQy3kn0rZ/aUs1
fF9Bbz8Kg80dKT7tdO7GoPtSooCVnct4FBW2amWN4sPsuqGdicm7yTvpyBt9irWRbKzMXpyh7OSP
uPV7m5bAYLqROQjzewOPNT7l9RCUISqzVbFT9Qyiw0iZC2LFDpOJ5oaS9gU0fu1GudWq/nvczWN+
O/ZNsjyLwSmMU9nMSFYxz9LyY5NP0gnNvoZJwX6E/+BzW5xQt5oYL1ZtjjxGOuYIGGVZHekg5Mcd
0ClrIjZ4SbrTRz+2b7R0EMmt52FYwgqaYg59Ic2YDl6RGbs+bu17b5m8WexE5WTZgXTVpVFoF/UL
HGFsuwYnhk0awgewFhS1bGvea8JMDyUJhPOht+JheDfGtNMiafhlC6bSHarQTkz3o4obSGCx3bbv
BlZ1cHbNDPL/zqpTYzmYI02K0NYMIQ+T49R70ZmMEXJkGfsIjLtwnwIXeEQBISK13WhqcgSnDDQs
cfSE6rfnLzCbowv79Wc+Z+rnIuryg2UY3XAaAz7QfdzP3gSFQl86ZHIwkINR6nRf69EyQYBYmTeS
S7WFGc1WbaW3c68jxUursJi8HQSwyjxqEMj8S1pP7X+VCoQWekWl/dSg6I+QGHDB3jdW7F1Tvdki
lEmJfM9Du4kEcOWuO9bri9Sr6x7AzNg8+0maTjedKv2btEFYYJcjR9IXoVN37n9JHmQPNLs0DQoi
p9Eo9Zbx0wD8bw+dP3eiImMn7Z3Glj8Nr8V7I1Vx3UcOXsH6UWStOntzJq85h7/NslYxd9JHkh2g
DluEXuJ6oISMtH2WKIzV3FdDsJ8Kww81Vx+1ve2m4y7Dybe4koC8LSFIWEGT05RnyPhmKBS0usbC
9fWzBauQqz1oK3nsBx8Q/TL1KRG375WJqPKsXhRurApl7TyZrjzF2wSa1NlcMXRw/JgQbL5dQyO2
UJVRPS/wQb6hrpqCfkoV9LS00iJoVfrNvya1UKmp9le1fuDFWzCLbSmb1cQcCTRAcu5SR9Q73fbL
x8mZu6cRUCK05mpQ//ye/CzwGZdWG7RffVMwLS1Stl2irCf8fEndljQ9cKX493mxyHvXrZ7//S2p
hWgJoz71tugG3orlvdlZT+Aguy/TLJwQB48hmgAPzdHglN2pafTiX7spzPCRcQ1opK0qZ1tBuqoG
tiTGtHh2BsqRMAka5EIqOT50GbatoTbXWtgzXYM32PnXdHre7mdQbCDHwGjRangDP8mkjte0HP2n
QdWwqECxAtE2gyxqLSftdgNCrqduobkY1TCRPimFrvKVj/yHRwAFiRYEReGqo7Fm/L9VxUAG2gk3
iPK5n3ItnFWOwKIySssLkyaoGZEvZZjoynspAy0YkQ5wxis6Cm+PE6Fw9SFFvAHexrZ6opOrj3nj
dc+UOdaRoaLqkWgy7Fs7EeVTZ7blh79vtDc/GKyYU7wi8KUIaCtt2reN3gkNOLf5bAx29q5RMBRV
Zju3THaaW9gh1+wQ3vZqaRyCh3Bo6qzNyy3uwKsQdYV/GT87FerYTJDcnosqADgSDpqWVAdVZe4H
TAC897Y7AHU3LVU9aAAKr0mmvG2CrI/CexNEONdQFF5/bs+B59iIMX62y0Ghi2OX977f1KgRlNBw
jKLMDqZRajuV6PHnwoyLKDNa60s6D8ZT7ePfcWX7/eGBsMriLuEyXKE83qainC3GQD7x7b2BQsJZ
ZxTyeShQG4wyB64U6lhdtmtAMtEeM5f5NkkMCpI84DQ4Zq1/68f6mkDZmxOBIJKzKtP++lZv/Gfy
OAia1kgLJjB6O4Wdp/lf+65QX+x0cc4Ei5fZ6awTdH39Js8q55rf1XZ7IkMIYJbR+7pV4M9tPlGA
W5BTDEV70ZqsTm+htLTFo1eXfneC54VirVcj7X/lEG5vdH6UUwFlD+ojc5WtOm6ZlJkUhe8/5khr
/Oh7quZjx5+aR1PnDti7k2yHg6Vk014J+9t2NvEPQSswY2B66dBvA5A+tEDWNBr5wFiCb3Ev3Xd1
tRj2XpiBCvbOIrTPBRIPdtS53ZxeuVq3aC5UDqFZIfMF5xIAIOCO1wcCxF7bwrBOLlXZTF8nU4OK
Wy6yjqyuyD/DwuqPgZ1ol6BC5Xay8+FDPYxL6JOAX+tdvYkTPMuqeInEJrjptdX9+lm0BvV4sA7F
xZDZfLvK5O2posQpRk7qzjKS1g2HIEhihEg6eYz9Jf84tktsnf4eH//wHKvKdIC2EtcSPLrNnSAy
wxoUzeLLPOol1uizvLfbCZvfAYjSd/TDja+ePXXPVulrP2lQJvCNnStB+u22cOlrgSQmZtKc2+LZ
ghyWvyhG54IxUlxFbjmICl6ErX9o9d6eMaYcyiGyoSm5IX63uMf/fRHeHgguQ8idyCis7p5bD5sB
XVMxNfp0QX5DXnJjkofFG4LIjMvqWFhKu2GJruXV68L+3l4jlfYNBCmxDsC6Qt/252PNsVabiuHS
9csQhG5c4tauCke7obNzzSr+TZzhZ1hbkh8dfRNEVV7vtgzUQNtIw7j4ejHglEAL95cl0H/ZpMeH
BMe66O9Lug2s63vZQDpAjFmMH7YGiZ2cOiWg5l7sZQlO07iU79x0yuZ7YBfjDfs4/8gk29nTw/U4
YUuR+lc+6p9emahOogNaHbLN5oDZ1WzgANrolwXBq/hAz2uc75MBvfO4zAzjpmCEV1wZj7/ZyLw1
AH5WD/0Ok5Jvs8zgS2SXz/rFSYYMZZZ+6U60VgY70v3Rw6A7zuULHcFYRnYVpz/+ec3Xu4SQTrOF
xHrzxm7fcGbK1rpwp1X4nVpp+6ledXzzHpGhE7eXOJYpXSooA14UQ3K7EmDfbGnsRtfBHdqbnGKw
1q9fn2FDrc+aaV4W5j/9zs5qzb7JDfTa2iBOsitbbOuSsGZz1GQELpPXXul0r3+uS0tEpyBoXkqB
3t+uaUYHnkFf2eoMFKGvjkOXo/Yh47S3YEO6wDIrJ5+0b4BJLIuO9Thiw1iCM0uyIEOQNhiLwgpH
OwW8FDV23cm7vpv12kMf1EkPzMqEE1XCoUqqvcEPa7NL9zC6UbMJFxdEaxFRqoLGHbuUlnhW1yPa
G5OfObvJWZP+PrD7h2ycRH9lNGBYvOuraMJakFOjrLsmNJQ3m7UYs75imuReinmi5TRWF4EAFaYV
MYpc1RCTzqdZ4d0NWV3tu6lXR7t2y6+Dn84viMeMR7Cj+rWHWj/A5qFWnDIZBgrWq57Z64dKbXN0
UlRrLkZJs/uYaUkbnLEdkIMRFX6pHVnwmi4jyhPBvu5NqR0Tolj2JIy6vKb28CbIQ9pB/w48MAUB
VjGbEAj2LW2XqVoueHymBfooabzL5mkeI8+onT00Z4U/Wmzt/n4o//SzMJ1XawByHn+bc0CS8tB7
qYyLh9CKc6O5LZ6tRZXStW6aetTOHbCoQ9f0/ZVB1R8OI/cZUWC90ag41//+e7HXwuEE16dfAKPl
/7mtv+zSVjNHwEOB3lx5yy2Pcz2LoBf5QepbMvvtbcZlVwbLMuqXGM7I5wSM0BAN1GUljb4i3YEU
WMQd8H21S4faM/dNohhYGKVobwwwxme/9ebxEX0c92U0c8sMG21xvXBKWn3Xur2Y96pmGvE8ANBO
I9RpMm+HllFzymAz492c12Wws1VWQB5pxxX7jhdhFqLRGchr9KctZACYMlsaeOqqjgYKf+sYYIo8
aZRV93elQojyXRJ3dMaXUaCvDzEjix/r3KatyXxcyiguFvd7DUNLnVH/Te8DbUHGCpPy5mPJs+Vh
MIzpYXBEod/qU1BoRyhHYKwrgNzqrraK8YswW1Hss1nTDvGcW+WVemCbF/96HxJAHGeIIrC6Nlsl
F0W1mMDRYYoWefe+DxrjQRRuw5yGGZMI81gsGQ5i9vjQlt1QXiw6b0OIG7lIP8IgL6/wSzbJA3c2
OTo0pF+QWGat65n6beuSggdpw6zznLPKbQ4HeMmXSM+Nztq5HpNAPeRYVR/NzC3VTs1wAkOhLdK6
cp2/kSngQX5VZZA/qFqIHq8fpHPaYJkcV5xFbE/NEGE21qmXygGDGTFlypEsnL2W4UHWMaPGkXB0
vd1SGv15BkPe3ym/7Z0UhCOyPwY3SkX6FWpDYLRGVFlS93/aWTKhzwWG5+zV7VwgPJNUZeTG4J2v
pAebSIRvn+nD2AHeTcHBxblZ1RTJOdUnsXmmuTV0n/TKyG6YyipjR3O6FkMEMyJ2DksLd+PD34Pg
Lwnl326CX7+92toAYuPk8ACvF1IfA3QkByznEKKzJ4D9wEljhMEyiPCIGEol34saO3qeBYEwOHRd
XoxZVMSq7bqwyc1+inRDxGi+9m7yAsEb/mo3Jr5zyEABc5k7fX4nBx2MrolqHzhUEOI63a1Cancg
xprPpj9UT2A2kUrIZdC3Zy3O9HXeZM4yDu02Z6qX9bIL0wGvvMgISuuhn3ykn4tBzMkZBaL21k8R
ftsjB5n0kTUCGWU4xS58kd0wlwdZ+NM7pC2pGvp8bJJDYhj19AGSR/axH0HU7nrE+75rHsiTc9XZ
KYSTrvK/+5lEv0TKdvwhY6YXITlPR6kDxl4eq4D66+h6Wn2HhTyKnb00qddzeNMnFNVgRnixAKcc
osaX+eeafj005o7eMk66zhzc0XTSmqNqPOMmr4Mq4wXtcd5f+cJ8wNcfmHbXasBG6reKAG1Ka6lo
e5rDkp4RvqnVjpHIcLJ1Bj1HVMSXU59Pxqe//+Lbwwk2jR+kjbyyMN/sZyagHneuSM9NldnDj2BU
5hdU1/3xWAQm9ly5WAyuiiYuTS+kme5FCCih5QgfVzgMIN0SXbAUZeGFObuhJ7d5nhnzcUkqZ9rZ
ojJdZLmC7OOs1Sq7d/Cc9E4DoCLrSrT7xZV6vXawEQGxkMARut74AEjcSxEC1tKz2da9uFG9KGsD
/QkkrcOgq8VNaqo4uw2aoQpAiIsqNWXUtt50UPgawFwf8/hMFtCb+8rvK9EhMmnqn5ysCR4c+t3I
fdtmAeABY7Akv0eCen7f1EjO7NvALg6BRZS/RdA1f86XzCiPHBkdErvjtku+m7p8msNJE2g2RkYW
m5ADOrv4dcF6fk+nLhCIzf79227qKMIFBAxattQSjJwIna/DxWBMc5P0QXDnAT7/WfueA9A0Q/rO
sONHXeNrhSODEpo0aRlc+xybVPrXj0M5gwXDEIYvs/nxwJuTBV1m/05RqHER90LBKuhcUX7zUkwt
P1BSFR6KZIHxlZaRk33okBFwvzm+yjCQQIVpjFzNNL4i/9L3bVga3vxgAdUfjVtD5LP4QCsQuAqe
jcU4YM/p1NpHDumCVpMTy+Q+bnBl3CFE6Xdqt8D5OsCIyIOPiZEGD36MDSS7miDX0jRA34icLqju
EZ2tcKue2ubbZEzAJ65UW7/W/PUuXYdDHDf4fkwytsuyOILTWOvO3TTUskLeAGXE4N5wmmEPpKXp
DhaV/dGRosyPqaPJF1sjVjI79p1mqZGfAtL/s2lTN7vVmaJlYdlrtPuCtoEUIGiClQcPxQRzZ9S0
YkQkW6EPT1PrN722r5h/koGUcNCg6smCy9bxhd0c4QAkcgcjL3C/OJLC/tloJr965+dZ0u28TnR8
QcefEeucRGbftBZs0WeGnaX1mCP5PJ57SLfAPNJpqSNlZLOzt0FiUAzI2jQApPhLeWxxv1PPiGay
rLY3epdWoh1xH3i5eCpBTwJPmNy5rVFKqJv4U4W1ZsKFRYdh3iPlaIuX/1F2XrtxI1kYfiICzOGW
7KRgyd2SnG4Iy6GYYzE+/X7U3kyzBTU8WHgvZuBqklWnTviDHRqIXbScHOUFFCktPlmMCXLONdyJ
0ASdg1yYN6FaWChV8zeOUxdhw4qS6cvHR+utKl5/R4cBBdRdPCMAOJ+frThTLcRTusWlcpmr2mnj
/iRdFdmvudWL7JfmJgWeklo4b1GFnuLtFC00197hAGw6R4tE4zfh1OqfSLRT7bF5Q2YnjTReBCr8
ixJdjmrejzK2eudJRClXraUOtcGtPkf9twrr7uhXHfXNtoCpFHpbr25NL/Bkwu3vinl88mhVxXAl
gBJUEannlWLlnejCb8IS3QZV7yJjcP4G4BG5mZt7050NJrKFUuR1nw3FNLpPnDldvTObHjKB13dx
+ymR6hwPV37AZSZmOHApGajTELIuWBQMf0ZG3r1219k03D+lUhWfGrOTyAhkoUpLIcE09A5N5bnZ
ffz1l0z+/OOTgMGhIBVkDAq+/fzRo6ykLd+VyT1ylUMKwV8pjqOeYVqnWpVzJZKuGfdEUhrciBZA
aDPZb+t2mLTUxpDQ6+80kfcNpZCL0f0hzFJ0kInfRfmtq7FBCAZjqNIAISnFIhAqirbLVam77Sbr
pna4q6dk3Lt4fJm+OoukPxZVkel4TetDniHyW0hx5TVdfiB2xSIwz1Ace4e1VICqpW4Sxb1yByvS
1fYoGqpwMWdsoE4lLAcuA6v/onXEyysLv/N94LfwqpDv4881+YApUTkqMonv3SjpRqCV9A5e1E6g
0Q12aLT6ayPhy7PAFB5BIrIoWJeE9fMNAcqoq6MkTu5l4pXmjpRtMDc9KXT4mWzajR9dNdQqQJxt
9NrhH9QeP96Qy1lbbchFxUxnoyAKRBvvfH0qLCdBe8G7q7siuR3DpegnrKrHjgHKJz0L5/5KbvHW
ijhfEr+KRUkBSSTO9lowkDlxVuWqcKh2NQeBqZHRwxGqXtPeKWrZ1N8yIeM2SMcGVGqENB0Qm8KK
3M+amPLvttBEiFx1j7D2E6xUFF51dcrta8PSd9JbCxF1MEMMsFHJWHdzVWVwKs9uxH3theSO/qT0
6fyrH2T3oEwoofhNHsODSZfxfZpF1eNi+rTIMMtQe4yKShZiB5dIkfe2hCbg23oeKQ9ekdlADibo
dAdlNKxXJdSUJt50fINiJ5y8F1e6C5dnCZ9ioorO5gVKsxZyL7q6mlvm2/flqGm3iUhACvVqHCmH
OMoAU+Mjz624ha1ZVNeY5W9KFKtvbXHPUfUueAOYa+fbKyqjxtWU2LkbkmT8ZrnA/TDCtgtQx041
CKLHLFUX4x8ZhvYGrq+LBJ2KLrOPmFDYBj04lelpQti64fbuivznbIIIfEmYrs5fcFLoADoqsVd+
r+vJOFh22osQ4dVoKeWlQF5r67m0bIJxzgsAxo5Tt9t28JTxvtYggvxqaqWKm8doiNq22UZKnxTC
n6q0ZN409Hbh3I8GM+DnHseDG9TiKnPX5ijo+QTtBTqNYVjro0xa/OSYdlQyUBRtfMBH5cdgqGLM
dpXbGkSvj4/tRYeGc7P0+hdCA+DwdYB0EqcC3lfT57BndQhSV8eAo9GV/KsQiHEGAKXQhdppFVCm
27h0ip9JqZlKd/Pxz3hnb4EeWsZoDHqYeKwGDimC00s/QNy7RMt8o3gtlYEbzSq46tYc9nNru5u0
sZCB/ueFocGxn4F6ABBbl7soZVKKCCwvwBd0KSk89g1NH5X8BKUBV5jnyT3EmGt10doHnht10V1h
qkZUMPG0W8LpfzpjTpSTxfbhfLcgux0naJLebnYTmqeZX2Zu/0cdqyT0e4TjvdvQdOdPjSwKuQ3b
wVTAtJuIKg9x4t4lyeRue7I8Z2npaeFu9hBmh9vv5ch+q2hzfg3TFDGwts2n9hOJq+YeQloR013k
TYl9109WL39mE7YDD4qD/tVprs30Zz/WdEyUekASxgpR1B62zBiQ2N+0ZhoW/QZ1qmuyt2+X1Pkp
X5R5SWi5w+Az66ttsAwOHKNQPQDVZQIJmkl+szFkWkwnTO+LL5xYUgSEObxn6oLyO2LnvTtuIAHP
LfBohhTFvigS5TcwWhRrP94q7/w6wo9BUxO96YVKsW4i9mAOotCFCZx1M1w9RC2G6MbUYmoMb05d
Zy+0sv00RJ0dvujVmJNgYxgS16gSQTZ89uAAGxtErmLzZz9VTWz+82am90uqA1ULrhjn6HxTSYfO
7gh/9b63huRWdRPoFk1Df0XcmJKNssemGVtaE5h10VzJES/v/6WctIHj6YvsxRoRMkxyTnt07PGi
aN2/uNAA43RweAd40IFRsqvYvJJiXXa7bYSgGFYwml6ME9Y0Gt1JKj0J9fzeGuHZ33VZGNsHLxzc
fRMXR5gl898U/TQf8eDp2W4GYM314JVHFeHA6koAW2OD3145fTySZLiWlx1mAKtupWetvE/mXpni
ABS02m9otbkj6jHWqJmfLbTNHju0cZUAnXorO3Zz3eOqw6QRVoY/QMCNsG5QATE+1eXQmzbaB6FU
XtpMMcMjUUiJblokw6rDogEdfZ4BptnXUmb74ksShMGLoyO8MKTIYM93UcalmRt13N6Lwk2TH4lh
RMUJcLCL1jzz2VsTcHKJZDnxEklVpAohNWTx8KURQ7qLbQXbDq4uDcERhXZ4gZAzzZ+AmOp8D+Ho
F08g7ouTysgONYpsDn+Eae8Iv4ZFn23KKndfYofKxq+1iXDP9DN09lqRwV5AtKOOzWyDqr453Fpl
GsMIjMJxkStISA/kRmL9lB/CLsxd1BF0S/yw8VPqN6aSqtaWwW6JFE4YUdrOeotfj2UVXf4grMzw
mDd75o9wSDTlVo663Z6UbLSXvMyG6gAnyAXUqunxQVpNzAw0BaJx07Eva18bTCn9SmX6vNVmRio3
NoKm4SEaNVQDrUwnrUPX1MGTXTJc+2mnDN3fjIYrUfl4t8NXyOzUBS/XDm6mfLXRhkcoIDIatJI/
jmIXNy1qT0sJR9YMqMJaj2QslMct/GTEvWIXWvcaWT28txCW5y1mSQoqaRFZxwLDuBY9LwoUFia0
MzRwaC0TJM63lYwqZiEuUOhpXmDXpaVEh9Ye9PovXgxxexvXWuUcGrS5y2AilLxaQ2F/n7M6baSv
jqk3fRcWFRTTwYTJIuElLovuJrVxNLgVpoYprS+Ru36NuEKumSCuEY8cbwDHjNXeoOxMC1cQBX1M
ZyPXi+TeU2h+7LVkcjbGZMHSMJrwnmkNwux4C2OPHWZDts9poESBmWiGTy/MwRMDLfUrzYfL+Mdv
InuDXE3AQdRsFe4Rw1Blk+X5PXteTni+mGYC5rhsnPtWQDoK8GbhnsY/xNi1om5eCyf0vkMOw4NT
Mcqh+/Lx1rqoeaGlImy4eFMuFeh6UC2kQxYDcPTetKuSNkCS41UStY57o9pkzh8v9sY/PcsVWI2y
B9VsoFBMLFa3cUaykKVdiedA6lYRIsE1dkUYfqgpWECMFQOaljH8zdLMmqgPpm7gFWxcNNZAU+RC
qfvPGjyM4o5EWyCIijeAh16zSati8N1SzHl05QhcnACXITNzSOiSEDJJuc9PAGKjTOm6wbp3RpTd
urR0ntxMTo2vw7N8groO6S0HW/xY9JFzZQJqLn/52etyF/WFZT5BYoXkyOp1YWyOeDc04ns2jFuk
N0qrVV+kqZaY6QyuwKFEOkbEmL+o4J7oWytuEyv0x6nBzcaBVQeLk88Bq5Fpm+pH2IC8RtKdyk9V
NqTNcZH8mfYQGjOkNTDC0oMGVeTjUPcjLWYkw40ocBWvm1OkdtJ4elJVxXR/pVqT/jHTIsbkSY/7
NNByY4oCnSn6cwxXa/QntOWcLU7f0A9xGZLeXaGOpY6zV996MIgAnMeAeUy9tpINEUbRNpOqFuK7
3pXN/ZBEIBT8DFyi0QUCp4fjaGhwfa/sxnVYJTIQFTQENRymDWjLnX9bYwB1malzcYtvffYkeWGf
K13OGO/MjroHFd2d4KrirGUt1koUXXeT1eU7GH7lQa0wrCJcy/1kNtrtoFrjfdJpA7HDxcXo4196
8UNNlX+WqoMkjSx2FYYjxKETyOPNLax56+BmWfy7pLt9mOArbStdLR+z9B8VuYh+C3LFYqSI0Crr
r9akZ1AOYasMt1mNYkE8Vn0QqnoRwO4fDhrZiB8bTn9lx6+jEaEBDB14TJIy2sPOqiFVJRXca7fu
DoU558+Wg4qgHzEtkH6r0sK/sgGW7/vf4/W2GqFIfxPTARl//v0d6SmM8NTuUGHISOOriFW/Q7Gq
2kzaGLE/PTSr/vVT8oRLSwRAA5sOt5DzNYXeD3WNZ8wB7L31FU2mZt5UrkiLBxNgGmZXSpM955IU
68rC771aLkLqMyAmCyLsfGGUFzw87rXuUMq22TiDVc476N5x6wOhcK7ZW1y8WrqvzFIXf4ZlOLyW
gGhsMEgFxe5Nbo7RZkztZOvlCCvh+f3aVOT3Hx+Qt17D2adkPcgWLAgOajFBPX+6LvcG+KKzfWgQ
zc5wW6on0YFaXsD2n+GRmUPgdLM9P9rxVN02qVLZ9xmWJdXnOm8otOtZEz/wStFjpLkUBVU1aYAW
SWAAKhvdTqzvrpapP2sC2rjVJ4SeNvZQJs9FAkdty33neYfYLfQjAmIIXaYFcgH3RePZw8GLszx6
8aYZ+axdIUOY2ls2nBn+ikVuaT8j5sAD23wo5TwEtdrJ7FdD3wmqey0s6Md5YtURmpUlvbuiiEMZ
1F3e/dKRk4vvVLTbsh3GL474mlLndjctcKxNjVOauMGArq8Dw5wswjlBVr8fSIC3hQtsK2hqA4Ck
Pjh9WYN2MDQqnyKCO15MogCm7PR98+wkXlr++fhjvbM36Ad69Iw8Ekt17R6raCY1EEoAN1MptPlZ
jxINCFmu/hnGZu4esinVrxz0i73PHHuRjKBxQypjraXvvbgnzbOy+CZttOwB8KjW7IApqj+UWMbl
9uPHW2cM2Kr8f25hoNNN1rA64XlZShoHE/AezDkNmgn0CxHGHzduiJkpKMxqW7QIW/mekl9jtLzz
oKCLFjVPZEcorlfZihUPbphDf+aQjyGwC129FVplfDJnvf/18WOucxMec6FluiCuSU9QjDw/cRmW
chRpjX3gHhn8Wi8TjEjwM0uufLt31nEBNDOrWzJHZy0Iqnktws5l7B4EWgnm117tB+s2b0y1uxYh
L25ZhEwQ2oChh1UBoWQVIeNYx9YCs54D6PHwkeHrcFKFi4hGXlQzZrUZwzJv6LMrQ5jVfnkDb7I1
aQEhcUwFv1pWo1bvmn40jlXiiW2W4udpGzX2pY1hVAc481nhU8c4f5UiMg8ff8R1Qv62OK3QBTUK
KQkb1vOvaCIEmLZtqB81DyktaOBeGtZB6859czOh/Go8tX0y7EenMjDeUqzikwclN8NU2FLvRDS7
01ZYcrBonmOc+Clp++ExTQtX33z8Q1cx4+13esyNqELBBNKsOv+dmsDCB5N37dhMjvpFL8IkCdJ2
7AKCdVZsGreJnz5e8fKz0NZm9rNc0otE1WpF+m8qUIdGP2JQNovHrpjal0hXsmkzOr0mYYup2nfE
gyNxYzit+eXj1Zf76j/3Gc8LT5SBIH8unfV1m2ySvVExA9CP3aJ93o6a9csJrT5QCuTmFAw8N5BV
vV2bMaVvFXu+si8uXzeNXJrKVNCLfpW3yox4ShO0+GwcRYUJTV9WGGJauf7iIQOsBZVryvlK1FxF
rrcH5g9UiyjbEb5ZbUQUITsPk3nzGGLOMwapY/YvSpnQdDDjWv/88dtdnfT/L8bYFcoVL5my7nw3
Ydyn6m1VWEc50Rt+GB2p/EUcAm1j21DHT7jKReRg8t8ZGqhiuxr/c+C/uetn5JUmSs5eOzKnSF8V
BRhEQBPHuTURqLw2rXjvGUHQLtpMmrfoT50/o472xCDBvR2ZFZHdJqOiHO0+VB+R1ASfF8Ht2pRt
N14ZOF5S2tizC2d/AfnbpNar60+PYrvRy9A8VmL2sEkwAVk3XedUgRUb46Yo8vZ3i6oMlHMFL9rZ
ElvYXvr3j7/w+z8Db65F74t4rq0+sVKifDQqjnnsDUVD+cxIdzYaz6iLiUK502Rk39rJVP2aoth9
AKYUQjONr9EP1t2eZaMBvuB21DimNrPk84+AJ7osa25SPkLb1TfahLzPHs0MAe5GxOhn9kCyPs/p
aBewXFKUWbxhmJeAEmUHWMn1dOWyeedgIw3Hfc1UGBnRNQnfbMwiS5vUPNZ5ChSsiaMdktv6NnG8
9F6GVXMlbl8eawTgyIKQLmdVZjDnLyBK4O/guRt+nmuYBn7b5NVXNQPVXtCiaK7EkMugSSbC+TIR
nicvWd+kXphGSqVX6VEbq6J7lE0yG/uxHfqNYSsR1pdu3DubIqrr7zaGQd88tUfW6kopcnnuGAhR
jRC86fBdUNAlDUaltKbyWHZt/srv6YJkGIwmSMvcnfdhKPS7NMTX5+MNf/FhidPs9kU4k44RnPPz
F61xKfViQNMB5MRY7JjF+jCpUQWVVburGHZfeczL9ZCOADG7AMoBtK57qyUS/hOg0PBYpmMU3kij
K57NCngZmkiildvUHOd/m1YBX2dJXujSAyGCrhPrAtF/hJhc79hasupuSs+K93Xm4BVcWcU47NXZ
NtMrr3XdQ35bdOFMU8uysy6oNZHNsCQrc3HKNF3g7YOJWfMNOSZ3fh7b0Uw2TUuKeqvXXvaJBgJE
4snDZHZR6M7Hm1rWTb3tBztSrhysi72OcBEOEBRRC5WV1Pj8e3vRZFWwybxj7sjuJW2wyULZyUVc
iJLefOzrlGqVqWZ2LPq8oPh24isEs3d2AAR2oFoq9GHGEqtf0Gt5XRrTJE49vlu3uoj172GJrKYr
G5EGqZaJa6PS5W88S4p4ZrQzFhVegLBohp4/8xhiBYDKh3dESX1W7kojy2+yynU5zSM236k7V+Ym
iqH1BLQJGDB9fMQuYpmJRgB6DtQ6iwXVOnZmWg+QHlmtUwTKJ9kNqZPt2yoV0d5icHTlfF0+K763
y3MuwB2LCfv5s/aGjItwqNNToijypgJ0/TxbtfEDit43D4G4HZqaINRRHEKS5+PnvLw7l2+KbCh5
GJghc722USK+6yARekpQwPmC4K+5x+1LvZGD0ny3I6tEuA64ggwVcDlDEf8dkai6ctjfOXiLEjDd
Mhjhi3rmKiEsbIx8kGB3jkaLq2jDQFjKp3gUivXIPABhAOTSyV5iCPSLUeyohAdTKdLR1+ohKbBn
ivT7ZtDn+cq2f6uhz3chch6ACiBAvDXnV3d6IUu96N3UI4vjat9itm3VG6T3nN7PGnXC1hzX4RDX
aKF2d67dxnWAd067jYCTiYOLSwvCXskQJgEyHQlSc+WYf8XVzDVu4fAoJs3xCT3chInArnO88S89
6P6zRE9+PuELWA0BY6m62kbQFV6vfPmlv7p+NhRiPOxUaU1ixHG+65IknTVH9pww21UaLPYMJ7BR
5qWT5EgI8rFA+F8z0WxAXuYum3QYG06T3jtqf82L4uIeNe2lfQhU0DbRalj3vDuuHceGJn0EwGUx
Hs4M8UXYWuNsW3UQvZ+7LmAtYTfJ08cv4Z2FudToUMF9oxZZNxxsVPHLkBB09KxGw6EF2sY3pgBp
v0cgHKO1dO6fIxEp15r8l+GFjExl1MSsF+/6dZOKQIBvbjaKk5SWlqOGr9UBEOlaw491TK402i8z
08VvA9VW2hwUeeq6wnMroEk9SuKnLsvEHzA5bbqXfWLIx0EZPGs7IQy0WMDYQBhz8KflEzJqSrUx
tLQ2Nq1aK1fO1XtRh3Jluc7eIAzrwkERQpp1b0eneCicl4rb/KErVYhYmoHAKYLntc/wcLzJczOE
IKP0I3i7SO4//vpvmmKrI/Cmh7FwammQrUHAAHJRapLCOw5KV1Q3ZqzMro8hg44lEETFeZvHZY+O
Xpw2SCf2jvVNWC1Sh5WZJd1hLJUifAmNSYa+Ymb4EQOvjsBP186jjmnWZ1hRUe5ntLHqIJzG4mnC
TcEK8GO35AN6XFPsd2YuPs0iyv44HYkHze7CuG88VF13IjWS+MlV4y4KwGy4iDRaCGcxQUgRlEb4
OLRvNa3JtlYH/HEXVUo8BWENzmJvlVLZd5mLXroVorcPU1cNvQ2SN2X8K9GimtZ5h8dOmkxGErQ9
+x5rkbbFhtLS2shfkJTgdbwhUX3y2+IzwPB+upfQ5IZNVypRfatqs2r8NKzMnG5baerTdsSTC9uM
yC1BBsb1/Ijdp/Gj8goNrk6axC8ff7y3qm798VC+5uZAvA2GwSoL7rsys/TaDo/SLKbfUzHU8z5y
FdsGkNbFZlDi2QBbZIIg6Oetm3evOleZwCDdy7Nd2sqm95u+lg8m0qzC792y+4UCZR0HaVi21ZWE
4m3msvq5CwRAo+anXuAnn4fbuBjhcAhPOUZzkfcbWJqwi0oRTiprW1F01+t9Vj8K2aruXgFS1WDK
M1DJtHnYm36FJipFVTMYfe0rY6eaW7Z2x2ipTYQ/D4b2Oocq+8DI1OqnNiTpk5OriblF31MdN5pE
c2wL+Th/tCqc3LcKEBcWbnNIbMiF6jW7vE9N/g9Rlpus5n35VdRP9VYCXrh2/peMZv0yYPxSIwKx
XO7+85eh0pDB28gLj0yyDfUnFx1GIz6Exkgwopoq81vBcAyT4GEq1AeIv96tF6tKeQsBSh2sIOyx
SS3p+lyrYS8TXRAb+GOBziM0Uwmc/zBbOmZpT0ZxShmgN49GE83fE2gq8QM4Y+sAj6e9cg9frkg3
lrYbiT0DWNgI5ytGoyEBY3j5CRqVrmLhw9x1yp2+8UU7MWIqryFq31sQDSDCHdNJetHLv/8PshWk
FM3+sK1OuT24B25A7FimjjFzBdBJ26ttWLWHj8/q5TVLKx0QLff4e53nTCi5N2tddUJFvLV8E0P0
NjNmLejyIgmMLkdqsWG4dWXZy7qJ/GYZO9H1Q718nVbkMDxcK3aK0+DVofMQI75cBok31r8xJYKE
zAh+9hBOXia/M77INlgwvWs6/+Onf+eFc+Kp3hjBoIznrfZU7/Sx3pDBnBABw5imBehGPIy+2yYs
67Iuqyvp9DvrQXJlVIOqJ7O3de0iRzEo6Dg1pxKLoH1ehj+8AlgXbKR2j09hdPr48d65zHk0RrFs
G3QGLwwzCySHhmky6lOIG4G2S6YIDo2LFnlIkmxMu4Z8I9qS42j6XU8/mUupL7P4BDFKpldK5fee
HUIP4fEN6rS2OlURQcEnom9OIgyHvdDn6t5INWOGwFk+4poLEvjjp3+bbp+HsoXaRw7JKUZXa63H
wcTKRLqgA4EZm5hjhpFqvdIgG73DXDn00pOma1w8GQRLq/gIATGEQPqoIhJY+OS7gwSIVbuoZKuF
YqDorjkw0dGrxIjQTCmxa8PEWFcUahGo3Qw8oiOMRFC8OuO70Zdpv4saFSLh4KI4DfSybK3P3uhc
czl/5wyzf+nwAc2CzrbGD3tmohijLbNT3XTZsxpl9g76MlSAxBhuq2pOb7j3bj5+ue8UhoxDFk4J
qaINu211aeaQqYsmnJ2Tiajnic8JmkEfjR/10Oh7W2mTr0yU5S7yOt60EHZ1W2uaogchQKYc30Jt
+uezxZRIx5yHO2tRzlze0n+C5+TJ2GkRgDyJWEsxX57wJc4x3hrBlbr6fZUiY3clc7jc0ks7GW4N
Awzw1BfMmrga0qRPnVMGZUVBXh31Vl7C9BInCHXA5mzGK6nVZXXCigbOiEvDb1HHPX/IAcMUcG+s
mIbz/D2KpRlk8xzbflMX/fbjTwyZgr/t7AAh24wm43L/EbZ4zvPVQiutSfIijyjtzN3PyJSIe0C+
B1D8ShumHdudgM7aI1gpYx2vviFFkVpEnTBfONmZ9w0xOaVVfU5UPd0hOqrgoRC2SXawSjtT/3De
WhvFm6R3N2UKlu6n1ENcP61wBpiW4OjbHKC3i9tRxYQQrKgk30JMfbxRR+QWnoU0hPmwiDCnfmXB
WeNFaEln/KRBBQ/idtSriTy/p32XbQBYKdMt3hz6J13krdUF6DWpaO+bVqdTUU6e/qJQo3ERVNH4
TI3bz1ggmrhvWrkR7vDEwQkaPmeX+koSOl+d3ugfloQ+PTRgU3bWMEZyUyd0fjcD5zFD9wdgpC8U
dYymYMCxUH2B7SlVPyXlDINqaOajq9Ses80sr3+NTKwtN65Vqo+5HNQnbbS0yfatwuzDmyQpq/De
joQLXDbWrGPuhm2BFmCmfbWKtJ2AgWvh56QcYS/mEOSbTWlI/Q/5qGV8KTiG5V0pLJxa4dDVrzN+
IT+bjvbZvlO19o7zrKAgg2jE7KdpOcXPTcnA1cBV/RuekPUxNkU9BcyRwlOe0pBCWjVNg7ynTbcp
66y9Q1C1TIK4Hp2TjXz/l1AM/XPqpOGvPvW0zKf7XuQ3vS7Et8rLvT+0JrVwi4J1LZ4g0s9GkKfU
AX6GeoMR4Ncjs4fC6MPhIVGH8hXNG6qoSUto/9aGF6H9n+E8gpKHjgfXRL+w2sReq0pk5ov2dYYl
4t5FWpTUuNW5WBDhHuZFO4pEYX5y51B6R3AI2AEoam7fufo0vNDuLJMdROzijjTN9YLGxq6DWyFC
h2WKp/poz4WUW7hJQvpJYldY2pObOycHwzHHV5G1+WE5Tvmzq/QhfeChos089W63nYHO34JvznXf
HNRueJpceHKbecawftuEaf2nClHDJN1ThzkoQ6fLXjqmhzpmCSUC+Gbfas4zLt3h62BS3j7Bxh37
O1dNlTpwqi6M9lGOZy0NmalvNmFdTnNQwfE0JZQCS7LNmbb9bCTjkKBleJhvEywil+MlMAOOY6mN
m45xO8Z6Y6RRi3kVGtjxAlAMErVGa9zWe+1bX+B48F2ralN/FGhWd08Gr/8bHZyyfzUjBy9NHw8C
vbyJRDbcq73WlD/EAEr3yCh2RqZqaDBNxGO8dX51rUiGv20Um/ZDiwLmvMvRNpj8ynblbanG3ugv
lA2DT4RWqZW23mNlho11l4pGHWGt9NDspgbb7WCYBqqmTYhjyANih1Z+y3+YbSUmG6MdoK1IezIj
V1okn8kVDm5Ixfklt9II00C1kjfZXA/kmlJOs5+BflR9S+Szs5lms3ZOqOiJku+btu5GydW2D2RT
D4/NPM/aDeWPsrf7xPL2cE7BpElh498Sd1Pc7wpP4o6o19mE/DBqFuLGnkGhPfdm5TUPPG9YviQQ
M6kmswZlPK3W7c9wIoS2NXOZ/5EKBjJXrsqLhIFbGxjHAmpg7M4Q/DyuG7RLKpyoJ4A1unUMkR5N
4YeEaMH10BluzRli1j7MwvQaoOHi+mJQBdwXxTDSbfC+y7//zx0NCE24PQXeyc4K5XdaimdJyyLe
6JiAtVfSv4vL2ULenDKR6d9Sv60dE1UTBybIKS7iFH25K6s5f40obWo/nCzrpMtmupLgXmbbDCQs
Ru48GXR5QBTnTzfTWUIwTMdQBo3nLdKg6kM8lsVveCHag9a0461qt8Zem61+CtCfCmt/7M1vH9/a
68qKITeQFXqXRHVa42s0dcyUM4cvlD/pk1HqvlExBdO6Mn5VyizZNWpCKTXjXDdilTKg39jk3T+P
pOAx4CZE7xpmmXfBpctLwJ/4iGVPsHHrcKcm+vhHyTqmFGnDxXuLC6l+pZ68bKRaKAuSkPLEFLTU
O+fvHhc6lLWIEqfWiEs/szB7SZxafKrbmtzAq7TqYcBV3N1Mbda+VmVY+LS7J1BlJs3ef80LOV+L
2Dq1DskoFLvzH4NQGh1DvRhP7oBY5pRoMkDRQCLdYEnn6EnlGr/8nXPFDJD6DqwQqII1zhfEtDNn
nTGdrCqD/1xH1iE30uHLJMvwGil/HTyWDcaAn3bIoiMJK//84ezEVULhivKpsxpdbDxDeqhH1thx
ek4i76OuaT4zgMz/fLyvXf7a/+aiLGuiEsw4HwYUU5FVeh8NFWpwjV49uZDEwsewKNhPHMT262xE
Yl+JvhSbvKDe+mRgI/T149XXL3hZfbGi4GADf2Pmu35oK+wrxBefaAKhEZ8XpXNEdqy/sdsek5qP
F1tHLhz7aHEBHSUjRyDeWCX5zpwmhg316UkfpDpi4wQVH9wiHqPM0fRXU1RRdGXJi3Eao3zKcuwC
ob8ik7/ugYKyHNAJ8OrnXDGQfPYXQS4DB6TCQYUorXNxAB05aF9KdSRXJ5+fvQ2AGeO1FDqjz8YV
2hSgk+WgmBOpau+LMXGTHVhb/d4yQpsL1hBKG0Q58nBU2L23Q/cKIf7SwPT5t6qI8esEsvx7hvKc
/fTxC73csjwcMjcUTgvueM1n6JIwHqhl5LMUY35asIr3DfXBcyrHKVDG1r4b4zT6+/GiF6BOFmSC
tDDV6fYgRrHs6P9cdnkn3Gp2i/IZ33FkkfIGXaugc2JxJ6zOsW4iXLw3mFPm0LKnxnJuXa3C9KlV
GmOP3nZfQf3tpmpPOTsevIks56BPihxPH//O5bI/P1iLMiqBiuwWUcR1sz62AMSkdas/TU1RoZNM
r0TuDThiV4Li5RFiHY/XSg1Oq3EthKvJUtBvNvSnvm6TaVfMzm8LxFkcaL3KkOPfH4pgyPNQwnJ4
1+c1TyuzRVPtSSkUPKtSUUQ3Dm5Z05V7572H+u86qwoZCHuSDSrWGtQCtQtVBRyCjy7KFG6Y+gAk
+/ix3lsOZWvVAFIIM2c9nMO0yalGdzaeYqbfpGxVfGdZcfZLjdLiWm/0cl/Q+AZZvsRdllzDD+Kk
kE4U61QaYTp8H5QqtP2erubLvz4SXf2FhLOcT7gIq+ukrlWEXZkhP4ux1nCD7eTMtcmsLYiTRn/9
eLGLS2QRYFlUfhjsqqQoq8hqI0iqufgvPhtl2jWbKC+8Vwo/9MjdzpzuQYnFz1acVH9nyFjDlQNw
EYWWxQEgwiBm6st9fR4PAAsYc0o/4pmqCcdADxa1Ab3P9fwkFFm4l1Va3GihPd/8+0MjK0AGDBhu
IbuerwsfBkIi/NLnSDYhoxwcf7aF04nnGQPl5xIdX3oTnWrHvmnV9j9fZgAYaKOAGEPkDsztanUH
jzvFqGrYVAnNUmNI4a6NhfLTbOvqpovaaz25iyOyrEdqzaYF3Iu+0fnTgu0MoxxY4TPCyq5yGw1a
Xu3GLsxAzyCG4W0+frkXpwQpsQV6tShW4auxlvfSbQQ4Sb1wAG2EzOmc5OZv73+Uncdy3MgWRL8I
EfBmC7RDN50oGlEbhAwJWwAKHvj6d6C3EbsnyNBMzGo0Uw1X5t7Mk0v9WQTXBVuaZvyqtls3llgk
jfMtpWkmBeusmB/clPLIdyLBDSi70o1JuWuG/touqKQd9N72oq1B44oa62hLKfel5c3Hwkmtwi/s
sV0OUWp1QFitGvgJibvtmHDqnZvlKG1ZNA+um9SHSlUbjXAxpRdBPixkrMK14VTvdyUn+m6PKx9+
AOF0NoH3TfYjSVvIDB/f2YsHCUOVFcNhR7+KJM57JQ07OaeDN/Cw2IqDGmNyvmnkTu6l3X8G4Lgc
CjM/5VRCi7D1A/F+/86Mix5jxEuaB7ja3UOS5J4ejGl7T7Kf1e8+vqzLndYfPD2mJHJPOBv9YUj8
tS1Ab5tydNSbh361ou2jqS0Ozmh6RgDdpGvePLXL2lXfslj7xOjrryj+F+rmy0SxQ4taAd+hXJak
3Kito3yZVSH1wJHthGhgiE1CB814+ZXFLp0IYiT1N4vd2oHewVzvlA4kEJjopJW3En+N+ETPcjG/
rmEXAHBWwwTb5HOKCp94k6e26B80px0g+RGVAs2+7u8mvameZ92ptyaZ2PuMqvMnr8vFpnl9epiI
+RKpkF/s0DVPyDgijPGhTqjlARGsaZwTNGv2QZOqst2LJF4+i1+4mNLXr5HmIcYhPlCEUu9fnF66
LJKYlR80qfXTHshWiSalzshaYLs23pREy+yKNv/npYRxaR+CVGA3gBnn7IVtGitOU6MZHnSDRHGf
p6oeE2MJXfw5LwPnY0KRbf2zisrFZ7LuDnF/0a5VHXZwZ5udIZmarANo9FD21DQJ9ELG4XuDUohd
NDpFvf34S7k409OzdBCPAMZj8WBaP7tKtEao2so5eZzRqp9SSStaS8bsikrfddpUe9tMtduVbnpD
oc469FzyjWzG9t/eLJYu4FasXvS5kDtTMXv/kMGjJJZV0wJ3BNuKnTNzSN15OhCEoiVgNrAB3Fb/
tq/8M6ZJV4mEJrYpSAHejwmIUMA5jhQSsNyswwqDshVdVpPczKL//vF9PnusjEX7n6wSGyH5n5Pn
+7EcacmCjFsP6LLa/honEW17AOiE4zizevevY5FiyY1crQiMeH60FXGhuLEzJkc3skD9DpMFQxyu
crPpahc918ejnc0JXBkmULY+OK35ThAqvr+yFZxoQ0aPwrrwzEPhze2dms1yQ9aQu9F10f5b3MQ6
HosWomTqDn/Ofu/H00HkmbkX26HlFd7ToFYgatKOvCqrZ6X852tjLLr6nKgQqVhn16bpWLqXfrHC
UlpPqSu1O5bs9ojjdAwaaxz2Hw+3vuR/nRL/f2ncSZYs9lRseN5fWt7FPSQzwjty1CAbIEWmr1hq
tTX6XPMjVZkPqegWtFNesY88Q+w+Hv58LvgzPtM6Nxa/DJW1s22ksKG0KV3hhiTwJi+JK4tTXE7q
C6UE8eIOSkdH0dPzwLBK90qY6ryPEJYexWKqn/yUszXu/7+E7it1KHslZ54dLS2DpvJEDTss4TJv
rH6ZfwHTcHYNIMRbSn056ixQwoccnuvrx3fh8kvFgAsinSXHQwJ1TlFbaEu0bOTsUMEQfkTzR7Z4
ItKvTiU/8xWvz/P8ebOe8kKrYBII+Xj/vAUuHg5GDFWXZr0b+7TasNgReEuGx96e0fl/fGlnK+mf
u4o/jvuKZpBjwnrpf+2KAK41Vj5rvM7abBqUMLP25BJWGmit2myama5wwF1tPhn28jLp+pLHR+Vh
1ZWd+3WQ4sA7iSYzdNIk+UazSvj20k+7yWjVAFKm9slx4fIywTGwp8VAwa6WCvP7y/QWWl1KPBrh
UJikWo+pvvHMpLuPojKyfMk58E7pddpLH9/dyxeHYTnM0xPgStHMvx82LiN1nW9NJsIh3WuxtEK3
ZSdI3qH95eOh/usKUfm4lJRYt5BGvB+Ko23UDp0ww1k26ltLx/I5yigJEXFvL5NPcW65Jne0mv71
zlIO4YANhpJt2Bpz9H5c6IoygvzvhTY6qmupgwwKSsWzrjoxa1cKEtigce30k3X64v1ZR+VQtkrZ
MLudX62DaqgV/eBigzKdu9jpACTp2KN+mCbwKF/kpvvJiBePEgaEysvKuMw/TPzvr3MikDhyJ90K
M2fWyUgpRXJIZzXyk6JWP9uGUKDjf/d+HoCL+NfjPNvz0cvRyXtpQWbaxngvLAwhYd3YQGAwHo2e
PzVe7vlIwRvrBllvrf50RNLiuDKcLlTLYYqgvKcWUIJBHwF8oLKwm0BfqJoCy+fo7LdlJuatsLrm
3in16odbW+ZLnK16ZkOd1QeW7qkNdMDDCu7neKTfGltVf6caIhLbZYiEfNahoc1Xo1Aa926oYNpu
ncSrrYM5y7LZzGYU6d8Q9adDYLq8m8dFr5xiZwy9Wm2Gpl6GJ6R/uvGVBU4jakWQAOGrKIiEX+ZF
9FghCCMYtCTrZ1tpWvxUVpoSb3SR9je1UZacy7jgmyG1tfoO8bcTKtk00QFO7cLZpoMpvxZsvX44
unC+dma0EItneMphbGLjTSf+5KdqDa0S4OQrKwTrSpr5dQF10u+IcQ/5mSZKqrrP5RaEbNof475N
7sZF6PaNawuoDA0W+FsnVeN7LCz5S8lWEVQKt893zMY7ZpHVJYFBpkAVgCZ0xaOmlYivx3w0v4EK
bShaatoit/Ecdcbe7Uu662JSfjXSLPTtqEhL2ywGiAGf/64/AQF3gXWKxvPRuRX1KXVmLyr8JDeG
a2fwEE1kMALtazeiHx5QJlUIhLIT3b5OspHbukD4/9rLJo72YsiT64Yc5sZX3Xr8lccWqbNIXnoI
KbHyK3M08lrQfhUvcZFBXUJB0Ej1i1LUAJWtQhTFHYdCU/mZG3I5tiJ2vZ+jl4tsNyW6FJthUBCX
jrKevKNSt+oVtUFUCu08S4Ro3TQBxbGwedyWDoEyvtDrwtxpdsUK26hatbcSRGe3WPBRAg5yQIWO
5inO9yO84ilI3ThVf9XakNXXqgPGfyvp6thvrZfGSWCRiNXfVqIzlm1sCOsN7CmMO+aN5sppodDS
Y+lazbqNrAmdnGsvVb5zoIJtoLNE/ZNaNNOsBWZnmFedQ/u496msy5FwlnlSXoX0li8mAUvLDzoK
1VxuRdSLn1Aisu5FnyPlRz12fD0SDw2y5Tqaq4K4nW6BYUPYLjXkuGr6qqMLk6jxV5kYTrnJlXko
Ts5cViTJ57Y658zaaa4GHWqV1qfWnCtf+RqRchZ6NRxHjC1g2pO2cX7lna441PYHp9mRDNXNns8C
njznmUJhPEekt7ayOuuXSra3PBTdCGeMlC/0epjXvnb2sBiHCezpHeJMzTnarVLLoErn4rWRqTTp
l9RS2RLEKgd+W1t0z+ANx+5IbLI4OHmXAAabrco9xVU1ykO5aLjfWRDH2q/hXM+nopdm+5t6WNr+
HhSzru+SvKYVE5B3MNQHt7MqKzBF34QlOQ7Uz+ZhnH3AzfCjFW9UAaV1ilVfURcwi9t8nAr81IYx
/4Zc602bImXaBkU5pwoSfhDRW+6s3t7REjbdDdQ87blpxvIutRTb3cWNO1X+rFdWSlJcnvFhtEv/
tbTJYQWDWXmNn9RtH1+3awgTMKAOjKKG9F2noU6hAyGM6lzTjEWubA9V6oUZmIHHEvC07Y9OzB/w
jLH1e8eO0aFVvCo72N3FsTHJ3cPcYOsnoazRB6LsCoRBNJ/ybRH1U7aZO6k+eWJRms1IrBLcsXTq
KSI6qQhdoyE8siMzjRrLsgBhJidSN/eSeADzSsrY/l6Kyb0FD0N3tDX7Ht1NYQ7Z1hm4Dz+bMZti
+hd9PATTUE0wX8FUAm63p8jwG6pZ8a62mj4mabJJxyBG1EQcHof/V4UW+NtYxN7PCWnig90Y0grW
022Fwsmbfg99xuxjwLw8ZV2c3C92BTh+8EYmjiJJvCdFGYwi1BM1k3uYTkuY8ZrSa4uq6HmKC4kG
2u3T71PuqNeOxICyUZa6v0703I2DZJn7Yev2yhR6Xlt9KxTEx/4467WDrlrp8MZ5xluj6C2YTruV
chuJmhJUPznpbxJGSiqplVN5a8JmwSQEil5JQBGYy25BoOXtSUOGbdI1g6IFWEl4SEvb5bdJQoIm
QBp9/qKTqJKgE7P64tZL8ukJDWTxJUujdNkpni2rWzOTivnFMBWahj6b5qgNJ5Dqb928Zl41Ri7z
L8W0WKe5GwmeVZS5/F5H3fSiJtLKd1irPX0HmLa5StZmHoG8nXnTzrmt+WNv44Qb1gLUXmqLfeWU
iHp9B5nLQ0EN+BUonybDaXFGIFqy5amYgO85dmtuEfTwHkRgkC5V7GQVK4MfdXWJeCuC3n0wBm6u
n4OEvgaqZZosOKa4HqzRfhyjWsVeKi3vSGM8tjZ2a2YibCI5tqHB6a/bkq7Yq9um8hRimbIeaWKR
tfLKSIcC07+dJu0mrUhPDKyWLqVvp501XlvEq9yOHOrlJlPLVqWkKlbBnGGnV4UXe9POrUrbuDLx
Iv7OmggVYwLJmyCBUXSZD6qivXeF6aCAddMi207K0L/2rqhfOgP215bKbXfgVKvS7hEULf0osfIv
Io3qHoG5Wgy+puQ93gaPh7XH7tDfo4IjWIotoHY7V7XDPot44hcv153ltixMFwVqRuqer3FuKf2p
ZQvDilNWkF+J7FF8M9c6h2nI0345ZlqOUPfH7rpT3OaHEqtjfmWoY/uqCapJ/lKRBfBVFQU+paEp
3WfDamUbaKMYXjNFm/KwJwaxPOhaHcUn/oThBbXSJo7f6kl/69I1z05u0o6/nSHGJ5nY0uqetKrL
623cNiql10IY2gHv6prUtMwgL1NT6/R9urjdvZX0WcoFci7ctEbkuoQcRk0U5sh2b+a+RjOeNLmW
+R37YOMVmkSX7t1Fj/KNrO1h61UtMp8KHeXrwHrS7Sp3gi0+xhMKTysfbVibsRN/88wW9R/tDT3b
8D4PXmDFtun6Ova/JJwqMWd7RXVnx296VaanXptLkwKqEZWHIh+TLZJ1K9oXTms8pYlcqm1HYhCx
av3MvszzlvkrzOdJ7tOJbeSWbFWbkhP7NHByymQ5B+F5+b2SKqOxi1FCukG9OO5dFmtoJkpk8de1
Z1TxsdUk8mlj1sz80Oex+5p4JT45aPqDvRNTmVWBSJJIsr66erPJ656n7lVJ2R3xTeFcs3B2JM8S
iVCDV7LHMVQibtzYMxs81PnoOg4FuAh27bWtiesIGHS0l3VESGBaRWkW5mAx+BBH/B8+NUe4zeWc
IhjTSWar7m3T0sZjwkuPgLmU0YOzJErj60qs9dCnveo3eUc55hGLraDlsNocRx0OdD8WfAB5HsHJ
K3B7kKVJqRVrrdoX29aL8Va0qIYXhM4LW7pCglj3TXKiyRJ1el76jZ1Og7q+1Jmgsh/H29J0ExUf
euVod/iX8hY/msCaqnodWKzZSvJTPi2Tu5mWNr+1K71qTkLo3aYFpyXIsak6vt+2Xqbuwep6r93Q
9uIXOIslHktB5uaDWmvRGGA46/gAdKyJu7FRKrKUjTbRQk73vZb7U1V3062OqycPdWsWnt9WkA+Y
wJN6F3dDM8Y+GnvkHyv0kV22o0OQBy8Ttc+V20wNlQ53iDfaUGTVriBS2du2sle+5BTXje9uwv/Z
rzEpRQHGTVvZ1KDzlLuuNjW2Bsxc9cZtaoaVvS6qazi4LdsUUSj3slrGB7fxCiQCsu9yCLIAGZWm
Y/522ZwCd1K6srqit6TnoWkOKOE1r+LJVdo49zfwHR0vQARQj9dmK9jOUGjMlDt21my9rFiWzlfy
ZZQXrNRG9H0ZZXPTgYzv9koLNu0TW+J/VRXoLVGHonzMCfisgGHl1GL6LjZDdMPHZUCIpSOUDaJe
MXeqmN9Wo+z+40LGn6LI+dEXKL9HeRwUKr6L9yftEQyKJGbPCOlQONmVgRfT2Ag28A5Wohm9vZ64
QOG0pJH6MUqYhvx6HPRDbimNviPJCiSvzZ7kEU1InGxjpnDHp56b/qbLwFOwtTi5UhsEcxuwHfaD
6fVmeQULX/tFga3c6XMyJ9eOlfPwOjqfyqYfegBVrcJh8752slQ/6dMoJgALYNG3s1kM3Iw2z4JC
rcpbdxyYFH2FdLjpe15jc/CrxTXfaLZEZqiJxH1UQezNV5WcrGe7A9XhlywhbzjROAR6dqSku85c
lILTl4vUZKJTIYNSb4l3maHJ4waoChxUHdwkd08yY90dU4ekuxCck9rtKA8tp9ke9XKnkQOobZPZ
zh9nz+2Tx1qJZrHhSAgg0ezxU7M6dNEn3YaLUi1gHDxBqB5obVAqOXtrqKm1I8i85Kh4pXk/tsZy
lYtUpzW+FBNl6tj5hUKy2SdT//Dxy3NZpcExg/6IihQ6HSQn79+dmJM9qWZVdvQ6++g6InqF3r9K
3sb0M/vyRQkKhC2ep1VjhhTBPNdVkV00qfg/7HBKafvNHd8eQNk5qBuBYSAqPrmn/1GJZzyqlzTF
UPiiBX1/abTqa3oBkRXatZce9HTJ7pRlJFm7aOz5SW/IX3ImR570tCdVdIgc9oD9UJtHFQ//68e3
+eIBo6chxIKHDBgfrddZV4Btoe51JVo6siCHQ1P3Ou4FItJQkCJKFMz639te/5klUeR8Um/8r6Hh
YfB8IUJYaM3f3watjivahaodGvG6r+P4smOr0Ow8+iRsVaOy/+Zwm05Orgy7j6/6vx4BbQBIyUTv
IBT9k5DzV7HcMNF9CGe2Q1oi0PJKaTg+U0O0EgiUPqAuQpLxSHlF87WOXF0fRiM43I5V8wbecTF9
Mjv/xysIDJK/V1YjzcSzt90wnHqIYceE8zK0+3osPblRJkU99lNRp1TSsukzc9p/3P6VPwn8Cp01
he2zpmzrwerPq9EKQYHrG0AM8X60gATjJUmOujZP+7YhPspYTHH/8d3/j6UIXRxyTr5tw2S+fv/g
WxhfeT7RqfC6zt0VUZz9oPI6ELPuKWFPJukakLGIf3/d6LzTel8/PT669X78/ch1EcVr/YwQE0gK
P4rCM5LdoGNWG3VnrDaUU+LAxM4FhXhevM8UMv91u9fOE39pgHvPh5+VaekcwKOhl2P6K2Gvndxp
Hu/k2Dll0CZN9CtOq/ZQsosXnyzElyVoMFEIOxDFoNlDC/T+0kvsfgUFDjvMeyoNfiaZlAIO6uSq
eu1YZn6G3juYdE5MdjrY1/Cki3/un/AlYy6gYY1Z3Duf86p+MLw2ca0QRKGOWlfGIXKhq9wpl08U
NJff9gp7IuoAcisQWv2cmNg6I6TIhXmlp6Y77IwSfjErpEvhTCRmIa8GUWDXaQhjc3aezDP5xaPW
nuxQjbtX46ANn7XmLsICCYH0CLDEWbvqapj03z8AG/StRuakGya1tPZ6wybeN9n17+3CW04TiqaM
dOVpuXMK2RWnXiWk4GSW2CtOAqzFBo41FYtcS5utIlrk8//4QdLe56Vk+mc+RC9/1qr03JYl2O2z
Y1EP1GPtDNs1Z4GNFjv662JW2wFMWfPJoBcfBIPSNsTrgz4D7erZ9L+0Zkv/Ic+PltCUxG/sWL9p
nFyekjgulrAtUq2nhjJnySFWcQr+63TA8LR/4I1pRJiSi/H+kViq1FlzTZKqRjyvXYl03G9pvFFe
KjR5yPBUIhjBtIDTzh6+fnzDL68d3/efzTiUELS7ZxtjnvyoL3SiwyhuCJ/RazhJOhy0IG7j8YgJ
sgobuxtlINVefft47Is8VRY92HOw1dh5I3w6nw0MjkVzLeY0VOdyfiTLuyn3qtZNnLwy2tXIGb36
aiol6pI2EV30NOqEm2zqfhAGhQRymzdmVw1lHCzEMhY/NHeq9RO5UbG6z0VjHOw+n759/KMv1sd1
tVhVU/TtVkvQ2QdUl6NC7c+s2TLh4KVI8W0mdmWnW83vYfLMzxIfLzefDGdxfzi98M+5bkobJtqz
0q7DIgZyb1JYfevgW+y6Umsz/+NLu1gN10ujk7RSJlbm59mlqRVpc1OFlDc2EUzmPZotbJKGTfKj
NqXpdmja+KaMxPhJm/lynuSOoiOi8YpMlBn/bFVYSQvMjIMWNp4YpiNVVX3bGeVwnbL1epEJx9YG
4D4Gaa8QkZ9VSvvaVAMFZ7QN8b8Kf3D7oQ+DZULVH1jl2V2oZ4VCSyeNUANR84z7dbw1jdjwQuGZ
Q/lv7k0VBB3CZl4mrI1oVc+vnGCO0SorpDgUt1A6EsLdaIeUF88NFR3JAlEdDebyGctp8QlW+OJF
dpllwTVj38SbxC94P+2sGN205JAbLvZU6L7Ot3NtlPSmKn24tWvn+uOX6+JFXodDsqARRMwR7nyf
G5MCPFFTG8IG0/em7ubsDgNjtp/G4rP91cV7zFC00xGtopRAwnW2n7RMPO7pUg6hnqrZXph6tM2A
jQUiptRJKo9+I7S4++cnuSoc6eev9xOT6vqj/trUIQVxOgTJQ+j15ehuktIuhmAoMEP5NC7N4hAv
Ur5mUkxF+PGdvZjCUasze4I2XBWk7G3ej1xTrXGAJy4hErLo2Vxi/QvlWt3aGtGgtsc5dchmI5IL
YAcsKNgOHw9/ebf/6Lg4HoPJBS94tnz1QjQKpxMzJPXQw2CvOolfmEV17MZc3+ateJUadLmPB718
m1A5rkQYds8W27izGSOdciWbWUvDKq3zY6FZgxEQdOc0gUJ9KTp8PNrFp0K0OQYd2Nur4ezCkjl6
CQ0BzWlOtaxHAbGhpoMVxwn9Q7scX6nscof/eUiMv6tCD+Usqtmz1yktiXhyi7E7IdHT6HSOBb23
ImODgK59io91LLtPrnK9Z+9qZB7VIgg7eBNWS/n51pBYkjLiRepPKrnm2j7pwOCGdUfD8PXja7tI
EKVYhGCKCQ83CQOe7/IaWv92luH6h8hT1WGqtHYZpJRu099xO9lfXaudZi9YpjEF4IGt5kXl/RXX
9FOyO7q0Y/qrKp3R9okXdz7TY18+bGed+zmdcSYl1N54/znBfoDTFvfqqRYUJ30dA7SvoyP44pKI
dhDt/EkR5uLzRWOPymll5muIc865VWQiAsidPJq3xTQ5x9ZZzBtC3N4mTUv2cWRr/ZdMGuohG8Zs
//GDuPiKPGcte6wq0D8y//Xf/zVnIcC2OkHe2Yk8y8HufWEYCJStKbLFFXFmySf77MsXbL1U5LQU
uBB2nZ+2l84goi4qq5PhVo35pDiVWuxEgX3lkzf58pZysjbISaLXhnH9HBeASYq+rK3Up4IdTTpv
Qb8NK2e6z5+FNbtTqCC8auA8K2L4ZUdm9fLxfT0fnxiJFViACQ5BGbrl9RX7674Oaaw2LIXJCbau
eDFy3STK0QIJr6/Ejqipsh/4npe9qQxFvPl47PPp+M/Ya3WB9W81F56doPJJKoSPMHbF6uqnDRBJ
WiB0FJ16+daNonyakmZ6/njQ829mHZQ3mEMlcmKOEWcrLh975s5Fk57SiM/eT9E03ZujJAWqm0jz
zOivx59MkOeEBtbZFRJAOismBhbec9wqkkedhJUlO5GbmmzB/EQhcOfuznDSbmNPdnGAh18HPSnN
WtB0CNYcHFWf3O3/eNJrLQEZPFmYvNlnk0WGrkW2dKtO+NaNZ48+3a0CfPjkDiYCNSvKpqPnKOPG
gsDyydf0Z2H9e75ebwAHEcSgbHYwrZyt+y0KHg1QWXZK6CaSbUAHGIN5TDPLL0n2eWwK9Fz03hqS
d5d6WUL8ikoU5LFC47wbB8KyGn3e9TPqKvT6xgYMk32oEWyfaCVkP4Y2+RTB/aeUevajcf3zUfBq
sls5P2v3JQdOuymXYzN62Y09gcbdKCPSVR+KHjSktCuBNpN1mAXIWorpLsvi+K3tjTXgIMvB2DYs
KA+lLttXZF3jozGlcXFQMt1WfN1msbjyUC2mL/hZimkXeVUaXQkjJtZ+oNl8hd5GxE+JNJPXKVVz
b+uU9vgECHsYdtGsN4eZdi6q7zpW3pI6mjSoEwYtIjo1WS1vaVD0V3gRm6X0qd6V2aZt+759mOnR
57tJyhrcJ9wGVd9jLTA1noRqiR+iktqWWVVJvstFzu1NpXu95K1EChOQRGvc9RNkk8eqs+LWV2at
j7utMFpLPZhGWb0mQI5vtWTpv5eTZpekmOnDY0z7CeLRkk5v3ajVCorOJpdhbhucFD2mvME3zS49
KTKyzG1fOOOuiiwqTQsJTDvdSNzo6HkNMalToRH0gLBmKB4qRC/ZbaN16ngwwELc4NBZZQlOD4hi
tJYO9G5FpycAjeUo27SRubhuijwKTXiDk+9ltuy/zLactECr6GizG0QOB1ysbeONdMhzB4JNPWCT
qmJ8HLtIlLeYf+IqqMolJqvdHezTjH01Cqy+pyjspUsX5nVbdf5cwUnqCHUdfJhI7nesr6TK6rqc
8k1Gx7PfxKTTvgDfNFU/Gzsae5aTTD97wOe9nyIde3VHyBQ3Q24Qa98Vun7v9XPDsZbEzvm6Zp7A
iz1I4QT5MqFTEXNnnGwiXKHtqm7TblN6BN9xZrZfxmTJ1/RiZ273S5w6SUAPPwFw1BvezhkB7u21
yOQVQXo/A2dy23xH+x/qGThaXQ+IYnbVnTSWRhxGIdV4y86GlDitlN3vYY7lL1WtrWw70JMv7kwn
qvOrxY1Mba8MltSuvUga1GV6231aemupQ29A6mI51th/SZfC0K6oIha/nCnpVR/YBJ2TfTbULe8a
B8KvbkwA5Wsvp7g+1Z3XoQnsDfEdeYcbv6F6SPIv1iic6c2i05dvS7yCESwy4osPRixrQqP7vESg
QHVqP3Ly4JQ6GfNdb2Qi3ZqGjLtw9qYYNlW8oBIVfAP1BvRt226iaCLGra2YJcPJHCizozpQtXs+
XMX4Gk0F8g1nSADiF8Zo/qIdOxabeFgVT3lamrq/9EXXPSKE0p/dhGnvrh2zbttWhao9pEmP1izS
YBRvZlTI9rdsjkaO0gQw2R6pCov5W7O5SQQVm2oTOPkivqzcvUdRxEm+6RPVeqQUN+WPoILV4rE0
nan1CyqfbVjFKajNIVaKRoEwXY0ajhm0cMMmHxev/MF03f6gT7h8L7VM/a0SJpCS+Y305nvX5qB2
1aZ19zCAPW2TG5Ec9pE2Rj3SBBJhN5OFAhvTwsAfNL0ubo5aSy3GB6ik3gPqXsuDU2ddjarAtkZW
F5h88l+i8iSbyVgCc4iJ9l1aQwsyR8XVi7uzv51aSWlbqs0iXhQ6KQhBSTLk+7AG2QV8D019RQ81
6reqJBErUCeb2pveJcmRPD1WE4OF4Qf+3jr2UeHbnQ9ZzDtpvTk126UaHWsXlbVVITse82lbZUv0
rU3nsQkobLYVbSuv+jZgWZUBYNrm2+zVfLQR59lnI429l6wHI3Xt6ERaqwn8vqPSRNHeq0xFDYa4
7cWBihHAI7+giHusFz3N9yhM2d2ImjCYKchIFkDyCU39XkvK2TxWpJ4moQ50N5TW0ldfalrYte7D
rEu0DVLK9Noz834+9izsR4Vqu7YBgFna21UT/+QV6DE3bNWAiEWtNirMyJXxkgjIOPvaQw2958SW
ORsXcYoaJNMaD2JrLSwdf0bTAUDaG8rqqydY3p7NtNDLu7pvnfZIqBoyoazWa4Fnd26UQ5XU8WvU
Whq2YObtwdx2QjOnDcBS5MczUkjCMunDu9+8WPeeSadNl0CdhXAITAeWsUGGaxMgHyOgD5Gzu+Mh
TUxSoZBpd+insp7az+3cdVF102b2MJ4ofS1oqAXKDORYVVq23cuoJnUajmAMrgrXy/MrMTTTUYAf
Ve8HbzKPnJeg+REbpvSb2e5qjd30IENDA+6+4Xyvi7Aehi4LRiJKvY3FueXrRN7Zowna0Tw01ewk
zxFb0vFuFZO9MIFUPzsjUa4XzK/FMZlxUX+zqHKM2wRaoAqnXxHaxgVOlz+g3tLksXcB40mS49Kt
mlmx9oOjgwIQVJfV1eqKCXG4k7gpCruCmme3tW6hAcJ32uJ+TJd6P/X1UvMlT2beXS2g7pybpSvH
5rW3E+c1Kaqq2lEFM7uDCjvuNzBZ9MCAOWxUBpGZ0QrWaABXm1VHgaiJk8V+sUTT/KRSOtYb2y3M
V6/ipwTeDHdvh0ZcMzeTHVvarzqxtfLKW0Ako7tHlF08w/Wrs5AcSS15i/pINyFJRuXzVGB7O8Qp
EILALcRwAIJpuqGhpNZToVGb7LdiVqkJUAFOTo41T9a2KRvFOMyKI03M7qZenAi3H3+kTjp0m8xS
VOWUSLACJ7N3ijggKMt0rqLBVfcpftViV5VAex/VSfX2M20doFsqcUQ7SB9V+TNmnoiDspJEfTkO
TIZgQlNi7wvWU223Pk4bWlDkpX7bAcSvTGRyeC2oet0wQ8XpRo3japsMpCOEa8RRDo45aeEW1Jqi
1njKXfGkGBmqzFrpzWgnSoMFX0oQZ6hq9HGjp6We7J0FROGOPeKAIBHEYeYPGrjD63JGKx0oY9z0
Wy3+H2dnttw2joXhJ2IV9+VWEiVbtuMktqUkN6xszQXcwf3p56OvLEolVaaru2qmMzUQQODg4Jx/
ScN2YzeNdRy8fgzXJT+yQEe0chK/L7z0VwXYBRq31wFcbOLU2bpm1JHGuEVAhuZVoHYNxXvTw9GR
v5ykiBVBTq22/zmFA1SsaBLoiZ0aUz/sIt1Nnmpz0vRmZWdT8iTyMrXuR8eNN2mQxZavTIOBtqWR
2+NK6x1prfOyNAKfFHgE/eYI2wR5qjjxD4y5U3LdqB+eBSVUfBCARbabOHc79xP1GBk9Z06OROOI
TuIuw6ydlI6OlrdTGunkQCeLcAQ6V2E0CUOn9ATyQiuQnM5n+DyifKpjKiZfqSAlB6TTpvxu8GrE
S8kw9GrTIy33TSk6MO4INqaZvu5omZd36L1i71XHqaX48NFA71cWMLUut4Zu3SN5MKxcYGJlvkqr
SOl/63ER9iunLAzTZ3MDUnP1bKQwSS17TcDJ7B9CmKL2MVDoBZGK0t5m0B3kLqoYD/qwUWS4rnpD
PsWGLe1PTgkHzVupwIXLhwLLbPT4FXDB64i8DCNzJdFAW6cm0tNq73r5E0jzsqbwGihVsi5IjrPH
HrH5hD2bKoAsgFrPGTdF/i/YUrQWyaNZKc6M+UU6JbGzbAREXcvXoc4tsdEK5Gz82LHx7zAGHNDs
KVHG3/2EAt8GWkp/X6miBm2HiIf3FAbpBGXd4CbQP5deL79MatiKR+gVXg21QHp1mMMkQpLjccq0
6IetWFF9H7TeSNyiMqJ/VdxGINpqzLknTFQZ+hI5mAgNLjdVnJVXIClJL2iKjC03aovCbEJPZNPI
NA83edinSM0jYvUUYcT2CyB+SXu98Zxop4i0u4sNbyjRyhZCrBpgOOpjP/WKsQbrH9cbjeJUts1i
8rU1DmTBK0NjndpU41Ts46q2+x2bqLKgLyWDug6kZ4jnMZWTsrOkllExLKNqrSOi5n3q2ph0yYyi
XDtk04wZTcc8EvsoqBEBGEQrpQ/AtryzwzRWfWSxeOBpoIJxlBCALzdWUah0mmkFKUG8siqvKohk
lZevOyVxMlKRRvS/XIWEZJU2rjX4oeel6gZymVWuLIhr4z35iN7cTTOheqo8u0YmUHECELD0EnFZ
mtXu5icjbqAxxANLaMJ9yr3QnHxWGX5yhJtft2rKyX7NbJ3sc+ahhA9yzGQF28iG29Q2A7SfNBti
glUR+n3qTtErCq/B1iPLD/NN23v1wQn0LtlXZhG/avHojH46wo1tVk0C4X2ll21S+EOcI37a1W2d
3smu4t/PdWH3gUKTkpHs1MD6Ade2FqrkgwD9nsW29T2YRnCegT4prg82lMwZJ5FyQCi5mRpUs7k3
tHUkiBHFKsZIRDwOse3IJ8XWiydXHzL9LpQYxHGS4XRiXY4cbr/qo0Hlu2WjWHddHXyzXeA/Kxv+
2QaFHIuVBF1Srct+yJ19iEic4yOD3P0YW7NhDoY+SJ8MJGD1AVzbBxy8S/Cxdt+JPVe666NyPuUb
hMS8vzURRASgIOym/t2IIvleIXU7HLK0gJKnBnAM8z42fsMDqcYnR4Jm3fVaHv5AJaMb9yq2RSPm
NYVovsigbvaZWWvFJuozo78Tja5vtRL9DdDCURXvs8IJcU4ZxZQnu27yImsTYi3IRWbELVgIqoGK
+4oTSlfve95fP6sp1P4rY/R0VqmL2ePOaPm2AxdZ5nuDpU6bvDUwNViVRlxV0aqcJDQg8nNgkLqE
57cKgXt/0fRBqFsAoem0z6kwN1tnKsphw6PG6tdgQYq3MasAjYKtsD04lJUgkqrWZB4d7NcHf+wC
rfQ1gOfapjJifd3SkM+OCNNP3jbDRtd+0cEuy7dKaSp7E0+Y+mzCyYrM7ejErrMyY2ty1yiaa9OP
QNrD8IlLuG82RO7Muu8oTvPytVQQZhXK3wMBM3F08DhTKvZmw8+HK0IUC9dhQq14hyWxLdFNBtu9
msCZROYKA8wsR5oz1HqSRHtqfB46arEiETT7p1bU8gs8EZnsbDvXrd3MM9j3NoCrlZZm0HasZNKq
3aQhgQnqA+uSJ8Hh+VnHBIqN4QWJu02qLhkhEVSxiP3AiLLhk2dXjXPgotWcN+TiSfdXAIrqn1pg
yeRzBVlYe3QlNdc1TtTV9ATxSQP/PY6Z6htO5f0isnKP5cUQlZhuk02u1GoEql1LWDF+2ipVvB2S
UD1KIJvqum4jANQBPvCgXcc+/GuHSaPyjrOVJlyZWhwo+Y0q43lN17BMVDrpE7j8B3euQn6oJ9fa
JNhjav2gIRzVPSe2FhIs3RRMP3zKclc71CO+Zuzcf7QUocgKygEpXwtYNPilJafeNhLpJqJIH4xC
zbcI0xOIFAUO6MqJk2YnEQvv9igF2cat8u7cfj4tFNLBRfUASABNPk9bVDcbNJrTUGdkUCGkcLy0
U4W6V6nTEw9DFUaWk/0KBwGBQ0fFYWXXur1uKbL80bowu9G8PkMo0PwzaAICmwMZSRt30SmRzmD1
pqWIh8wFfsF1P017SoZpQRWkLN8q8MfNwyhqmlYwP34kTkRJAPgKNDoNFsb1avtZ0Zngwd9k5uRc
lrZ031CGMY08vQkf485KD3o6JfdSQ2iBKJZC/hEl4pKNA7ECzXj/+tBnhX4DjBQoTTqT6O65S+XW
igPamqBQ9g7eq9/0tg62imnA/DCN7gHy5S2r+rOpsvGR2AOPgicGVK1FNwMPrXDKjVHs+6gq1lHf
W88W0vhPE7+RLTDXovrmyGGMbn3xszPHyLMey+zbB8d3qcky2DyMa9NL93IA0e6L0a2TL4bVjgMM
TGAMJTL0BG5oPuXajYYcQ7WRDGfr5KimjGoNP8ge29Hza9Hl3jFRBnXaCaKTuTWMOuUBGUAu+teu
CN1ivoxDYkAvBkzJe9fkQ6jIhywDayKSNxnKyTehsGYrM5LEduhYXPIl3N5HSjElMJpSDBgSYIFF
ZLeld2OrLBbw/ZfQNJ8pI4Bc+DWnQWt+EmOHMCRvBnqEYhMh27fr4ynaaeVUf/O60fCRJ70Fbn2P
Cx/iBsOCwUABDb8yjoizREPIpp66eHDSN5HH5TPaFAL+vZoZ93VfTMkqmBn5qyjqqnJlclHuaheo
i4stHOXbEo4nGlWYx1w/NWcmavwoquTIiRNE0XtZNuWSwNN6NSRQlFkeNSuowu3GkUYL+U6iA7OK
qtYhGYTVE27KfKwrqsWJDns3LZRXd6iSPxXB/XcGyydfGRHAybWeRu1O9ml/Axa0bM6zgM6sNc4C
UjbT7XfQ3ocdRN5hyamKxhdORpWTCaKmhWsZ3MsVDmGyX9HeRLYO7KeGsxqPQGWNu2H6n9kp2Te+
jRwfxrIoDm2i6f/qCzP/NqxCQYYSj13NnDvMJ78NPJ7ResMLea58AJvtfdWlFaurKi+ze4sVvYWJ
WwS899UAB8bFSwiy+et0xNz0ZJcr7fCSxgHULNFGwaPHowZtAUpn8aocjPSWQOTlMV1zhoaBQFva
ALeiy/TOGYaXmMLnV8d2x28C6tZRG0Wy4dCb/13fnosg+z5HUIR8bzrmNpf96Rxne6uG7zi8mJMF
+T6XBcjbdHzTS0epEAVXyPMCT37mBVjegEhfGhp4w9wSREQMverToe0BwQvywvEFPXd517qKNetR
Wb+LUpVb0VrmvdqF7luWm83b9UnPkzqNE7PMp4n/MI2YGdSzGDnTgLdLRuYuF1/QFKhqfIYoqCqh
btzAhl0Yi348HDMU5E1wlXOo/LBtw7LyxswcpxfRavKbNrjNw6yA1SIMgVbvjb7whd3DYEBq6TUg
iLSUuKN91wmQxuMLFl14AjTkvhoOn20LqlhtkecQFQJq1xfz4phwCTwgUg7/zH/+YYJ90ynewIPz
heDxGymtnjtRmp6yLURtIovUyLK5kRNfWlML2S+w7AYqSPZiTTXKRQaqwkwToc2XUi+ecymMQzqO
v67P7fwe41R8GGjewh/mBu1yBgJP4wvheabtJ7gM18j11G3mvAX4HN3BpbR+Xx/0bEGBh5DuA5WE
pDHD6k4Htap0ctPYGV6tOua17UU9FZRAeFa1jQugOYgFwdS88RXf6WUfzwTyWaDp5tCvzRioJZpB
VuWkpY5TvgEDNspVM6Fw7g9eSvYQl0n2uaiQgL8P9US/qyL6HVt3qjT1Ptf11tuFkSGr/aQdHbus
j2E0OZ/NKpdbCOfTY9Xr66qx1qnTwelFVSdq19lgj+purAyh8Hy30PamWOyhMINDUvQSmsFw1wRh
Va/tSOb2KiwTRFiA3BifjTCiz4GrZ33oYiQwcGgf+2+JFxnBHyoX4fQzT4byT9GN7uOgdzDd8b2M
JPRo3RU3Fm35NOA9xusE+hD4LSIoiLHTT2WWnROMILTfat4HMHbCBAaX3oxDsNNqmFxgCSy6JgnF
il908Kh1p1bvIK9jUZuqxxxfyH/bO4Q16i32rJRuAho/c/0sy0g6btC8aXnvmSAqCgxng1zBLYVn
i9hksu5vHMazrGseE/zP/EwCAAQe5XQRQqrtVV8U3Vufa22/inldt+sEXYycGtHUm76jie6Phxuz
u65cqT6FXt8P6GR0Jg6/2lTUAJQwSc1urMUySsy/ywLMziEi1IM2PP1dQwmlwgj68s1puuwpnNrg
DjRROM0XGnWEf154iKketygOcjD6FpcZhQEbV09KMKYVGb+CoHV/m6HRhxv6Ij36AY7bZzd23zI4
MT+wezP+h4cgKgb66fyk0YBKcKr2Tcno/9ZeXh3A4KlbKdP+d01ELB5SxGT6GyTBOeadBApQdfMr
mNHtdxeg02EzlAtpspnKq4G4qdzpje08G60rv2tOgmpaRtAnXOVO8ZBMSXHro76/tk+HZ2MDlaRs
B9baWQIJ6wCFA0rmziuSSvQ8rMFNh+9TEo7Wxqptp3mTBrZfbtZbbLkieHM1Q7HuxjFC+Eg3G/Ez
C43Y2/UmUXZHD1e+uGOCVIvQpSb9yewwh23G3sw3dFj0BP+LOrd52bdufWcG1aD0vB3gqw07nKdj
kNZ4uaKKowmtbzdDSVEDrQPVe3PHGYA+BXkNlyfUEl8xu0jsRMFOANnfVq3fh4GOs30aK83TMERe
/0wrwfvLM84t//bJOJovI04c5RcLtQPG7eoRVvBKReq9frID1XP//OMmZv8CzrIBvoLoI4E4/bSx
2jqVO4XeK/ITiFE4aM68YoKXPZR6XNo+7hfFLWnXs02MHy94Y7YTz1ZeFYurHJRAgWIFFdAhjysg
DklkPjdjntLoDO1wlvOhHfJVC7Ui2F6f7MWROasUNaht6UviL0ogE0XqLn/j1us5KZQi1UZvn51c
UxF8HvEwSIPb0MU5EHzcvxZED8Dp6JOA8UZGfxEoHJzHDJfbb+6DoEJcS806onzhePsKuwlnSy2u
77AknfBhTBT1Ae8RpVi3aJ9Ee1yi7HjvuQUFU7WLm58ZLelbydVyXahyvXOwCS6Gwa9d3GlBlKiF
gTPdWyvs2lyBoil/ogZZF34wmsPPwRqDlwryv7K5/j2W4fp9XJj2M52B1/uSkxLVHYiVIQ8PihWU
gHAKRBrqzv0Sd1HhXx9qiR/FTYw5zkh0Li1Y50uD5rHXABdoivJWD6V8aGRT/uwCrPSUWNfWpVbF
hp+5mWetJdbyyT1vA/u+sRzp3cjXl7F0/h0z6dnQ4QFxZy92vzBp2+OWHLyN3eAadxNmid9SmeU0
UHukbswZAbTOw3bSH7OYq/IfLy3uKp35vxsFwVZ9F438kN5OmitKB9bnYQhUNYFEgdJPVwT9MaFf
DSuX9tuNlT+f8DwigZvrmErNsoYY6sQeBbWrA4pP7d4UVrnps77/lKUQ3le1we2shvZYQIW05e76
V5837snJY7bALjUdqiM05GVVOQY30zeYrh6qMFV3quzVxyJtA1AATWIBzuo7v0kM6xkLxNqnIJ7f
+NjnG/ydHGSSYvMYBHl/Gl1FNAYuoE9xCLuxf1C0wtlZoNV90ZrKrWvy0jqzt+fHEVkgEg+nY0mH
HkmgxelhmMp820VW9l06Zr9SoJTtYNtN36m3YlHfpOLWG/Q8fsxq9jb8yFmuA4LO6dBt1Sv0nj1x
cCcbiH/tJS9q1FZ+BSRmP0mvOgYKTZjr33b5ZmInU7MFUuPgqDNzJU8HHYaMXo2kIo5sFhRaYEso
AMcaAgvrOE7EsAJXpd3iNFyY6fywpzOOiANZ5qLKqWgIS9VxkR0A+tn7pp2aV3bWRDaLeQJPHsP+
1kxK+O/bCAUdj4WlWoPh7SI+J40XTK0x5QfgFXu6e6Gx7qmu+HofIHF1fVkvHBnKM2hVU1qb1QqW
W3bisCKXmx2KIOh+ZMHg+ZqJgA12yeU94t36Q0ld6jsGWdoTrO1bX/Xy8CCN3ina1JFPvyqLH6KR
Y/NV2yEbHoa2dvMV/BGquFlbOF+rEZJ8pAW0CCMerJsKyw37Roy89JEpa6BmrcKxA29/+huaeKBa
HYj8EEAgPPC/kBvhoJfaDCpypl4yhqtBKeQ/1sbm/YxSEUmujd87W+x01DKLvbov4/wwjXZ4Z3uD
avtoXMtdUUo7XA9FU63V3IOmU/HAuv7RL50lnk4zER8IDpngYmxLSQSHNT84IyCtdQ/GFniJHP4G
6E2lfjEhxntjT589pKlD0uxxOLoUIWYayemYUQeu3ImN5Fgq+thSWq6hh8Z9E/mNhQoOUMUU9GCo
KZ+GjkxhRwJt7Z0aKhnQIjVJb7xxzhOE+fdAiebZiBIKFOTT36NbEe67TRQfxyA0wDcWfRfskAWm
MuKZJTDMiHfQ4HuijB1fHZqk3NTY6LbrmGqYe+ODnB0Doihi6nOios/9lMXijGocuJ1uhOSJSfN7
BMbwGPXYvO7aZEAgpZEqtig52Cdr3dp6ktznDoCQ65vi4m+gGqzy6MHLY/mBjBFrdDr18bGW1rTp
2Tt3ShmnP4Xofvbq5LzFRobsaR5E0zqsRHQjvp+dQpaAjhbXNmeCtufiPiv6si8s5A2PuRo6Puel
SmgIB/Wmaxrvu0af/hHdtPhGSnpW2oDJRS9pzhnQhaUXuQhABZ6jk0xq5YDwntgUWNGr67jkGZfq
XvyWmYODtnE1ziiY5tEEZ3DXjAK70FDtn3s25o1a8qWPQE98LtXzi7hxTnflwIME+owTHo0BfZBV
lMOkGMZiUpEXSdSVkY3OYxiI+q4Y3WLDuZ1u7IKztIL1mHsTc5uI9+Hy8a1ZM/fWntABtuPwFeiO
d5gluR5Tx0zfbMW0kfCJq/T3MIn+cH0DnkUlhsaN1uZY8gSiy3k6dyC7eD9b7ABtkMUdEkiSL1FR
TKricW91pbu7Pt6FHcdzlJ4VNVGXbvf8ez7kxsYUax2wjvhIhtW/tGra8BTT1bUdW+pmsgLzcxSy
G64PemGS7G0T3CGvQ2ob8/p/GFS4AhnrXk+OHkq/z9C9CSuVZqNnLvGoVm5Rsi7NEdcjdABYW66Z
+c8/DDfyNLChkgk61KGLoKgyrXWqDpBBI8Q17RAYsKGn3o3gavH/epKHQ4/kLp/b6/ignd3qStlD
RR9cccwNLN3UPEJPrZ1UCDOCesv1Bb00Q8+ZE1FgCxoZ4ukMzVYSUqEKHDoHT/WBYvVLqY3of0+J
A9DOEjxq1ejL9UEvnBJdR0yD3gASBDTBTwedIlsx1C5TDkqreOUq9BJxNPrc2YSp1W3I1o1unQP4
fHAS27lxQi/cpOSiVGFtECIUp5cNPVQdVD2x7OAQFnj0rXR4NjVkp1qP0HbWAmCnNoaJKXrryOMG
ebMu8Q2lDAvpeiWatN9dX4uzj02JnJ4871s+wpyhn65FROI4loD9DyiAq/f2aAH1jGWnupu0AXhw
43OfnZ95NPYVD5B5Xy/NI2pdD4Vs1ejgKrHnB12m7qpA7NsciRgUuEfv5frsbo23uJkDvRqaAa7k
oQ1F/HdyAhmtnKrrM0R87V9xGjb6/zFDhNJ4SQKKITNZ7C01S0rEeszoEFflz1BpISQ1jniVYNSY
YB5/+/cJzr09CxAY5f1lp42mcJJQbkwOaiPjr0BAs33mhPVWCeiar0kI3eT++ojnG4bno0ZhbPYR
xWZ2EedjO+wpw5XJwVZbfCa8TgOIqFL66MpMvbWaZ+EBijgPR5YTAq+mLmuALlqOGjXX5OAmxDoF
fH+wzzunKTdDnY3TxnUC416LQFhvr8/yfOMw8Nx8pyZBqFgqomijLixpW/EhGoCSrcfSS5WNYsZC
8wHiyze4ZZD6ro95FpbmydJOxFmdAwJG9/QowltANjRoxaFpmuItiGHEgBf2vE+OMrivwZSOfwKj
znApSCNxy3fqPKOmykXHlkIrpCNyh8V3LZo4NhVhiAPJTfAjq130s7PICHdKFli/EAGMUdSoBh0O
d8TbXY5y8GEOVP8cj/gZNkrdc2IPXmKRSAYYUWbQsZIDjamp8+vEEqGvin6kSac4r9dX/Cxfm+dM
vjpnkIiLLbcXDOtReqUioLioCA57+SB/1SN1W5f7cht7lAxW4PTKH3keAnSHqiEO13/BhX3G2/k9
YZ9FTJcFxiyOJldM1JyQH2j1L+VURjsR0hpaY4cQbtUpTbV/TVLnciZXEI1xztVZ202jqTEohiUO
U9XWclOFHvVr2y2LFwVW2h08Wu83DJum3SWtETbcBkF0A8d04VjTzKaWCFQI6dhlmppiJaFY+CEc
wGa6yqrUnPSpq5Xut0pZ2fNpRvTuEWJpceNUz7X7k8yGqbvEZO5e0IN0UU5PGBxPErg6SA+ZmSTS
T/JOH+8ATWY3vuqF+dFy5WVCOQLRheW+sltg9VkW5gcvlsY3q3Gh/0FMX0sIQ68sR/g8QDu+cfOc
P4ZA1rGPef7hoUPpaXHZVdqAa0+QZAdceYfwpwjMMt2hF9pSgFKM8IVUsjY3Ktd6+0ttTUQXNETd
aui4XXuPrHoz+UrVJ7ceRRcuDFRyoErQD+VttMy20ATXQqTAsoNmVFHkl1CKVrRF3O4Bze96uJGh
XxgNFWAErFl+mBHLpmthAnVoS74oNLa2+gLaHClLap6O+GNB44tvxOxLw/H4J5MBAg4FchGz6YnV
hVqDqIPX1kEhN3hjral3yf8UzMm+Xw8WF7Yv68feBceD0sPSkkqTLZYxGE/AvrCMaRcF2AftgyQX
b9fHuTgpY3ZPQwqCLG2xkdBrKBJCQ3EYS1F+1zy4TWjR0yUvtO5GBL5w56GgQP0Gc2fUzpabA1lR
hHvQnDjY7tTiGqVV3QO8MO0unXB0yqWtvSJrnWzTyWhvaMldCL3cM2jm8nClv7PsZ+Ug043IGPOD
WmU4GJh2zf4XgbOTsFhf2ia55Zh9ISoQ7eZdQvZLc36Rag8j4FAjdYqDo4b6V+wr043kFYb4WCqe
oqCsQp9+FFDO61/z0jwR7gNrwvOeiDR/7Q+PSK2pmng0qvKAjEK1xhYh9ktDFBtjlCDzkZTe/eN4
fE8A6DrtBcDZ/JfT8dIRylI1ptrBpDX8gCOABNxi0nmH3AsbVUIPvdUvPNuwjDKfdUpQFG3oG54O
qZguZXZsJw4h8qnbKB3ls4ga7AeyQQKmvj6/80yJhiBNG1CRCNKjC7i4RVKjKYB5a/oh0Ub54uRV
/9ntIa9tswwIEjqBpVXddZoGRTZVUlywKucetMAtLayz7TT3JQkFVMDIH0jdTidt0HZEI0EzDjia
qXdwTocjXkcwDdwux3XQ2uFQltzycTxDIJMrUeWBa0E7dFYIW0w+T/tiDIWpHzCPSo9J1KESiDDs
53aUOnSqYah+qYOBDZ3aTMe8rJPNEDr4k+GLiLV2hUDBWEfD3+uf5GyL86MoytCixZGQSsniRxVC
SFVtLeOg5Gn8q5NxGmBl0Xs6pOMgzO7quAb8cX3M8z3HmAjdISIFugw5o9Plb3isJ8VgG4cyd52f
CZ58nyokFiCNRbp/faizuD9Pb+YNANef1ZTmn/LhBMNOnOYL1Dx0Q282azRW8nRT98otybFLO2qu
3RISSQ7NZTU1dFvVrMbQwg0tLR9p65s/wg6LEBlq8o+F10e6ag3j1hVw6eOhLwoWCkAD5sGLhbSV
cSgEv+jQtKqwV63VQTiMJWIs9Nedb0ProedzfUEvfbtZPo7sjNh/BsOtm4o2RlgbB2gI5qMSOma1
S/sBUYyic2+JT55/PTomTIwsgeDEaKdfr8BMV8lEYhzq2NCVTw7yGIbf1FK1f1+f1dldyqsJcAZf
kFYNSp6LUwAdFcDMZOFSbKioEpvN/B73RKB+jYhl29xF1nzTG7A80K110hub9HzzMDpxEaX+ORNa
GgdTNSzzqLWtQxlriMIrJRpffVXdIRxUb0J4l8rKs8dqe33O55vndFT9dHFTUcVpqiuMqo7dS4TM
y30BCQpehm79l0COvnG5XVpjsljCLWm6hzDf6Xg10gY9loX2AaH21E9dPfIpJcaryg7lE2ok1ToJ
UGnG96X9P2bKXCkOINPKZTdvsw9BIOlCTHTayT4gWoXtZmqq8TrKJ1n7hYeiWzSGWOD8++LOnS1q
daS3ZyX2bnDwVqxT+1ClwryDehb4Zot/5QZIoQ0+VtjVr+sjXtpENBlVMkK6e5yb00kqIxBFgS/X
oSlt99jVg55thxjPnXUS6jCmtaygqdtI5IVv8YAuD82woCY19v/85x/Wd2BGlYW01QE0foRDUlBj
WFjTPaxrTd5jy8TKg9G/ZTM7R7eTJykEB8otc7EJYWN8t0+HFePo5gluikd0PNQ7C32fAZhb8del
pdas0hT6L1BhZ4NCSYgMm/2v+xkQIXXomcPnwuhczrrtGhW2sVIe2zjUUWGSzVGLtdbn3wXrEinv
N60ejQcnq6MbI5+t98x/cMDk0tpgwZfQBaMYLIn6XnVMwiRHlkEz/arvip3RxzHCK2W4j7O0vnFp
X1htkE1gg9BfBGq7bDdUZelCupP1Marh7NRFWD2iA1jv0HxyfSycNB8f+9LHC7T6avaNcuMMn6eO
dM/n7uDsn2zOn/30a5d5aHk58mZHG9mNFpkHxftrg8qdnlVjnMydQ7KEV6ptKZLUJc7zOwWjc/te
YDF6I16f3YH8FL44PKYZQmAtpU3LQZh8ACGPMKZwOw0nA4fJMf6ZaL11o+Kkn12B81g0F4CVUdcD
tng67bBO0CeTZn1Mk6j01iFp7cvYO63m43QnH+uxVUKfZDZAYCmJchybZrG5Cmcfyk9RDDXSHJRE
Yi+YUron9kEtwS4pxK42UZzPRmQpwVbIrt/njazpAaIKnD+hydqioQVb31lHhZheUglN9B8DFjOj
4sJlC8Ro9sU+ndmUIjrRYAhw1JFK3UzFbLpme/UmxrDtvmnLT6R15Q3669mdx5guxE2kZjhDhI7T
MUFEgsN0wuaIw6iz9trZRn2glTRNSOCpbvnvpeF5wBmoP1MWgJQvYhTQIq8OrK45os9iHktJ75HY
r2xDR1X21AvBunRtlfhaMuXZOnKNFkURLJL/eamZMV3QuRfg0Wg+nXaHbEcxqGV7BNYUPfNLv7dp
HO46c8h8ta31u6DRb2G5zq57RMotMB2EZ+SsrSXMZwgTqGOD2R7TCnXudcGRBkJiISrTjqq5753M
3Rk6bn4rSk7frs/3neV2ejXMxR6eWvyNZZm1/M56KaGZd+mR4nT01gs1u3OHunXWVR7msIUrOW6x
DkYHq8mi/nHQvPpH1CBYpdTofd23UmuhzXVK8adH3f05waNq2yLdcodscbgyys9RsVUV3btLoPXt
4hak940E4jzcMgPeK2DHifDEvNNPJka1q3FRSY+WGJPvDdSsxwb5Nn1lIo3hK6mWbrSWvgKU4GhV
TYZ+f30JL5wUiC+0VKhIgCNfkj68JpBFqBbZsXSN6HOFktqnSME2FYNCdIvC0rlRUtIv7BcdXQaH
D4a0sL78ZG0qUkzqtfxID71+lLoj7rDA6FC3nKYOhzizePa8MHqtdCdrV0E3qso6R6rpi4C1+ilF
bOllnOqhRRvOhG08OdWBSv20AXrvbVLLbjbgFZUvtDBFuypk2or1YE3BXW3o2YsBQWztjBMapJnB
9RZnlfkoRMRD6vqy6nOWu9iZc/eP1y9kZFpki6M4KB5SraWeHT1gyHjUYCuLbYBdF/mqsWT/A6iU
h9a+QESHNp0R+hhni/J+5u0bW6xa3GaddWX8S06l8s2bIrPewkszrdVQUvKYcTJjvEo5ZnvQOmhF
OXpkP5V6mivr6zNZupyADsVmgcsPiAVwGRqbpzu0osVTF9iAk/XEde2beoIwY4nAyVqnZnw3Ol4x
buCOW59oZSQYFNCruEeyNngNsQH/Inuz/2mo9M42uFKnCJ1mk73VVSVdo9zy3/UfuzhNs6iyCTgZ
Iy4obSBeFi8AEOBgSysz2IOZqLb07bUNxYIC1VMDhpasnE2HytYONRIEYLsm9q8PvzhM78NT6oCF
jP0IxOfFUiVBKsH8e6h0GiLfFTn2N0LLKHi4bkSqHv2jRgFFUnranFskg6jrkSKefppyCpw6V6Z0
PyItZAPh6nX7K4bLrjqLJTvyd4Y6MqTDNLnJfF7kpu9Dz9QtrlnakLy3lkOPIiiaMEXJP1M/IWWR
xWsDBMabgthYss7N7r9QjcYbC7yEhrwPy6uHtx1ARQ1g+OmwWeDa9F1HWviqOhoroxfFzh3z5GtU
9Dm6TxAZd3btsNmsRnc/iayDJlfScfht1yhsX//cF38NBwNkCOBiW12Wqy0dM6kZIr5vpBJhfzJk
gd+1qfFqKoh/r/Ab1GddLW860J5NiOl9KZM1jtJT8kylu7kRWxeh9X1x6I9TIKLuSiqy2H522bed
mqnZvsn6v7EtO3/Ka5S3isCgaESHaeXo6HGqkY5E1vWlmMPZh3A3Dw0ffaZOUoCbk9jT75Li6afW
CNXtlYjKrh1pxbgiOvwyuV3erg/1XjZcjkWPAIEMSssguxfTRIoqb7tWFHgNRNm9YaSw7vNUxl8g
yBXFqxzq4vvYW4r70nZ282YoRoEUFW44O4+oBYOgbLTwm9JQD34wqU/oGxCBhbUCr1z97e3OeWuN
SGhbFdGL8eX6j7+0TiTD1OHJl7hz5wD24QmdVlPTxUKW+37UxldZhYdkrNsnI7CDG3H74kikwKQU
Lk+5ZQqM6nHlKnlY7kNF1beTHTqI4vKm87My7MX2+rQu7DxCELMiEMAHWoKWPPiaQ2Bo5R4jevDF
CNz1wz1uH+GnXqk1lLQ7I3tBncBEtWTK3P7Gxr8wV0wZqPNT33bt8zq/mkzU1US5b6oseW6jzP4s
J9l/19TeuPvXmTKQRr7LjQYuYok3VIq6M+WYd3syezSQG9xFlVyx7kkv0idFsaMnqvpvrR7+j7Mz
3W3j2Nr1FTXQ8/C3OUgUJcuDbNL+00iynZ7nsfrqv6e0cQ7MJsGGNhAEgROkWNVVq2qt9Q5rledF
ggiEE9Qoh8yDEEOveMlpq4tBdQKEQ5EXduPnvHewepMZ/MpSXsV1yr0Q+yijEV6luMTlBu3c2I51
temfZifTdlOn6GjAN/ODqghl0zVN+ziF9en+ml7d2pIETEPMhR2HmduyYWKTYzuVbVVPjQ5OfON2
Wb0rUWd9UyfcHpE2K53PZdVYKEkHIdJhaZN1/7n/E25MGzQaxC6yRmmLtrhXWqQ2Ix3Kz4FOjINM
9lhha6/P8zFxR0xcSipTftYXw8puuv6oNnUlB3KKxjPriqegFmlijeiBPZU43Ee+NijpF6NDaP7+
7K4vKvYODzjKztSfJc/o8qsqcQVSCnPvp8jDuOb7CFMBqS+wLOWPZva0yRdxEqPU7cWackhdvej2
Iwpmoe9iK112j1WPo+/X+z/q+qtLmykJTged7CE+cPmbGqCMA4p/w1PWU9CjdFljL26m04EoUxh+
4E3p7yAJxh1uNtXB6DAguf8DrhefHyCRLpJJiV/0clF6dHl7KxufNDU0/mMIxeh9JTPnD58oKsPg
8mQlSWK/5aPxz5Bvj41oK2d4GhDA/JkZ2Q9qO+4O3GX1DJlufJQCr6svE7lhLy5JGrDgzHmTAHWh
IrGYXFx1SMLaOm50NISPLvdct+FjqL2v1VKXEtjl+FZRJ3c3dhuK7ojFfL0vMCQTW7Q5qHRObNf4
kxUrEXhC8hcyj2yyNoY1Jjz10rZ1trkG63KDLir6jBC7AzwKcPU2eYa1eIQ6TgNvLk3ATk15px07
TS0CbDgnd8j9aA6yV8ixUfUtdUHw0R4QYLedoevfQs8u+F+hRFZ9Q1i4QVOViqf5Ztql0r9yoNzH
Ihap9kvD/cH7PQ9aS5KnGNCI+ngY7WfJO9P8ZrIb2x80SvNklxHcWBQ5OzaZUnYnpDmqH0HVe9VT
bZXGXxBXWjibeVEL3Sc+aMUW6QDb2lQ1doW0efvsoZqqrjjxBlV+FyhZe4/SbxPJTJal9CFGIrE4
5NO/UTl5z2aBjZrP3utcdNad2XsYABS5m9DShmdvivXGx6Wk+W4mIn1LB4r6vpkGHrYEQwvCOkCq
cnoosfd9UyB1sV5YLJj+jGg+ZjH4TUWnWZ8CHQCamUy/0ySOairSlELQt8QY4GDiNfVX1lojOv+N
YygvyHsP3xJUY+uftH2Hz0EcFcGWjLLS/cGZw/m1ghxQ+4beOONnHYaI4lPxib8FyNOlm9AOsnRn
1lXtHrS6w+OyTnKc8Np4jDBsseK8+ZdFQn64pslVbPrEpdCHAYP7K8iyvlx53SyzUq5DooYEp/Pe
gERoLeomMzK9Nm/N5sk1RvVH5GJr78cBSql+kgMo05GxFxslyc3uBUDJpAcbBHfkBqt69TWzvBD7
kqDrJ0xKKcru847ZH5JoRpTHt0lpEJX2jGpeC8TyHbw4lvLXwh+mQwascnG9pm4cUtGI2ycHfbGt
jQXt4Od6UiKk3/cAWp3pK1J9JW5ZTf6pxToTipKuPXVp4/4CDjivIeJkGLj6PS5XPRcQfBhvce8N
aOPknW43qNPjBp8EJlKUQhmRsQo1sXLZLUv78pvBQ+OikzZ0wBAWSQKEYhT8naJ94njzobh/phHV
R8CUNNyHz7mG9HzjkjQ7WZl/jaY62gcZ2KiVvXNjzihEgM0g8JOzLFNXj8SxH4IWa8FW2A+4QAwv
edPGu8wotZWhrgoC9DIYyaGNwjscJsVl7NcBRvPkGM2nvNHrL1la5Lijh4LIkJVRrW2GKqrO92+1
q5cMzBTyChYZrDv1geV1UxVON9Z6/WRqkfWlTPLyADpcedHLfP6tKCHy+WB01/a1zLku9pFtSp8/
CZqVkPclSC0ZCr3wOmEeceWh1IsQvP0LhtGAHq4N4Q9f+DbcW7HVNhset+LvMUFuZivmTomlv4m6
cuderbuNTpkDBB8UIEnBkic/Z13Lq8qxji1Nm8NMwrLvMlPZanqvbPRpWAPhy2O7mD7Ffwrh1Jyo
9S2rffNgg1loIvPYDJa14z4Y/0kyvdH2M86OJR2HNvkSRohQvRR5ip7TBz85UEdWnUMiX5PQkS53
mSnaaNJw1jkGFoe4R1cN7YFmPDaWhQA7Mrv5Z9MrFXV/f9gbi+xKSUhkdEj6YdpeDmvVk+EOvasf
ccfwNrnmxs2PjIfiP1kUFuqPxEbe8P6IV09GqXYBTg+ag+xQLtGdIsJUV/EC7ejEQv/hVlax12ZN
f0B0xPgHK0sPEx+sfxB3NvUHk1JftYLKvvGdoWLRg4bISfxeUoHCsQVGpRvasYGJcM6n3vimIIa6
xaFPeUzzST1kdli/VKokN9+f+1XUAk/G90WKFNYMNbfFudb7LucPPe2Yik60Pjap85veeIiBh6i6
rrQjr0M1o4FuQgCB8cCdLp6P9CfHEqq6duSwSnleBY0HqOm6H/HG3RbEtUd4YcXvGm38b1hs6uNh
0qfkw8t9+SsWczYHgPUoemjHugnCk1XahMzKmQ18aoJp/ok0sbmp8jBsIKgVYblyX91acdQfAMGj
ZAeYeLEGIkd+v5hY8akP6Cgh8Y/tjA6QkLaGE6983uudhVImyEHQ/jIJXoKyw9zOVbu29WOkjqlx
7FUXF5MyDw9YHtoxJhNm90+gpHP8kgVlX6x87+ujTM3O0kHs8LFp0cqD90eOYiSRKPEitY/KHOAM
FSKXLraij8WrUznxlkaGtaIOcHNECWOBaCC5Fovg4Vpj75XUTo9GkVe7DBP01lfVQvtSeY29GxRd
//jXJL+nxMSNLKXI5b35xxTNHo0F5GadY61BBzXm0ch3OWBmFdOkrl4Z7MbXhF8OtYEnHkWbpeK5
ragWjveOfkwhOb5ORmp/Q4l+ftKHufZTtRhRJ7TSeFtWgbOS+l3tWtlsAubLuwafwqsCzjggdt/k
M9JlZWi2ezWdVF7G6VyV0DYRNFzZt1ffkco3O5aAgNYuwI1FMVbFh4qnjVoz07SSVkrxAZ2g9BiD
HD9kiCF9dGWBORIGafpCIKe5vxjPbhLk77AiO1pWouyrmpNZeXG3ieht7rQy1U6pEsXftWwwvnww
ADMyLwkD4oT0bTYXG8gbFGuwdNEcu6TTv6j2bLymoBY3CVYXlX9/rKtHHGMBNrKIvACPyNAvN2uU
E9m92GyOvYl3khV26VPDbY6rzgCIQSMX9PWkXqvi3viWwO7ZPxSMgR0Zi1HDGEZOEU76sc07K9y0
Y6y8NbXlfRuwWNih89SvbJ7rawZwDfIv9E4IBVDiFyF2jmLXVsDvHJXAzL7iCxE0/9hq4mhsWbug
zOfbsZn8CCwp/pMDQzqgFxREHnWpuFwVQLw+OgYpEGolZCm04pe/Bt8pjlbkimOjl85ezaUbaij+
4dm2Fm+vC3Lwm2nQUEsm7kps+uUHLru8jxpHm48hNYT8oM82yfmgBvWDPhZUdhFCd8ftZKAUUaNg
07ypM88ZjGRKUwiQSEmVfL+/5a5CFr8IsRBIq1IKE4rj5S+qzAxYNrZdx2rqQiSHbK3NNkFMinTE
JQxFQWS73XgTRkXcPRRk3u7b/R9wvecJlEQt2pigaK4g3CJ3RUjzbDqauHSAnQcis6GLkdmPcx3r
5j7GaXr8BVPMWC0mLLJyLj34cjTcydTeu3nG5dwJWJ1FvhC+9ijUzsfM4RM4x7Rvwe37Co6NqMXk
Yxmmf019kfa7MJzLBEW/LPW+6YmJfCydgBrxbjk1R1uJ6MvNwieRchVSrRKcBjKZi9t50pLGRVR2
fA074Znt81QoJI7AvrrWeXRLBdFF1cgjk9L8FNrabg4o8Gb+XDt1eVC6qANGR8yY147vYsuwWmwZ
HkhEDB4NV8DMYC48JMA8jDop5Al/pITdPkbAO5ptYyNIOAhLvFgavq77ahB6/sGkU45PcfM9i+c5
fqXE1tJd1VgX/bl2jeohd3vP5jIAdvzPUDjhg14NU7b3RJamuZ9pY1EdUPJSBXrOwbRBByfIVuKZ
PCN/pIHvP4jsBLUArkOdY325j4osVYJISYznDEO6xw7ei/AjvMbWrgf5wS/HgalEpwR/AKLI1aWb
dZ6w2wxsjpMpuBviijelPkoQjrPJCnysd0NelPamiOcu90G7gMuqpxbY5P0Tu4iXTJefIXsXVBxu
GKL3NLZro1Tc59TC8srPFX6039RoI8AThmi5Mtz1dmM4ehegMWkxwhq9XF0vsyCmTrb73Jv6tHdT
oZUHUwkwji2jdFNn8bR1FM3eqi1aTCtf9tbYsHDpb1LMQZxNXp1/vB7jvs6racjcZ4VMH3UiSlf0
oYJRP4CADpXHhLzP86NYFN8geSLpdH+lF7FRrjQ4AwTYaSPwqFu2jaGGJYMgIX1WWhToTCgnWyKW
tZ8VTAwaIZTHNorXngM35gynBkV0KTPJm2DxHNAI+Faqdt4z6XhSbzMjwZGTRpLY2macHMN2xBAJ
OPgXoxk1feVw35ox2S5uNSArqUwuBg9xXgKKzYw5ptXOGbzsUSSB8WKr2qktomFHBd3d31/lJbIA
usK7JTvPEdk452tffmWcgcJpnoV4UdPQSLYiMVv3b6CF2ltpmeh0h9bgSU2+YbDfCjUV4XlqKjqU
9GHiz7mbWd/wbM2yryDZzGmTWaGwHF9MThGeOrsPmsqf1VnrN55aiQf8U+Y1IuPyRMrONBFBauG8
s/1kgPpjmzaDq5RupxnPmOuVO+ElWrIxvMZ76dVYKCvncfmJKMTQaiG9gQ/FYi2biqqez3pBSewY
4gC509oEi3atHJ/sZJixVE60r/1grZVBrkIfE+PFBPTDxFEHmMvlDKdozipTAevWO4kW+nqltc4b
vVutVzdOgk7OW5eDNqMpFUw0u7IxQuVu00pS1grGeHk8mLRkNcu+KqYoHNDLX1J6E+6I1PlfROd4
OHd7yjxvq1IbB3uvKGJ8qGpnbB9Fgc/ZL8SHPUzt7u/X98b4n/eA5KGhh82rjUxB8kEufwJ6JwXW
0LX67CE1Gm75yFWIAivgZz/pa0fZBuGcHhOhquGBuq32vRlh/9HtNVoobGOJQ5yxQZV/TD41ASGg
pv9VOvMGNTYvCJDtj6f+sQhqvXjF3M2eNgxot29VGEX2LtMMfHipH0XGlzwYZ+thmobpbFVaPx2c
oFfVTdI2/fAQWnk57EIzMqJNp6vha8sTP9qDpO74g8xDKsM1ZpDnSK8NulrToMvd7dD0ReeTPyg4
DuWIJ/Jz2omWJe63lU9DMU23CvB8zDsHAMjtzhzHTPsCqHo6NKEXTq+a0eqooMJgNrcjfo7Oz2Sc
5zc1Arnma1EOYef+97g6EFD0iNPvKRTVWGdxSeAY6kQot0bPaGWr2t7Sh/o1rA3lU4uV4tbK87p8
5DG5VhVdpG2cPmKV3IImrDKI/XKj/nHojTkc89aqvGfXqOdNqaTtoS0kzL4Qk/0lxTTxgx0URuTB
R+VCBmCphrLY+oWH0AhCV95zX1juNkBu+kvfWeOWFycGxfcX9er1y2BIeuOaw+TQk1yGmXSiPdY2
VfQC7m3WHlMrBs0GiFs1/JnWpqAmp5butk5EJx0yHZy2nU6o6Ta2ougoT3G2cvKvF5xfBNKJNrJc
gyUjqA1c2t9wyV4Kt7H+FtjbfydFn+gnSZcvrXPW2gtXYV0uAWEP6jZNQ5igl1+Y194UwysMX0rL
6I46w+5pacZP9jhZK/fu1VAotsEtg54otXfJVi6H6qMhIM+y9ecGTOOnXo+nT0rdxLiowoC5/2WX
oRwxM0px9A1Ig2nGLV/Lg2jCHkCTfcy8uFZ2XVt7u6ELLNsXNsfbV6rOO6DEi6iyGU0/vUI4n+//
ArluF/GTJ5UUGKbiytGxl3yJaWz6qm6y/kWNHLvcZujuZ89hLXLx1/2B3sUdlyMh4OYhwydrgtbi
C9YhRMAUq3rSIdDum3Y2nOdpxPBjW+WB8VmUaNn4tdCqiCQONZBNOOq5sufepQbuw9a2lTetBwH+
greSRm6R9SNejmaJSbibWPToMZS1vR8d+ToWWwBafgShZwzOykP0auuzYgi6IvBG0Q+k82IeWtP0
lGYhclId6Z761tFekT3SngL0UP/tG2UNo3NjPC43SWYh0tBEXWxHbWi1RsNA5aUf5nKTmUH+FzeV
LvzUyD/nVWmvhPCr7U8lGhqEhCRBI+fhe7n9WyWxBp6j3Ys7o4nZxnbAXWOn81+kov3b/U1xdV3I
sbguQPRxtumcXo4FDsZLUB/rXtS60V+0ZFL2npsERy2s9X3bW9O/ejSJlQ94NSjtaGgJQH0I24y5
SKJGJ3RHXJgRnXTmGWYU8oG2PqYPWl+BrwPi42yGtEx/3Z/q1UGTo/JqQyyF0hLN6cupBqLU8fzu
1JdKm0EUKlYsfoIyjA73h7n6eiCneBOxW6SnEQH6cpiKHpmJVYb24jQuLrZ6YeZH3q/2F310tN39
sa52JmPJDclpZlbU8C7Hgok3qTHmxC9TbBZPnAF9jz3M/GTFCDdhEVRUP+4PeGtysmaIcwgoMhKz
ywErNaYOlgx4Y6PIpfrsXoTmZ4BWB9RYxrV98o4PvohYpPTcBFzxLBCIyMVJh3MLKVBY6ac5CE13
mzSUh7eTl/S0ezXov3NdGx7i0Vbzo6zs9AwACJHjEP0Kyy89fEMQEfbwKwmn7qsBUqna5DYUKxU2
+uhTZ3OUX/gSOC3UGByh/mmnnK0oGicbfvFwC/Jin/UVHs1D1uc/xnR0vzaTwRtRzQX4f+y44+oE
KFbBZOL+Or9LT13OXJeMF8ivnE5YZYsYECC+AZ4h1F7s1FZbjxyicWcsq0jXxC40Ijc+WjgTvVJr
C/HHDEPzc2JU2NAnJm9/OqRt3j/By670QxpPLqWmxHImP8/TFlY6UmEe3hi6nv4oR+Tjil1DF318
zjOkK9qNQHm4gVwd62X/tWxZvp+8hLV4G7TdpKxEu0UweKf28HzhRcGhIeLpl1tqQEoMwdKmOtmZ
ppxFmQ+fUFHFAR4g0i4K2vSxsoJ8ZX2XRf//jkoMoKIJC4yG5+Wok54iDBhZ5YmWTXaYeCA/DrhX
H6VswLNqFPOPlEIotmSq9TSFWb6JBaba9z/yjZnLSwX6CqgjMqdF7O2mXC1VKJGnBkSdj0olcomj
m/00+mr6ZBii23IdBSs9T/kQ/2NjyYmTLPMXZTvq20vAhGZmJLW10Z6G0m52Iz1sKFGlOESR/j0S
/Xyw8Mv0i1wMK0FfhobLgRkQeiTcKMgzzPtyxT18sXutLccTizseutYID0QvZTdV6l955bYrYfh6
nrI6J7soOo0Ub9lHAftOVCqm4eSNwFsdG+ZLLdxpWzqRsQ2NLPnSYnr8ZfT6tTLdMllgiXmbMDjH
lwoBZcnLmUIE0LIp7sSpCrzhqcdFnJqg6dGky7TvaqCm+ypLc5g4Nc/MRHHFtoU09Tgp+lresgjX
//0lPJJQhqAaQ9X/8pdE01zn5dhNp2AS+u+OB8ejZTTJqa1ra+XzLl+X72NJkQKSTlRHeUpcjpUO
sWJnVitO3jB55OTxPMN9HBBJ3KSz40Z+VoFypGlWxJ4fW9X8dz9oeEx0Aw2OQ1R60XdeWV6+6YOk
fjUqZBi3cTUZylOaj/kvy0Ji0U90rTB9PmkXbsY+sL7fP5G31gsRHzr0srANKP5yDq4ragoC1nRi
TensiQrMCS6tonpAJKtZeY9cHwiH4g2dA65w+nzv7M0/UuZoqMu5g7Z5cpw4QPulCdLdnM9YWg5O
h3NOrbvjGoFDHrLLQ0iaw4XCE+UdhbA4hFY4ZGBCe+2UYy640Q1l2JIqhsJXheoeoybSHooaCc0u
1eeQukg6rWQ7NyYN0IIKtlxhtOsWN3qGip2N2K1+Gkkudolul895LlR/rFT73zguh6/3v+h1jKW9
SZ6ACAwf9IqBpAdNPUdIiZyUzg12tpPmm5ZBd7bWeHslrMKtG6H+fn/Qm5N8RwcA/LNpGFxuI1IF
dJOBQJwqyKoPQaFlh7zPu0/W3FW7gu20cvauty0ACNmyZOfiLXB1kXSeks0QeE8hfaYzrKOu9Y2w
176IabC0j2XMnHM2rGyRym0r8Y2Lyc2z0RRpa5ycotEiWBkepbAR6YHGJ+5TJy870sjQHJN6h9OB
8zmPFefDljEe1QheRygsghPgFF3+CHqVFSJChn0C96HFvomo+4MAjrmxwlIVft/mSDpYq5IOV5cK
w7pwqiAmSX2QZQqRKyieWnBETsUMz8AmL6YDimfiNkkU6+SghXV0Wl08uNgwPn5wT3lyVErroBx5
Di9zJk60okTGbJ0Qp05+4XWXPHkicL6YlV7sxhh3ov9hPNA7yPVRYadecLnCrphcwSVunczELAjb
Du0f8B5J/MkdyuihwV11ZYZXR5UZ8ijhQU79EGTj4jmEug70D87qaVKU8XtRlfBTsQ7YK1pD4ycq
hu8NMLQ1avmNUVE9kDxITEqovsiz/EcUTvN5zIABKycRO9+9KAw2pab121wm+NJ76Heudu0aVPnq
wBKCydvoWmNCQTyW//6PQSnTZ7gY6soJPkT+V9XZ3INGXX0fBsf5fv87Xm9ZORQ1UlmyIxAuYpGb
qiZZ06icAjtWj9UYVQ/GFJnnxsBQajRNkptuIIlD+W8N139zaFrDIN2kiM+StF8OVa9NcRSeDaQI
xdcsbs2vnpVjLZtBwqnRl1GsveblUF6KEebPSqC6isKyCv6OGyVYydvmcpFFnUhebROdzaQq/3UL
0T9Nk1N/gfSqWjy+3DWbk5sDgleFRChL4EvBSXPylNGr9Og8RWEe+YOOGghsnZ9oWxa+ombWyoG5
sYuksiUjUUCGzbF4rWRdY+RzaHgnUcVhy7uJx8RG6TGD83OTELSynreGw60EOcl3UOGyUDnYuDgK
wwlofRrpzqrpX/qqHqiPejNm9UevULwTqbVR3+N0XqMYssrFsjOYaW4iR6w99tNg7rsOTdGNhRaK
tbXbqj7cPyk35seQJEY8xSQOVr/cL1VqVzxg4/BcWT0ceiMalG9NVk4TCKT6P/fHurFVEKWEroCF
HbWoJf0jouFtOMgjnJvUq7Y0EdNXkGbpQye6ZA/G+vf/MBzrSNnUJOFc9koUyP6WIGyf635OEIpM
OvNJT5puH2rWrMCDgwPzv4wo3WWBZlAnWhw+dBT7Rkuy6JzpZdptmjCPh6c2KRx928xFkmL9kmK1
c3/QW1+QOq1Md1hdbsvLLzhEpjKntBxPSpIp6kuN2Waxwf5LdHuYv9balXzj6iC4vaOOUDy4wiYA
+Wyj3MujM166dBHpjyjFvvF65WFOprp6QYHpJcWgZIVXcj1LnVPBtczZpxe1vJm1vInJnvP47DY6
1gNgXK1N2Uzc1JpYO4Y3xyJ2g+Ol7HdV+tZLLcWCqI7PYRHpB0DKxh44ev+CmEW5cuJvDwWfQWUw
hAkW0azpXFMYVcO0ENcut1Op6jtcFuwvnhq0H49lrCGh+v8NJq+uPy5gdaxcpVbd6Fwl41j7pTOI
zg91O1Ee3aRYK+hfbxRGo3sorRJ43Cz57I2i9Z5iMLXKG0yx6UMXAaAcY28czN3y04yYyLEgXLx9
9Di8wyiJMhKwc8Wr0+owki3b+EzFNn7Ust47g2iECRQp5Zph+o2vR8GDTAvmPNWd5eVQ2RD4xkiP
zz3T+u5VBtCTwJEyDGVmfjTd4U6gFkzwJLLIWv7lx6t1MeXNOEdnkRvmM75SykvWjfpmFO1aJndr
WqB/HNIM6bqzFMlG0SZDSUiJznM05Zy1tjXxyu7HNtxwMTjRSgC7vhakAhf8C/RnkapbbpSEfdnr
dpqcG/QXPttj+X2MbAWuR6+9xWPff72/Qa4faJfDLd74wi4jCy2D6FyMMwgiEIU5l884er/c1q5f
vRAO0Vs7VnC5Un7Q7v7oK5NdZjRKjMme14bJ2R7igXqAPvgBr6fPytjMmB2Y+cq2uTUeYZMbnpNP
8Vb++z/OfBEEkCC5/85e447H1EuUb6HrDJgPCuuvhtL/WvXt5oDQdiDkyYbJkgBYdnpZcH3E50F4
wTd10ouX0g6rTefO2QGwdf8xphIaX5DB4aXRd0KBBBT55QQ9szfqAUje2aSgbPgtPHT1pRdRPe6K
Xi/mR6+vVec4xtOcbOjPrSko35ov2jtSrxkwOcDQy/EHxenCgD792a3MkeZlxftJOPUpL9TyP6zG
Wufg1uFEcUpikjWGXRIes0yJjagN4nNWNcPXbOypdRigAg92OBdrurM3B8MuijWmig3l+3Jy9EkH
yFdqdC6VoO1fm26oD3pZierTBChxpUh/XUIG0gwDCpodlwYlscVexfJAG4G2JuecvlRAzxl9vs00
xRZgJG/ufPRPsl8uYJ6NHo0tf5qPsd/rWvo8kYitPIxvXF+SlgX9DJz1tcJUURTZMGQVB0crbevV
CL2JJlsUePsxYGejGNJH8SOlNWBQ90PEtVcK6yBZ0kDbdCmAKr/KH2c26PLYyPouPSeFHiTbOujE
d9MOmo3dpp7pm8R9/q4JysttXFanYqwL3g6d5X0Scz+8dHq1BtSXH/qihMpPAj3LweUFIRsMlz/J
qHIHxlSQnIvcysVmSCiD+SYH++H+3G+cJjxCHVo85N6UChbjhBMKCRZIw7NuVhMJuoqO/Dy3GXoo
AhZ1X7fOl/sj3rgOiIokHnSFTOTcFm92PeV6Rz4+P2dhHhyFoFWKP+uM8EOgz/+Ja0/52gZaC5EL
NY/7Q9+YrAQREpw5y7JJf7moqR0V6TSjzWkMxblu1U5sNDuucfpTCiS17NXYfOMrIiVIGVrqX9Hj
W3TpB3WgQQqg96wneT/uyhoiqY8Ih92tbOEbM0OSjJIAoqgkfMskfcq0EHRilZ+r1FRDPwWNuDWb
WMIcrRpzUbtd4/vfCh4QsCkxgSEBC7gk/vWJYTWIfOXnJg70fePQDxbtrP+muhg+dWYRP1J86zZ0
kk1rI/tywC/nZJ9oivh+/7PeiBwuNX7eT2TVAAYWx3eo9XAWfNtz1OieQqk0STYxOn0gB1rnHKsO
FopGqu7uj7pccuCwUA6JnOS6KmzWxclBerx3qJaKU2yG7YPgvzkkcU/srMbht5N64UcF2OWAKEnQ
YyNG8RBaDDg3A3cRM6WvZrjHKQm7QznOzeTTb+mftcmLP/iylwOSycv+icwDlwoeANPCHPsf/WSg
vV08Rogw/EZGSGm3bTqvdfbkR/oz4MnB6Ovx+qMADdZVLvcfMTijMtjgd6eegjnNki2F1Lz9qnhO
GG2NusjmlSh06+tJkyaZ5tExXj65e93tjAwQ6akSTae94JuYZ88IZBg/5iQUu1qIZuXdJD/PcoJc
tdR8UNDiZl98vnqING8q8EGBzzf7kU1Xo1Gt4jgOZIibciaDR4Yv/0nVZn7oYw+16/sbdnlM5Aqj
YUD1Wb6beF5crnBtVVU1VIl2gvxh5b7e68bX3KIXp4Se+feg9MnnwfSyb/dHXYbA/45KWgqbRPZS
FocznHtrmDuhndS61gq/Kki1fHxUzO39cW58UBPJAJmE8py5IiSJHAJDXMXqaXZGs32wkP4etj1i
6vFDnOjq26CP9kf9Jpib7F1ISUyqFshiXK6o0uV4R3ulfsp1bBf2mCLShfex/ImTpz6gwOdTlSuV
n/dneoUqYVjWE8AB3tqsqbEoKxgzWuZGPxqnpJ3Lz5Fq5lsVfacCldl65B8jAOImpL1BmNGumUZo
fnpjrzweb5xXeuPv1X7J1FnupsRotT6te5OysJM1m9a1g4Ma0c/yrcxeo14v3wxyxqCvXfqAwGjx
9LlcaNyMphrbWuOUBmL2nlRNqbcV7N3OSxuk+yyP0k1rOOVz7TlrNcYbG5j4wIkB3QE4e6kbFFe5
V9GnNk+DMPp8CwA/MXdeF64Jmd3YwFzdsAzfxePxJLicY5HpNcmLYYIVshoPv4MkesChNjDPo5iT
n7THau/x/k66uayS2UbnmkC/hNM3qUIrPA6Y2jiG4qENK0CYHawa0w8MQ3nuZi/TtsNkBudsnNcQ
LDcCIpJWEpJMIY7uwiIewT8qaDpMXC9ogv5VgdpqHqYi19M9Kv/j06SMhTi0gzd+tbqQXCCx0N1Z
ucRvxEQEQ0k4KDoSEpf5FsyZagAYqp0gUyTpUSiwbHwnE9r0qYnsVEMcvFSPWhOp8f7+2t+cPfU6
9BnQVoPLdfm54xDODPKk+qlqIj39pARTvm1VnG13RjaMziaM41k+govS2lr8x5IrEmnn+z/i1p6j
+fH/f4R++SMUHUmzWav0U61q3SuoqvxnTolkZxdWi1dCbhzuj3druaEYo5+AcAPPxsVlUDto4YU4
cZ10BTQGN3M2oD0n9Leko1G4q7psRqzMjMOPdvJlAOFS4YlM4R6o/+Ll34msc7UhNU5R2bR/RSgm
By9RrirKPgaMme8Dkbi/dEnkuj/hWwvMVU9CbwD/45m4WOCxBa9emcaJOnO7gy/r7QMgjpmv23O8
m61pzZLo1go77GWZ1r+7FFwOiI46bbqmNU9uqbXPqTcOL6VTJlBX6tTFNLkoIhD31K7WvOBuDoyU
AyhDKam6fL+luBIXTlMaJ2UsNeyl1H/GsBk+6WieqH4VByXWokKPspVr/+aw+CICHqAExkG+nG9u
ToNmho1x4pxWn52uCb8N+UDPJ6iN4d8gtQxE7pDnXWN03Lr+QMLIJJIIBqb0ctwaQCVCDpqBd4tB
b60SgzXts7AaFbwUKud/iVNSSI9SDe18evqXw1ldFo4AfsyT3UfZKa2U+TPkTTfwC32uOKpNZOzK
iE7Uw8f3LxcfPGCCpMSPXY4762lUAtU0TxXuxw9K0iXhxvTa3vbj2CuQbcgo52zuj3nrk6KOwHuK
Kx0cp4ycf2YChSkmq8nNkxqbn7oq1E9d3RsPpJSW7G+DyjYU8fP+mLcuebJZClBI1/E+X4ypAEcz
Ih7EJ9EUSbgHopbtgw7fhZWof2vbkKsCBCFplESBy7khC4gP7+AAa6oV5zc+Unq2mccBsKgp1G5a
GU3+6kXKIVMc0GFUH4AALg5HGGAbrtmtfYK7Ghz1qi/zbTmVL3XTnJUqyR40YqL7hPqv7udBUK0M
f+NDEocA13PBUQlfih0DIcLSyCntUyumyX5QhsAOkUI0x1NTTHPziNgH3DUzj8WaYfuNibNn8T8G
i4fm0rJPFCSjY0NhZ2TLHKX6r7ENEj3u/K4K/uWhYSd+GOoUucapxKZiKmNT/XhgkpK0FDLBQJKR
LHZUgvx9aeaqcyqhgD4MuYZvoTLR3og8a0YxdkKxiE7qmi7DjQuHZpXUnuRhQXtnMazm0utD4NM5
1aOhxrvaMtIBHVzvXyUJe92v7NFY+cq31loCuGTYx6pgSaMTxqzymWPn1Ctj2PebbEqiv6s+yaOt
OvSBsjcK0SoPnjmXeC83jv7W8CdrOhG35k0xW2IFJTZxeQ9Mui5UgWLSKWnyxp+70faVeooa30qC
rzgkR2uM5LUBF08nnHM6JROBfZorx2t2KjZE9lMA1mTrImha+FoS/h9p57Ubt7Kt6yciwBxu2UnB
Uku2bMm+IZwmWcw5Pf3+SvviqNmNJrwPFuCFCU/MalYYNWqMPyjV7nqUuhA9eL/TJgRjCLbWW5QT
a70ZxzSvWNw8Kkt8sxtU6zqADhszbLsV6ueFkAh0loYyaE9JD1mEKkMfUas2A+s1TGoz8PGaFqaf
u/24Upa49FG8r4CNIYcJeGQRpJA+RvQFHvcrtp/VjOwCyofP0VjiCSRGY6pf/30OJXIDPS0p37/c
KKaawriZDeu1mNChvROR6zSboLRpe8ZV7q6ozV14YclKC1QILjPgU4tJdMwwVony1qudwxTaCAGm
qcIN83Od4fJneZ16dN0wvot6tOiuf+jFocHaQ9qi3nMmGWPnKeWBwTZfR25acOyG2tyaiZnHtzpw
o/pOR2ALQnk0iT8K//yP+gyAnclTkGdgUbmCzCX1BYeJvkna1nk1IkSpsR2Kf6h9ZW6myqlX0N7n
9wxQKqw42D7cNCSDp5eqjiXHYApNfw3UsB42StGUf9Cisad9mhpWt3NVAVNarXJ6sdfn+DwI6JR+
mGFoeNyzy+VV9HmMPDuxXlXkJw5IwoXZFmkxU/8izSFuhjDV1L/Xhzw/LgyJGhHTK/VKloVLzciq
cLB6ELpV1n0KFVNkm4on7EZVRLTWWz6PAeCvsWJH8BVMyVlapHozpPhU2K96X4jfmjNpzT5MvWpN
XunSPCJygfaJRKuR456u4Ki3mh0i4v5quXOd75PEEfM2nhzFOthG4WwTOxjXJFAu7BrALtRCAXBy
fy2r227n2I2V1N4r/Vaj2jdVQUsqrmJb4nSa4L50e/cvrN9qrVJ5fmHy/qXawkNYmsksNa6YxImO
LojRoCgsb4OSebgX9DbF3m1C42fWuPN2GrRZbBQ16swt2qvJWrP1woR//A3LxlSlN8hhh6F4yy01
OYZNK+JdUuKnunU7FMzNaW6Dfw6F8tkPsl2W3XGeWKyxO7ht16M99saVM0f3mAL1xqYSXmL4Nibl
KPHFZe3HU9Z+C+K2Wwn759FQjo7QhomYA6UHOSEfHhVi4slcUNt40wNLe5moAAQbMgn7pW5NEDdj
Hj+RnRaI8GfGSiZ44cRyWkmOqP3zirIX4cmoGjtNTVt5HanD3JsKbOsscZQvLWigw/XgcGlZpUUW
GQJs/zPJmBTa5ZyPSfiGNkvto3oSPnlxMG27Of2ij571cn24C0fIlv0EKcoBg3bpMQ0KRsV1KlFe
0zzCthW9n3HaZUy+2JkYoo+hX08g0UJntFc6uRcCk+SsMyxSijyLF9lX04VoNNpB9EaZfbL3ST+E
zqF1hPV/mFBqvwhU8gCmriJ/x4dt0xtlXFSRJd407G8PXDIjmpQQtVJ37puDsBQq7Nfn9NIScqXQ
CaO3KuVuTkess1548WiItxbK4rAXwAPygzfVVnQDh8CpbzO0gZ+vj3lpHWkNkbvTzeXFsjgcWRKg
R2+CE9ZbxBqGWR03mYLdhVW03rPdWfWuMbM1s+FLx4LSL2UxZpeu/GJQZYZcoldu+BbBgR39mGh4
qwsje25qCIvXP/DiWPi788QHXkeZ/XRSYwpzCpgiMPPpUD2piVpuApRkvG3RDWq+smcu7U3SLlYP
xgeY+UVpKHdQS3QQFHpL9Db7qWpJER7aVFT59t8/CowIOTqzB/dAhrwPe7OJ5roxksx7TYXT7/ED
c4KN0bahcWtNc+O8/PtobA06BVjbkjYv9qVhIZqgKar32ruDilRnI615zVbNxa6JjejP9dEuzSHv
WNrrfBpwEPn3H75tDEonSsk0Xi2a+4+oMgEAAhJVJ7vr41y6FriI3+FWhM2l6IYkb7lJlwavND2s
7MYLHfFAn8R9mDVArAiguXkPDgqhwZ/h6Kn1yvCXUgEKI7xYKdci8r6YVFXtXWgxlfKazJ6b+YqB
kR30+uK+aHpo6aNX7ZliccDsJGl2Wd7kX69//6WTL6X22KdSdeSsXBBGSRnERPCoK4OHAFbbQ8Kb
5VNuzSltB4zkmjozVk7jhQYmgHJAkkhKQPRAWOh0dc1cw4c1EN6rFk518lAUdeA32HoaB2xcTNwE
8yALXR9xNV2/p12WPQYWjtFvOSIQf69PgCZP42mNjOoYmGLeDzwHKf6d/paQimtfekXwmqWYp/g1
030DZb4MkGPQ2ju198JDqCUthquTdVBABGcbnqXaLqBpNm1Sp0q2lZWvsW4uXQNYNXHa8HgDmbUI
ImGjWzMtwABCVZGZ27FJq+G2TFQBwXsKuxsFe9jb61NxcUiOOEbS7AQ6gqczgTpvF+qF6byO7Yys
mmJU7QM/b3B3hjkapGZRZn27PuR71FjMPqCdd+Ad4FXeUqdjlkhk5NnQ2ZTRS1d7jVQPG2N2hqLt
KS3XjQ/DQjf8IlayehOJJrF21qwPzc4OGzp1yTwGz4GnotObFFF+61XBmL8ZSoety/VfeiFQ8PMk
vY23PLnA4rYSTuEFhhUGNHLKuPK9Keu8zcR7+rXtdSXGaVG3sp1lpK71ZJWNMf7b+DAyqb/LFJJ1
QYB2eVBRsmnAFSBvOCVR9cWM7Ur1E0XVbioPGOo+rXj63gSOVC+GuGHP++ufLwPRh3WSw9MER/cW
rUUUYJaoZgyj3JBUK3hAnanAH07vgmHTS7sN2ri4oFwfbTHZjEYkkn1wCQ+UzcnTXVFpjjTIKfSH
shD5ZurSaOeYUbb3lFjcWG5S3Hoc1i1UpnrlkbIMTXJoWbMgIzEYGomd06HtbmrCLpr1B7sN4/t6
rATlksjetLFnOD74imxblq3+0FaqcWNPbutjCdGsFU8WR5FfIctF/I8OEiSjZVDKIzU2u7g3PwW4
XhybDh2JQJCGBUkxbXScvNbo1ot7APImdVMJAAVRwuZehpve481bTC2XX5bMf6s6/j5Ia91k5JmU
pa25iefYvbm+ymd7CrAD/Hx6hoBP4Y0sQpxoXSUEWB0/DIUi7sNutH95nf1DeF62Uso8m04Jq5Af
BqOJqV12dyYjMNV6UJOHOSli3JG1oKy2Rj5MNuozYfcDpma7Biq+9HWGJHOQdMq7Rf79hwymK/um
pgGTPKRxm9/OYafgyzOA/MJTLXz595mUZC3o4lAOwOqdjtVHbtNEsZ08jAFaUG6oaT8N0BO/jFz0
axnTpe+Cg4MCL7UT1m5xNgtGz0JTSzibJZJAtUVrxVW7W3Cd8coj79KykUIjJEf0kRDE088yo56Q
HGQpQaeU275TH8QQxwcrxgFlF4dau2a6fH4MiDZEHMakqKctvX0NIyYBbFg0QfX0myVi95sbuE2A
gV3ccvqLGc0BAE9rElTnYYcdyhEEhU9VGjiMnIoPu2VSU0qVrsMKen30M7cSc9enDVhhLO7afTlN
zg9b8TSxyWJz/kELYPymY0u9u76PFukoUYBfARKGphmFGuBdp7+iSy2rn2bBhHfq+KQy81ZU/UnC
sVdva7eofV40s7HFlSbcoF66psJ8tt5A2aiWy2IcnuZn7Y3ZgdrspsN0NNu06O+RPTXbHRCzuLLQ
cVXTkIjfW4G7crUuDfbkm5duIRJxjApA5B3p/GHy21ZUZg1q4ugkonJtP6+U5IthVKgWbaq67Iue
3CfCRKWldvdZk+Zp90VgwZWwlczWNlPgxn9wfyxav++LwbN8wJDOcOdkVjp9cgKhmz5ljO7X9dVa
pq787vd3C/RXkCWAlxaFpcEp0W7uq+5RYOu5Laapw8sg6gufVMhwN0WDmaHTKMF95GnKF5EU3iH2
9LLdDLiYqBvVLKKXNmjDlV30Tis+SRbYxNApwCugsiBZ3KfbaLZaLyiUvn/sxdRhppmnabRJW8U+
hqVo2x2+LfVX1MWiZvLdES/OtrTNhhy3duONJspyfE4siJMbVehefNTGWNFWIubZTpfFQIgmYJ8A
jsNwPf2JoujMQm3j5FGdxtLdRIaOAmVnxY9Zg7vztoiHxtx7Qefise4GdXOwUfFaw5CcRRubHAdf
R/QoANLz2j39Ea5VDKgH1O2jnaGe38Fr/GXFldrsXC+nRlkk/TY3nfn1+rY5/3TqWchz0v8CFXBm
sdBaXV33it0+goTq9mMV9Lf2FI+236Ks7wh9U1hZvFWm0n0ubadfiekXRqdzAZ8F5CrJzZJVWQT2
MHaq1z2GnoqWbDuo3d5yrEE/UOlSw5/Qx9sn3mslHas+HaWcFWK3K/Wus0DzDugEsyoxAs5Za6wI
qY1zA7SPumIHe1eJSOg1d/rjNlqwqXSl/n59yi+MJy2nwAMg0wP8bHEgaof6K0Wp+Njwwg79cQLi
tvHypHzSsrT4a6PVkxyuD3keHLihaUhxBskg+cpF/jG5cYHEe5cfQ9Jc15+KYAoVn6RSMRBe6wI8
rm0jqjl2ZWaqu2xU7G5P6luXhd8BtPpm6XAlPxlJZwicTs0qUseVQCF/wmmcgP9DKiF11dF+OUvL
iiHy9GoQR72ZsuxxbKYQQFPdBd8SlMTWwNrnOw89IWaZi4X9RxVwcdo0BBzHoSqPnpNP2D8rQ8Sf
tLehVn2pWvc7qsOGjx6DfTdVQl1TDXg3hl98LR0fXm4cO2hmy15hHWd1DCU0OhYYrx6TfjSMDUzw
QjyNdlABRxzNqfsWAbHIt06XxOVj1Cdm6lcE9+9NnUwB+nKW+42AVoebbg68EN8ynmP7VM14gTTT
ZAHWdUs6WOUY43VrOYU+HtxEL+gCWDlZ6Eyz32/UwjAfc/b5A7KX8XPmQR33OyHyZzijuneorKGr
t84o5nHbVGgL7ILCSLOQ1nyDlSVcZfrZTaB8iQuhx89R6LS/Akwp5hfbiMEOh6HHzpkRfSCOVIn+
kipO8A2HK8+4s+dxindO6gTpX9AiTXmfUE83vuZChY3lGWltbK3IDIMtXKK+ustaMx1oCMqHDxCE
qtxDy7bGOxA+tXlfwTf4PhpNKTbW6MzNrYI9r3Hbx/FUH9lCIBHHfqaONxReCuhGCRsHCqdaRsr+
+nm7sLt4riItSa8bsOdZWqxiQxnlsThabTvcTXUxvujY6n0KKC9y+sym+qsklTWhLqqJjG2WrhVo
z38BPBaQLzzh+AVA5073N0XtjtNNFoN4aPe5VtLoJYqydls7KtzOJsUPTSiq+WiKMtgDlV0DPJ2P
zykG6oD0ALvIWxKt09qZUSTXA2p1ABH3ceGBKvNQsko3uptInpJXz7b5Frtd9dChkpRuPVqdycrN
viwpIePCg4sYy++QZIFlazO17GkuPF0cRT7Pjo9ZqFC/uLXRfBqGvnF9Tc+yT9zLzluOJ+sdyhnp
G5zb0P08c/nbr2lclvGLFtBn+W6lKJzfx2mjWGuWEud3gstjTcovk3XSF1yEo6ZCLAXFhOqoYXd0
N+kxdNMo42rylagnUnNtFb+v79ElZU9ODZ1IOgVUmqF1LccUGWZBntfnx76ZtWGnqEP+Itwmr3dF
L2m1aWTh9u0nWiPir3PkGdlGz5XhYdDiCidKxQgT6/v13/R+4Z+ERZkmMgdUgyVtflnrseYcZYUh
057qok69xzKIuvZp4hGvfwrVuBm2fQPEwk9z04ueJ2u0lAcnKSd8ntSij3y9jqP0BRW8YtiobY8J
iF4pbbLr6ylPvuFEMZSHNpsG72UsuyncFSieP9ZoM42fkSHNxn0ZGKG6kuS8iyouPopqPvJt3Gv8
sbzwjapL3C43jSc8y+dbdQrn325X5MYXRw/Cg9FWXvwqqopz6UWD8O48ZAHSW7Pt2lfDrop0G+Eu
+Mk2U9N8rdOo+uQMlCsOuMR1yictT/rsq2cJMX3OHKqPmzp3stc00EW/UqJZMqMlHAteBAeK0hAX
9JKlENlDHjtZ2h3VBsk5GJxGgZKrWhTh535oHOFns+JFN5mwBnzT067yW0BxX+bQDI1dQmeBf3u0
23LlyXYWa97f51TraR+Ail62ZUUU912e9eMxzwpHu0GyLnycRVXcBXAdNkmeZt8B9ArYr04/vsyD
K1ZSl7PTyw9gbCDRlGXPg0wfxIU+ON54NDt8En1sUcw/mV0LazNooAjUNhpWPvm8REAzTBbLAMqB
nkCV5zS+GxFNYBOXoqMKW/2XOvR30xzGe2kS4sc8yz1/dBP0zjQnKJ4aHroPlE7WgLXnb2X5K2j6
y1IhPSPPPP0V46hXRsuj5AglCrHbrqrMdqvko36nQBYKN72Sa+Ot2qMRXSAGld8boxuL2e+rzBil
vgdMwFGZjfjBstve3CpDAwFb81JK6IPVwN6yJm3NgfU88PGrqaNCUOXFTABcJMMaLAzAJxOl1KbE
uzPV+1/cH9m8Kzp9fgza+bfDj0wArNbOTmkU1LjiIX9WClv5R4AuJwo8MMJDZN0g1ZBHPZ1AE7Zw
VyZyAkvT2Uex+8dEtOJFxdX3MUmb0vvXWjrjvUt8Q0CBVbms6cxCUqxadzoSzmtk9pv5qWxc8+AK
PfwSdbPlz6PH+XC62nq7HtvP3rcSUS85p+CCqaq97+gPdRVK9jVl7N4+zk3ffuuDpBGIfoeaswto
JT8ZTfqfgDf57fqo50eTlxZ1XloHjA6563SCcdQcvbKxHICVWdb7oOKSfe/Y8/esbeKHrhL/XR/v
7BVD+YCMXrLopET+Er/aOH3dDEpkHecZjEZW6eNL19bdRhrFr8SA87B3OtTi02Y7qRW3iK2jnWcY
3blRjQmLCkpjG1XRsEeZTxwSL0t3ozHGRwj6azzM8+QKP1jKhNTtwc2RwCxKFmGBpHRMw+04omyY
3JpZWTY3dVDPid95VX2D7DKIGDt2s99ep5XfW5gp8SFtK/Oxp3H0y5j7+LnCH6rbYIYq9nkSTWvN
k/NtZ0hcHUrmvH9xkZEb5MO2U3qtHMlB9WOpDIibq2O3Ve16eEFGBE0xXZnTQ0B/tfjXJgOuUlL6
Tgo5UY5btlBszxjrmAT9iAuxuglcp9w0kek8FxRab6gzhLfX9907c/okyUAGAJVYsF7YpfMfWXyn
14jRLCGTHCfCqnZIyCoMP0hSW/NLFQjKXdSqyDy7qj3eat0AHLYNG0/hQoaXselh1SubWFhBf8C6
WTvyiBqHT8bcKRhMTab6t9SFOx2cNm9vOk2dAnBcRZX4lTs6RbYJdDXeFrqRejuQPIN16FoNTyxd
JD0MSmG6ia9n+SSJJc4cbhtdsZJnq7PMAzz/DjEoVRm+UA+s8x+gSvVvpjErBAbJC/J7UQ63UdtP
wV0NDOwtQ2/lWXRNF3waeCUXfo15N3LS+dBaf6/P6vlpRgsAIBTVQfoOwGpON4/VNEVX1JpzbGmX
RdsgswJll8MBp+nZdcEa1+ldx3i5iLQaqIJQhJa+R6fjgdZRgPGr1lHrcFrdGIVJ8pfQmfBr1VIP
TuU080GbRJf5vP77Ymf0ROtbYGnKTSQcvf0xFBkZSFzMkA5k63fbAZfRfOFhIIcsR6JR1Wsy0rbr
E3Xpl5PbStAEdmncK4uZykpIPOGQtMcgBHvnVJkebfW5MY8OBVPrJTQ7ZQM0W9H/y5Iu2SV0r9wn
rWrzyrdz1LB3AuzHoS6pFQB07Yo+8VVADd1PxSuKTaO7efqFGQ/nte7yeRSVDGscFxHuwIZ3qYge
JqKzK7w2jhwJJMBEEflq7hh3TVGUfu0p3jYfqx9ej4I+V8g/d1p5lLK5HLDOEOvOohN2SG6eDF17
nLg4nzUviH4UgFMRVxbmYZ66+lvd9P0aiV1uo8U2A2cEggCkJjnQ8ipW2lSZUf0tjs2IEcYWCbZg
65SucVOOTbAd3bppbwmP2U0WFniOXd8q5zcyLwg6AtyN1Jvd5eCFWVjCtdL6mEFyv1Er6FYb1Q1I
W6lCvuWhmvy8PuCFGwD2K3eUhS4oQNjF1kRaqbCzKe6PRQWiajsGxQiTu8tCpP6jYRP1ZchLIUu+
Xh/2wiRT9pAUQhw/IL3Jn/Xh4mmTap7dqBuOLu+k9I0fgJGm4+DHtx3Cpmz+1JRdrId8tvLiixNM
7Ursujg+LBqdD6S/scxyYaTmZGFFd3TxeEjAgWCD3BkToNjJq4OUHWfDulYmhDIOhWKpa42fS9Mu
ESqsMJ1Mbt/T7zcGPClTLemPMb4nFeDAWLh70+2DZyNHdg/tT4Xi96iIlbrGhf0lc0yKCAQjSASL
5abP5fXl5PHdMyApfRDQDCNMT37pgSCaDoG3lmJcCH6weUAUyJYp1/BS1SS3E6Ni9w7H0XXEeJeP
Rv4fMT41toljJ809OvzJn0R2EA9a6gW/h9rplW1djX2w0ZXeNu+NQU+Ug5LXCu6loZ2UlMccO/OR
PO3Ai5pujBB5L+zd9T36nhWcRgLJQ6IORCGc9+uyTDfosV4UUz4fY00MzzoMRGNbovdFK98Iyk9j
mMRPUUh1ejOj7hztFJv8djv3fVvfN1EkCnqhCLT5Ba4qIN+wHK38yaMlvEFtqvRuSlgEjU91tjTu
c63Qk7eys5NhU6Sj8586t9orrHfOn6AM7R2MYkAkdJhDPJyvf+j5poC4gmqH9G6UkKXFO2tMHa00
HAVVA0ONb2oupa8hj8+HDB7ollPRr6Rj511PqlgcPindLxmn9qJ53mpYYntq3R81t0rS2e/yMaYT
bFdN7xtul3W3hEEzwXPMnc0fUSeGe85S5O0sVG/jrZ5buI5aopJUdq0Tz5o927/+dU6k2xPxkNqf
LJMuDqiSoaw/NuZ81L1IM/wOo1I8qTxx1/M83qOUjNHe9RHPQwIjSn0lHrpAOZaFsHosvXlQhvnY
mnXsD2aq34Wj8hK4JQGqUDv1d04kOlwf9HzpqZNIKRVuVyrRS9pz4faZWyPjfSz0YtrmeWL6yQjf
xk3Vm2F06pfrw52njKfDLcIPLjH49AWDeuwn9Nhhv7Q/EEt+y+JJX7lgzjMXCVKl7MK7lkf9MjlN
XHPU0rpUj2U2NXunHwJnT+nJSn81jbRXSfRmpKllmGg1FnPiJhsxJqP3j4xNXjnUEZA+kmIE2HQu
X9idyDxnigLr6GhTPfu06nVggKG6a3BAWzlWF9ZSZuKEdpB5hFw5+R/uVDNyqyJHUeLY9Ol8AFEx
ocRopfjl1o19y5sn0/bXl/PSiFygDrgANhCPgNMRo6A28TEetaNWKfnn2EmigzeaY7oJsy7czkOz
lq1c2D+yMiX1z0AAAQQ4HbAOG60BraUf834e552ZWb37pKamh1+OrgfmyjtVBr7TC4A0ULLPpP4K
4NvFjGK5pnt97WnHQhBgMgXhlQNuhrW+UgQ/z0YkmJDmBomIfOEs0ClKVM5ghhL9OLRFt9Eakz5Q
ag37DOvmDa8q9RZNoniL/yll5H9eQk4IDyppQ4T+9mIJ+9AwxorK7DFJqwRurQhujQDgCdb23RaF
oVXUqPyW5ZzCi4DvShLDZl0soaioLeIiqOOBnJubMYrHQ4FKxqc8DaNPWhB7Gw8X4We8R/QHZPK9
jai7aYcq16p9woWAK5V1KNKAbYF+IkPIh/PCI7vKDezljlzJ6Ze51pI/Odn/jUnYHfxcy8x5qym6
q6yc00ubmOI0+ouy7HZWZuyGchJS4e1I09c4eIPbC1+REcg2AmflGrs4lgVhAoFlyrTLNzP1JzOB
OakeraLqf1SxUn/BdxA8dK9Z4coFdnEsCaPgrQs0bVnvLpBNiPSR7yqNbPzTByGWtrxpe/Nn0bkY
wl/fuJdWT8p3YmGnSmrbYh9psenNNYXUI4o13g1K9Ui5xXmz9xp1/k6vH6ZiPYuv1we99IkARIAD
vW/hZeGqKM2u6+pZOwpU3J8xiVDvMr3CjJC+Cw3U/8NgsomBogD10uX+bBu3nAL6HMcimePyXkUL
cme4Ckq/Qkmtlem8EMqpzACPw+8HmNXZw3Nwu2FIYkK5bcXeNkGLSeWh7ek/qmpQth2K4P8oNCXv
Rot8kxBA+sESLkLPHGWRWSipcXQUt9pCGzBy+MRuvJV6EL5WG86eLa2twNYvLCEoMipXXJB0Fpb9
sMmpu6GbTeKPKPXvXNup9pNaSnPDJWea/4qeAleEzR8dIHCyIB3kj/kQYlxeB9482dRXRZ3eDnn/
t2zgW7QpBXL2Z2KsOfxcOBUMKKX4ORIksItT4bh5OQpqWkfbKNXudy814W6oQVrdgT0dUP3WsQ/d
tqjMzyuinZeGJvdw8NgF38/Mnn6rSK0YEYzYOCqOUj4B3sqSg2NMmXsAs5b84IU0wHvNhv9L3mMj
X4NeIkUTCu6LSbbDpM0jYvhxVuxkWzdO1u00MQcPc+hWR7VLi3qloHdpD0nDNakvK0VGFp8aYq+k
Go2hHykbK08CCx5nWxV9nOwTe86SlYm90JKzHXkkJVgDoMayDzZqJWQu+MNPc81r0I28zN46WUvZ
IFfmOxI0se+1JPeHNmvvFMMJxWNUKuEd9RTt8/WYdI6Vw7GKxIt3vKQhwEU4XWXXSMMEvnL6JEKb
tS761jB9kY/ic1HP4z23SnvbxFOJzL09wBu3RmTryrH+A2ySmjU2MMUG2vuaPvt5BkWNmcKG1E/i
zC07S1oNFs6x2vopgAqS+CIoSSvAan0CAEQ9WB+ULwnQKl9M+Liv3HvvsfE0pWHz8ZqVjB9O3dLl
BhBbAt/KbNn05V80mwHgR5b1CeUZ5xBpSfY5r/N+1+rC9O0urO8GK+5XAs354XN1qOW0nCTX+0wS
mNI41sK5Oz6R0MTdZhRA4EbKI8+oRcSe7+owE5tK1ddsW86vDfYjxVnQTHS4IB+cboccGcI+9srh
aQqM/u/seu0tlKBG+Qp6nyvYMkMn/OebCoAp1SuSckwVziqW5pThXdRG7jELtUNUJ7ruN21cQCjL
3M/ZXAU/r2/588Mun5E4iCFfxx3wfjo/xPBoFkOL2LKDw0Bb/O373qI+agevA17fX64PdX66sPoF
30P+JC1b2cqn02lmIZdtntSPGF7Nt5055rddVTjJzhuy4M5Mg+HYR526i9rEqDcV+pNfLaONCqTL
NfEWGVPxWyRa0a7s8LN3EIQLoKcGTVsgLuDWTn+WXgdVC+Klfsw6vfoLuXeE6kQvo7i5/v1nu0l6
NvGORN9EKtsvKcatJ3JTC7rpEVKHOxzMPOLEmC1PdKsJ87/hbNv7/78RFxMexHZrTki5PnYQNZqN
4prpTRC2zScBHOYghH64Pt5yM0nvCDpA4AvAlLOLF3dVZTcKnCaRPZS5mdxyLRsPhREctSj5Z2bg
+1DIACOdwh+UMU8XLa2yKQ/LLHsQTkCPy8R3GIRfWryBocVK3G3tnxqKbtMm0ZBSuf6Zy3Akx6Z1
Av2dAjdQT+107K6xRn3o3PRhHOlJibSyYQFmrh/adLrRqnKNvzmK0N+vj7rYPpJrCphRJsuyxUs0
Oh11nKfEbZQ0fJvGxnpAdbHb2rWbb8wY7RhO27RGXJOX3YfA/78DgmngEqGHDkTxdECn0VpVH9Xg
tcM2Ivtl5mX/BrouuKmmSvUeYrzjss9YD1r2kxbrg7ep5nBN2mAx1e+/QfYRyC+ljMlZeZ3mWR/M
s/KKonYQbavcU3n6VADS/wyUT0sgXnYVABUK63J3fb6XF9//js1Ec2Bpq9MzO/1+jb623iN9/xaP
fb9zuzDelGpg7YsoULwbx0qc/yqyxcfGzOuDmrdRvJvtWln5GRdn4MOvWGz0vmmGpm+wQZyMohlu
UqMcQdMKY66fbSHGv8Nsxqh0xLW5Zmgpv2+5/nTOOFuyW3fGwkqDDHOtxFBeIZhhH15OpvEM1zpm
y+P7uxI6FinO+2QD42N7w4uAhSWn4cM9ZAlLrepwiN4ALtfqZ1XPdcUfNTxnt6Q84b3ZtG7ylyR5
OORl3qxFrkuHC/VWQIHSNoIAfTq8M1sliXQVvgU1johemcXHOc+r74kHJ4C0LrdXkuxLhwsaCNcO
3UmTk306oKFMXjgUTohpxuAO25luwg4EXWxsW2IoDWBTccZtH7tTvGkLCF4bytdKtZJ8X1pizIVo
EkrEEnff6a+Yq7LTirkM3xx0T28Gwwu2xtRY28oGJH79OF0eSgKkeNTzjpJ//2GBFStl/NkK37Rx
SL7VuhTM0T3YRlrbO2sPxUuDcdmSzEPmo8K5iNCGRoy0W1x2MfMcH6hsmum+TKsSi3dNWPq/Pbrf
9y7u7UC4SR54Ly1mkeRhmBu3Cl6jqtaA1SRGNO0HpQnnHdTfwdlfn8lLexVUPA/8d8LaUiNNb9ox
LKTYklWhcDk4erJNytJ9mqIh9MNgWpP+vTSZ8jUk3T8QLlyyC6nmhWmvlsqrSWLol56Dhl7ah/mL
Z0bpmpvMhXPh8sT3pLwBn7fsTJk18p0KbomvQFWiDd8532mA2267ubxppt57yQ3h7I1EGRLfLfAb
XzmXFz6W3JRAJB9c/N9iLUtabiC2mvCt1ab4pumm9r6LwH7AeyKvuL6Qy6ev3DgMRvGdfgawwaXd
lEURiEdtp3DDFnX+6ISK84eqaS62rttXu2yIa7GZE5USajfParGpXAnqywED9duqKf/Zs07+IFCp
kOFknw58yukhDcIxG9NUY2uV2nCAyUHRKouQay3HtrvTmIM1PMql9WatqadCOHDO5jtLhFI3kZW9
mXr/X+hkc7alqusZm4bYd+PMijgGUIR2QWC4N7WxNvyl5Zbqe7JYRw3i/cnyISqFemZqqQjwZbJi
40fqDshpR7P5Myfw/7m+2heHopyLEoAqZTDl338YynbCrjG8On7rRKQEGxUpn9xHrXUo/VFNq5V3
5IX7lDcGTW+Ny5vG2eJCM/UxHlsoEW/p3Bn156K0MvXJju1y+Erh2PE2s9f32e9A05pDbVHzeb7+
tReClMs9zoUqa7u0wk+/tgRoHYSpG7+VoTmBwkDq+D8et+aLYzRWv8/sMVoDVF+cYImck80XquaL
fBUhPBY4UeI3M7encWOPlpOSsdEuPAbxqP24/oGXRpNVOZu6sgTAL0YL2rE2RlEl2IeNQUYvoApn
55hlbqb/EsNg/vsdg/oPb3UVwJiUfzmdz7TLACypTvxWmHiW+QNRMt+2TTHfVE4RrcFaLn/c/xtN
ru6HvRro8La1UMRvRosMyPNUzXVwD0Tb+uO20ZrWwqXBQGlJ3znUHUgPTgezANybvYLBcF4mQft5
jNPY3cwdDrXPOgRyayXqXjoZErYM9ZiYcwZCo7JYKFM9iTddMfrMt0oeTnoOXMrPjP/h7Mx24za6
aP1EBDgPtz1KomRbdux0ckP4TxzOc3F8+vOVzgGOmk00IQdBAiSAdxeratce1l6Lqt85HFyvNMCs
9u2/cAQP4jduBr1IjowE/UGNe73cCphAGVZOemnbxvnZOpNz1pIhPZZKa7zGoGG3npnV7wvbpST2
QzRgyZ4hTLuLdUDal0Fr1PngpXAV7PQo6od9rtabPddVczQT4DwBf88Ter2+vop6UUFPfbEjg8na
ttHmdN+qTr4X7tBsiA/Jj7XIUWh1yFIDE71UsRaB3hSIthBZkl28bnBrX53i2fAHRkk2otcVd+Yx
mUYrVTKL3yAdDMcL+6Y28kuQj3Z20mLTSsZdPDTTyaqVeX4qnczcYlhZNQo/LOyPOqQOy8BrMCKn
7qUaZTcGBSxoIyChndKNQ3sQZWrYJw2O3C29yZXtQ86VlipsaHQBlolJCJ+hpddqelGsJoKlRqPi
ajbk3EEVM5BbMOtz35GurpK36o1riehj8VJNejOGc1umF6uehr+8YnyYQt2o9lWt5YKa+iC2kj35
9iwPDf05qinsKMigxdukgX5PJghxLnNeFl/NGW9LTXm2u71V42VfaNEDo1fVzsk//ipDMgwxK5zt
PI3LJvLMBJyLvEJ2oZae1yergrjGSdvceMlmpOT30agbcbcLq0B1942S9+6P+x97bXcBRMj0wZMs
/fL/v3PscMf10KfY+UXP0/Jft/eUF7s37GDPQPx4/rgtqIhIGGQEAiTz2panwN4bBw0Cm2FtPcda
UXwnNQqCXaKKn/dNrbkBSaFBb5D2CuHktSnFFIQi8N9fiiDUxkM+CSc8MkO2JS6w9vlAlAHdIjg2
cDnXdsrG1gdTOMUljFzrfzTLXZQluwKakAJB3PtrWrUlYenURKj7mYt3ArItG3VuL7+4rZU9wPZT
fkHe2XF2nLCtab5VW3hPQOF0eG7y5bCDeo8x1exSp2hgPabp0J5FgYs4o3hV/HF/YWvXTydOIxb2
OIbL0i3cA5FXWkiUpn1io/2hWjuXMZXP6QDJya4bx1+NaYyP942urhAcDCBP4n14uK53jvGHuewy
Dn6TtuZzJrLu38lq+ulgCQDQh/vG1lwaxWGIsSS/DwrZ18ZyiRLTVE5+khWZc24KI592sdYAGVFn
PUQDvGBG/3Tf6NoKSdJplME4K+dQro16UC8rsYkMq6s2ZbwbPfC0pTG5fhU6W3iKVVtyfhwSC2oC
5sIW5T9bD+Ygv3jWQN/bZhbtWFoDslKaEW11INe+5hvrIEsDWru83LHpxK6d2dA5UnnPTxAdZTnY
46Y5ankTuU/kxB9s/MnEnLF40Kr/z+TitLgguis02YpL3sKG8hxnRv83klVNvXdrtfs61HSp7u/e
6iIl7xROmfbQEqGS1KJvh0yUF1tFl4tJ9/FToMRasusRdX+ctKT49hsGSZRwYpKkyVx0vay5nSvN
y8tL5ET5eWA7d7Ydq/sub1qf52necGerC3xnb3FkBivMMzMsystQ8+yxQjaR0qP5i9i7+JlplbtR
25SXbPnKU7an2ggUB0jlwldPLcclbJvy4qh5kx8ae9QZxCvdeiM0XLsLRAiSexxaH/59fe+qsfO6
kAIOosNd/VemGcpDG+blq5i8jwE2306lhPsSQCCzw3t3bWkWcqym6MsLwoCJfswAhvyss2gzBFzb
KslXKKn9EPy6aXuHRZLE+I9L4jTha17WwbdkbrsHxvq+FnVjbARFW+YWGzUAGwajmpSXxpUKfH1e
eLuy0JSS+r8eVgfbaX8j5WT0CkyDPP3s3SI0IW725k43i0tDWmoenMQxTnaQN/U3q9HTLV65tZNI
TQKWNkblpQjL9b5FiIqlYTSUcNRbzpdE6WII9OrK2njiVhJbQnOCS6lRykjKwsww9mnQTlZx6WDC
D3xXj9TunFV2fa7IXJ6FhZjFvgmiUmXyqNricl7bxffWF2+e6rQyXHEJjWZDfQ3LNGxPea6V3i6F
HkE9eBUaTPdd2Np3lR9Uoltlc3DhworGhvAo0YrL2OXJcNYVbahPRa9uQRXX7ZD5MSwIO+qyEViL
nII+qcIFMlql+seLtaH64lH++SAVzNsFl0wwECBLItalum3ijFM5xx03oY5z5RzlzZM5QuuUFc6n
qCyD4jceHQ6/DGVJg2ixXh/MppoDhSywvJhj0Ne7bAjKwxRm80NTi87eR5a3hS1bPaOgLRhcAKRI
u+7aYlEbaVW3SnlRlKF5csu53RcAw/6baQueua3tK4Jh2eOo8/LdPyxrUaf1zvLiyjeiGIwhS6vL
3CbuURmH6SFT2nyXtkV0nhGs/NOrAuXwG0bBnEqcPbXtpZ+BxKcKo6wtL3CuwXukNIG7qwYmohNC
mYOKG+/27mBuPUmrB9ZBXhyBFaA21iLBrdKholMe4nBceidnpUsd9yhBdhtP3+o3fWdnsZverFKR
SGyClqE+Mkob/4OAoCZZrmjKH2Ooyl/SUIjn+x917cGFnZz3ySb8BDN4fYZi2NGADMr8Yc6V8ZzA
baeeamOsjGfYWa1pw62umjOg5ZSVe1KWReBC1tB2Y+OlFzhXdOV/iFl16YvaWZXd72S3OPnr/vLW
Ng8GMZX+CyMg4LKulyfMkbc3EgVTSg2FOk3LCAjrxrO3FGLXPDb9ATkCRtEVRsJrQ7ZWWyUS1tnF
Scv4f6LUw/mhZGaxOFVMZTEHaBndw/21rZqUmR/FXrre5mJtsz4Z6uSJ/IIyVx599izA9P/1pSba
p1CgJ7HPYG1rNuKLJe7sza2yQrAYTOXe6ojSQ68dNXYUJAHn0PrZzsCET0RTufZLM/tyPuRmlunn
rode9XM2ZJoD+2gjDAvOPXOIup1TMix2buo2ip8ngr3v97/K2gkjLwXtLQWJKYJfb0Qr7LCrIRu+
mFU4fysYoux3U5JNj2Hued/u21q7svSFwC6xC9RLFqeZ7FcUsaFkl47hz+agRlE1fNOFmQQ7lUr8
3kuTv113zu0Nu2unGvAbV4gF3gIs4HAQRCFc2r7pMu8HU9NCifeaOjZbMMO1MyZDIKiL5WzrssRV
jI1QkmrKLy1MW8FBj4PpP4SWVWiEg+Jvq9Wm8/1PurY0yTFDTQNCppuCt5OVwJWnmEOt5GJ8jcTc
ZOemdIthf9/Q2jmRl8ewJSL3BjPCC2bNaUFWKtLMiHa91sTdg6tOXXtqo2lwN17M1Q8JTSVXFZQK
oM3rY5lXPaLwNpC6QozjOYYazHdn1Nl2sYgdZ59E4xj8zqe0CQtkkQZ5y8VNaFKAZaquFBctQQLt
OJcB3RATjPuv+19ydWmIesmAjjO5rK2leQUXsSD5tRUR0/7pIvRXY8hYh70uxsg+JAD4tjT0ZISx
TEjlx5Sk/nIMZXH18tQo0wn6tsvooCJiqUnR7QJ7bg/O7E6MA9P/ewZuFzzkSVp9oa5a/e/+qtfu
PmkIxViSVTLVxYYiroR3p2NwUVGTj3eBULWKYV8RMjpVAbdSW7uGqDN27B/3Da99biDNLBwEMG5u
EXslE3LRCcn/xS0V9UiwDg+23QvPPtAMbr+3INjmjSBhda0EXEhOSiqeZcyuVpXRO0LJL6JwhuSU
eozHPilK1TU/lWSOoFhsBEJTOyjt0q0gd902nkBi2fAIi+9cZ5U1SPDpZTaoCIRWkjs+giQSneNm
xV+jG7XGrjdA0m10w9YcBE0Fev5Mnt8Oqaj21NqT0lJxT6C4RAc8bUfftXF8XxnUSaKtEvUagAVE
F0NcAJ+4tsshrqqF3tlNE+ruzaD9sMbo0Rx0qu5qN4bPkdOkfzdJHz0lqtP80NMifOZhyr9p3WS9
3j9ht5+c95PqGR+dzj8PzLWv0uKxdGZAgxclaOtTZiiO74o8iRhDgk9zV4EpYUTAG9sv9+3enmzs
vpFI89wwHrEIaHrQF3HvuNHFcPrqrGdmkBy5uJbYZ3E3y62u0o14dAWXKm0yNENjUA6pLPyIOo8w
W0EcSaYtUmfXO3P2oFMUHb57itE0O1pLtvM0xl6bnaYg/Zc0ofXCnZ6M1daY4q1L46eQAKDtTdPg
ZgDTcRiutzonviQ1mc3MpMyvaojn+CmvwSofg9EexVlBsJ4MQcndvSVS0znf34KVQ8iPgGuB8RBK
trcU7pQGCiunoe8kRLCQdpfin8LorF2VtvbRiZExQGQT0BqHeLrE9sB/zEKozclS2k1SodtoQPJ8
StoXeDIBDcs7+q7DVumzgMB0jC7z6NowYpiVlp+o5UFreH/dq4Yk3p7GPmXx5d0rJxXckhZGlzpi
rhdi4zQeTpmTNVu4mg1Dy2ej0RvbqpMaQ4ZXP8QUKeBthsKi2tjItbsEagfmPImtx6Fcfzm3UdU0
dcf40qZwyu2odKnq2YQMbDjVNpP+sCKq9Zb4q0wWrx9lTg1DqEzsMNQHk+e10ZpWrVKEenwJISCJ
fNB34/88LQs/jWUxZmdQFdG4M4a5PxdTbacbe7h6dlkIAYGcorSXpLd6bHWaUdeIPPZd+cMxouG5
j0RoncaQ+tAuayMYusMysedjQrXW3GljP9gFow6u9quoVFEf7p+q2yeE70FEZMjOI39LR/vu+ApT
TYLAq5JLMljFj0ydG3otSNMd7Zx7dN/W2sGC9B3WVIpMuLTFVYnaSmu1OUkvghmk8QU6GB1q8qYZ
va3iz7olKY4hRUpvgZYxnJMiallVaNrToQI5K/5DiKLa6qqsfT5iZep3QAv456I2kWR6WztKCrhH
zz6pY1T+pfTin2menHDj6KwtSdIkE8NyEaiEXG9UFsB8lyP3fOFnDNkRVtgOXnP6Au0G8mzNx8Mq
iAgMDw6wkMVzk9vg4As44C9xFDnTV68csvgnBFZxskObsYo/pW7UBwwhqnV37hURfhaDHWyx+Kw9
8O9/xeKBV40eKYi8Ti5CtOpD72YwEuYEzgcxNOaTlVm6D7Ki6zdSrjWz0jlIgSNwhUvARkIT1+qq
KLk40VCkhzAMzUf4edQ/wFkhSjd38Fc8My07b9HIrx0kKNzBHEmCnpueQdwNiMXXenKJwcf7gCmJ
X3QHoSrJb29vQcpXrVFHfytBAMddRKxeNDEXP4zJBaKy7FhPo/fNi6uJEt4Yf7t/6deOE94dzJbE
59Nfuj63ZV/UplWlCYNaEUySCBNUYsfUaZLswza09H3rGIBwqzTN4l3I3Ote1SLT/Xr/V6wtGFYS
mZCQkoDbv/4VjdZ1c88E3sUNYF3aq2OsVa9lHg/OzuhLtG/vm1t72qCIpnf9Nru+fGV0ZtLEkPGE
VhR6fvWW+mPoUF1IYGn8DqY72TC3vrr/b076jndOPKzNSZvzHJVb20ibI9p1jvdazTPwCpLbeOsV
W7skbyUliRqXMc+1ubwVrt5oZXixEdPJnnNdDVq4JtHVic9N4il/O0E9WMdIaezqdP/Drq6UEgWA
Dt6Pm9IZz+A0MhYFXN+yh6+ILkkFF6XKDm4ByeR9W6ubyBg0A4dyOuGmMDsNYG8bbEW1NuwRV7P8
uurUHTD96BA5o/PhBrYct1DBbjMMDJ3KwsMrZjxBL6eEl9k0i/EQ5XboHZS5Czcc/No3JHinnE5h
gvdk4eCdQYC3V7rk0oo6/pw0TS6LLkqa13uh652+say1z0jpBWQhCFwAW4ur5+V9HnQ14fpI/wlR
qNm0fipTaRxdd0h+zKOx+XasLvAN0OjyJBOZX59PI6UYagMSuRR52J+yPvKqvZKWAj5S2IAO90/J
qjEay7KrxoO5HGRDtiAsYXqMLpFuNPkRosVy2ulwmgiY8mCrum9t9WMCoUIoTuooLdGadot8fRM7
0WWgRfGChEP1ooHYPIDCSax9rMbEih+3SPkRZJPkvCfrvf6YGtM5U9KR38ABXEDyI/6zmiB9Lepu
OGpDH218zrUFvjO3fJka21a6EirpS4lI1qGYR9I4ODGO5MfxfzPVhF+/szw5C2cB0b5pUHYjg/0I
I7F98Df+CxDuxZps5PaKzp52QWX1v+GqaQ9SNSZYlOKX15+ztoO41mgsXHq70KZ9pdTTH20qAu9M
pG883l/cWrLDFbDkFD5MIsvKgQ4V1TBQsbhkWq0edWp+DxUwe9+OVE/ZuUZbQuStersZSaCf902v
7SPFTwaJmbEnbl0cG8TwMhW1sfQyCeOvTBnVZIdyb+qb2oiGaqhmf963t/YmUevkw+JhqLUu7KVp
3lqFMjKe4dj1L0qrojjkZVoce7s0HghnvQcvaPT5eN/s2u2n5MVfktv3ZmYadhYm25wOIGU36o/j
QCFq39gMMRVJpeQbd2PVGGmGlGpm6H7JFyecMm5DNcpAqfXthQlobojl9N2xccxuPP3GysCikgkA
mgFCfH1QMzUuRGJlSOSEjErAtJq/ukpGw6i1ot8JKN7wd0BmQPcvJxzzMcznHsayy6h09fzgoBr0
066i4gukRtZOTKgm7PQ+1LcmnheHVEIZuYFU1TijpDpL4FNKaOpVSkS9SMyqr5fun5rZRkhZzM9D
XqUbkfDiiP5faw4vvCRoAyK9eAjTRAEHYon8xVYHVGdDCJn13YT+TnCstLDZt4xOPc21bXQb5+bW
MLNubCGlUg4+Q0XXW1lHQRan5pi/JEE0PYVJ+b3jM7eMvATaQ5yOBAFVNn6s9ctqqRPS1QbEAbYF
OqZrozkTpIFVhMVL6LoT0L/M8NpTFpsjXt0KDLT/hrbceKvWFgpcDmYq2DYA4i4W2tdhoCcc3Bd8
r3YystZ7UA1Et0KE1760k53t4Z7fMrq4lW8LhSqG2W5SHIK3hdEw6ieGeKripZ6M9tjHs2Yew7Cb
XxLQH1tT1SZf7V35iqor7Q3DpKPLRUHrYHEr2zoOgJZY3jHUwLdI3vSA4dxcHbfy7+XVwJAHbppC
P5UhHtfFqmpDC7I+b71jFEDYEkym+RUl8n4nJb4+C1eUG+/iqj2iNcnjbJElLuwNia4pQ+V4x6Ss
nFNbcDIL8rIjIJ5xz0D3hrnlpr0tT776MtOnQrQ4nRr+zI0U3TtmblX/HSuiPlbCjs+Ujbdm7le2
DLQa60ILhaBtWU7VWovhyMZELSEvrUMZ6mJf6OKDkyYcDBqlNBllURHc4bLDadVDEhjF6B1H5Mt3
oVnaRzNCUUHXivxkK5B5lUytn+Hg0Y/3H4rb9WFZvhNQR/D2Ljk30SrM9cDuvWOfGN7J1oYOBb9w
a2poy8ri4OuhB2aiE94RP6b59NvsU2QjNHB/LbenUK5Fnj8yPiAF8ti8S6TTQTOqwmi8I0SwUmpx
MKlYMNzvWqI7xqL1dvftra1KYoyoSsh22pJZhgm3ujERzDu2s5Oc4plsluKefrpvZW1VEt9r0T5C
e2BpRQ3UqhF56B6b2bUfUgbrol2jFw79dmMisgaL8tF1IQAEpB4smia17paoE9WZg24UWnqae7d8
EfZUvzADnRzur+vmEhMpoIUBGw2uiiO/2K0w1WxhpEhh1bNe71WbN3RsiuQI/meLl+ZGD03qfeFu
ec3gC4EYbXH+FLtSlFZHUagN6+R7Rpf0bHmdMu9zTXf+NvNOfMH/x0ejdaNoJ0or+Czs1v4V5m2H
FhHMq+bGWV0+dvIXMR0BkotvDKf7YvXVnKE2EAzpyYva/DE32uJpJGY60P6AUt6etacJiu+NZH7t
k783Ko/a+wsSh2VTwQ9zgsy2OQmtCQ6BAry/T1Ds/vjuUrkno4ZCRJKXX5uyGr6uEmHKjMoYDhpk
T1HlFlNBNTgptth/1hZm8eBJCRiam0uqyS5IO8XoMpQ/2pjxajIF16YS6bb2CdB8vcWCeHMl2TyZ
lkmmevohS3r0HsWRSeRFemI4Of6kQhTGpBAcLAnsC6c8cT4IJdLkYQHUw8pgXeSJlY7o3b6BSQh6
U+cVmMxah510GI/wahSHOiQqu79vi6RTmmKQgMEWQjAJXlrcFD0y9bDw+uBoFk7ofu+Znc0frDQq
m0czo627z1Ae0Tuk0i10f/p6QIns/i9Y2UsSJAkX5fzQWFwE2qomjNBJOuWoB4P1b9DYiXYYc6P6
ElhxWW44oZWdpJDGMlXAqQDQFgm9Gs5MBwmVSCItRwAuRYzijnAk+j3phsGDq6yZqw2I4+035mKQ
BxLAADRm6Ox6O4sshSPIlf3+IXf2ej6LQzXo3WlmNOYLZ7Y7iLCJoBKpwo3lLi1LopS3WyK7hkzU
L+I0EdgIRYFz8XO0HeazFJX4O/aM9hMzW0zXoXrZentbzxs/SSM4Ez+2s7L9LcejaesxuQgW4nrd
TeKEToBQqK/mrtvskaCs/0HUxDj2tFU3/Kv8s96H2m+2AAGj0U7zAtnRa1sQrrUUFaLeD9tej45N
D3UITMJT/ZgZsS4OXp0myVfXDodHkRSh80zI4IXn+wteOnl+BGgmMGs4QFLVZZxqREqWpl4y+Ew5
lA+Bp4evXjK5X5Oq9V4BhoiTleve1/tGl0caS0y9k7/JwyWnZq5XLvg1s1MBJYpq8Jq/mNWmmHPy
GHUSRyXRZvGzwI1EHyu3UxG7tip/1TsX5aaRoUPUPPhDk8zpD212MuswAHa0/jRtZnv3pNXDH/dX
uvQU0iYQEngLZJeYRPXapqqUVq+32eQXSju7R7iG+v6ANFqq7dy4Hbb0E1Y+LNAVor03nTGy/Wtz
fUVNsxi8yUeCzT73lgi/pybvdj/pUbXvpiTeCpFuzw8QaFoJsAjaRGNLZ6xoqle7UTz72oyn2Fma
AK1Vt0J7VENVsR96noNPAmqAjR7DEuggd5OADLQlSQ84qWWvH8mExgriafBFqCnf3Sboul2cx452
aObii+7WDuNlAAO/BG1gJ6fGjLTvgQKDyyPAQbElSHnrtYjc8BwazOqUQZcjBF5virLoo9Gvky78
i+Hg8Ckt1V/dUCrfuFTOZ0iPk688V1sVplsnIkNG2XGEx0UqxFzv+Jx0eVsr9eAHYzGe9NgIDyE4
5h8gxrTnIoqS14He9osZzO1nRbPh97p/wFcXDrwWqjtcGdwS1/aDHtCw5bAN1LX6b1DMew3MuT1c
FvBb2PM+CuPsR23U2S+whOWP+8ZXDh9tOloGROjg3Jd0VxFsmV0wsvgsmpUj+jPpS+ONOjPfUy8O
gyVadADVZiO1X7VKEifJeiTiffFGjHAUQffgDH5URvFxMp3Jd9AjOOhqWjUUvUVxxmduSYAtUXry
wEPXLamtTflE3RSgNTWyBEKKwBKg7J/kCBwoqriEqjPyvuTBGB/7cgxPVmp9VmTkp6FEd/6NDw52
gCeLPJbE6Hq3aYXhNaG+95Uo6H96MFxFkRpReafF9zWI4vqrUCLvdN+oDB2v30kWDqha5iFSeGdh
FAoWMWvCHXnwG/usQMRR7SDHDP69b2ZtWwkracNCQ8DnXWwrc+mSdzqDlLsdG7yXM0EIpypqtR/1
2An3RptqnycUhquNOGDljZDlRFf6MwiDl1fYnLIxSOOcU+xU1SnIRfBlqJs/ijYvNk7u2mXFjg2X
DuVaUIXX20eKqHZ6249+hYDKH209Td/1MnUflDDTh5PjTN3nUG88ci9Ghjcc9soqeesZWYOXDle5
3MVgRuKSmu3k6zCy77hAg6/3Sdk8GbOmbamLr3hFqrM4BCYbqFk5i6feiDJ3DuN28rWm18lBKuMQ
mUJ/JMUGUhTn/+qqa/xnj8kfppFU/3z4IL0VweEVh4YOBtLrr2yTxM+95sy+2QdTcCKmZJ5sF1d1
EO7HqfOi56KPO/XgAGzd4hNZ2WGYdQHC0KmS6liLyKozEoYR05HnGJEaZYeSXDQ/m/MUg152qS00
CbLTqlCQVkvivtiaN30TTVrcVdwig5hk1YicLj98Z6bBkDUKu+y5PZYKz1IOocGk8Euhx3OxH5Qp
K6N9DVCw2ENwFqqPxawl1YEChK1DO5tE9dGU5PN/q0UW134aZ+Wh0wdH7TeerhW/AhkxMAWUuwFs
LiOIWXIfxoY++mozTBfXDMy9o9bJB/vb0m/Tj2VuyODeEQcujkNvZcLSonzyKS0kzlGb1fxoGsz4
M6uRJ8V5tDp1I3tbOf4MhEjxeJp5JObylLyLdKEYrpJEn2bfoyyELmPT95/mxFE/FdBafxZCC4sd
mKm2fkzVTPyMGxUZkfuXYOW607GEOARQBhWIZR/BZOZeEVai8hN6ponUtIv/CNAErGHu67Psg1Uj
+Y3xnMS9YLAQy1s8EQkjgKB9c9XP7HJ6qYwO1ehJElM+FmGeb4GvVl4K8jXJUvJmbakchiZDnAUQ
q/muEQ7nxDXHrzGcwj9Uo1MfRnfsd52XThvZy9qeQgxIiA1qkNbswqXxYo6llkeqnyCZsW8bz3xq
qynaaZWeH4G+QRgI8PhVcePqc2DU4cYjvLZmKHak9NVb8XphPhqcCCCvpvkUIZ1/8m52nukMRU9Z
pWnlngg7Kg/2JKU27p8j+ecuHQqhBpeHYsRtoddV9ChMm17z7coYghgehznrPjW81LABBK4izL1e
OXHw332za34UTiteDxwDL+Xi0o6GWsS6wsWMlNQ4wEFjfHMntdlrCrNc0Isnx2aku2hkY7YxcrMW
59F649LSYKRgv+ziWirdjmRoZ7+nfBXvO3l1WuoCjeb8kXlpl+ySntHwvwQcS9EzvXMAjSnz7bAN
BtqH9cfkHaYRSMsHiSoYiBbVJ7MwuUB9NftR0SCnmSJCxuBRtJvUajhMQyN2g9o3Z/gpvccugRYl
KE111xrRFm5nLeEDlidpDmU9GgDbtVODej9MXItfUih9/XPq7OrnmI7Kvm3D+CGeRuPgKHYJ6qRr
qKLP8VQ+eYIyijaE3Mj7x2PlNoDaI9EGVADh4hJzGvECJu6gs0cwgz1YVOaOeJt5OMAAWX3SU5UZ
+aKI6o1LuHIqgaDg5d4wfLcQ7cguC7rrkz95SqsyUlxO/T6lshMeS9stLDi9W/QM3WCsDompUTXc
WPeKV6cGSY+HZjQkP8ts31Co3HVQIvrRpJqnKpjrXeMyP+rmjvbxWFUKl9Duhh4NPcjFDTTLselp
/fGGoe3rT23C4Bk3stoNOLwXvUXJdNdOSZpD8GAY9fn+Bq/eQjAFXEOCONpaiydUKUqzVVSNHdb6
eN+bk/VJ09K03Lkoyz+NSlkfGESoPlu5SYo9UlvfWXXJZNj937H2waWwKvkemC4QVteHPlPLWrNa
eehNDZG9YooPYTXp6NPHysaSV8IhSjkUUyQNOFGRfm3KQIimYypK9Um29NfaztqjHmva6/0FrTxj
V1YW/iSsG2AZAivCzrQ/xZgFl8LR3ZPWuHAzap37zSmC7BGMVXMw0OT487755cVlCpgjyh/4RuKE
o75eJJFgbI3uPPlpE3gvrpPVl7Qekz/VKY8TXhLdK3awKpsb8cly1ehbofdDZ4S0AvGLZfMnp+fT
6LBv+sAoZ3DpIHW8nRHX0znNRdUdJjuuKLRW9bdauH1zyFKqXxvDMcujJH+DDD8ZuCCbvvFZnja0
3pRqjj+5Sc+YAz1T86A1CSiPLG2dD0KuiD3pZrqQBoEaoJK/zDUzD8JoZvgcPyTi/57nSb3P2yD3
7dkbXieEXRmkc7fI3pfRwptRqrx8a7bZXvrl0O2SyiwK10/BH+29yp1AdwnhfCvNtPkEL6fTHj96
oBh9hvUXRDXbS7B/faDqqmXrosr1p4CRa7UT3Ws0qo1vdUobHxqlLb/B5l/MGy/B7TnG7NuwJiU3
xEEXZtPOKi0zi1w/THTrUTM6VLWJQb3XLur0Q15Mzn4KnHHLHS19BN9Xgq1kW1iqEyxBNKWR2XDH
e5yhyu4gnXEizzvktolWzv3PunJYMUR7AGg8KgHLPNZsukCE0H37uUMBBvL07lQHlv6YM3a84RJW
TQGOwCkg1nFD+tSWtRl7Q+L61txFL21j6cyn1dV+0MNy47CsmeI9IzGme+gyZnl9WFqGvBzmHj2/
6qz6RVOz4QQMyvpz6J0thbeVm8BaZP9X4iNo8FybIin0oLrPPb9Twv5zMztcP0i4/SEIoy9tNXqP
9zds7WTAAQJynOqyRIFc2xu1Eo43p9H8JE4FwP85/SfQo37jA64de2CUNH0pQEk87LUV5naAmRDV
+a5Toig+5W0L0sQR1mPFMG9wNqygOPdG7G7BM+TOvE9D5MGXVHwSb/JWprs27AQt6NAuNfxKF9q8
Qz9xejKROntoLUUL9gAQ9XNuq9Nzh1K3sg+sfBPDugz+3n4CskXMjcHkcwN5KQvOjhfauj90tcmk
mOmUhyYrs1OTjz2sT3ZWESUkcbab9Yz+0v39XfvyjqQ+pEAKCHo5HDzgDmrTDA3fiVpkAseqeegL
LkisRM23KVbcXYsQ8Ebyt3aopGeVi2Yaf3lfwN4olLMizTegjT/EtO3+F4uy/uv+0m5iPb4skl+U
li2JmiXou95ctSjdCNi87heFlzwVNGmOtmgRVFOEfqTH7gBtU6pPdYgIeyamuTy0sbdFpLzygRFD
NPnEnDHYoaTveFez0S1oy+bc0/zRMnszPCKf3Zp7CExybZ+PxpiKY0//KtT3TLxxR/b3P8LK6UIh
nLowzW/Lvhm5io2+6+1WNf1uCMOXOHe1P8JSOKcIuiqxn+Yx/2U4hXJw3W6rKr3iqqgpyOI+XlFu
xPXKeU/Kdkpr049jBgYeoKvrrH3LjM3FaEerio61GFQ93HAlK74YOhj2HGwMZt0F+icIa08d4Cny
R2i6joE1t1+Zc3AZhDbsh/vfdsV5kMeQy8jBT1l8v14gdAphNVSV7itGUpQn0eiDfeibsDItALbQ
U+4jEgrr82AqRfytRgj6sRgqr/r4bYI/hM3lU7PRy++MkERDdOTpSCN7mbcTsZkdXacy542jtLKf
EGawk6ieQjS/vE7uNOhua8aGL2Iv/K+kINXsZqtuj2HrDrsu6rcGileujgT3U/KkHccCFgdoduFH
KvXC8PtBnX9mQ0obsJ1f475yz6CLh+c58fKNctzaIrkvKs+4NLzEO5l63yEKHBl+1qKn7Q69Cd4I
TKxmdeaRxHgLBL5qjwYvJ4gEnPrH9RmCVY3otYcqNU7M+OAE5sgwVlPsIeLMzgQw3eP9M7viDyhu
MC6MOSrJnvw979xRykuQdHNl+1nQ69DaUDP2xr+iaHK7I6LT2hg+BK1Hsxfy+UgZTwPMmVsgzxXH
TNUffJXHVK0kMpMb/+5HQEZSVpHIbN+tTbeq9lquRdX3Ie8cQowmrtVnK0n6Xj8KLymSPwCOwOS3
b/Vy6nZZMKZb4e/tRyFtQgKM5IbK7w295eihsjGVte0XVNizY1i23VOaWP0+NMz0NYWF6dVtU++H
axS/8fxjG3g3DSUqIgDmr7/F2M2MCHG4/CGb+3HPWwLrY9iVqbNX1LLqnwdXxP2e8psW7lqw7r/u
H4hbf8lhhwyHl4m+Nyxe1/ZnXZRarASmj7R5ae7mIh/OfT7bya5WjWzDVd16TGlMck0ChAVPIX/M
+41PdF5Cs7B8p4ino5tExSmtI+fBGNpvBCDBDw91pc+FERXnueuTYsODrZrnG1PuNP8PZV/S5Dau
dPuLGMF52HKQVHPZZZfL3jDKEwCSIAYSIIBf/47e6rvujuu4m97Y3VJTBDLz5BmuENQfz5oZJguE
K+V3+Dx/D0YaNmm8GD8eNIHXgx/lIzWgw/ZHtUjX5hsm4L+0W//6tGFSfH0KuKn/3E01cA6rqlCh
HBecf/Lx8nFLD3HDnPvbQf+3T4K4FJ0PqCvo3v846DqISZW0zu8iRS9Ichh/EJbHp9w6+j8ieuCH
XBkTMKBE+Ah+2T+uMJRbtcJPqABVpdnkM1yX4KR1AmuAu2dODbIae8QTN2/gc8bkLsCD9/V/f4Wv
GT0ofohk/Ec0GMvmaSlUWdzN4cju9LK5jzFVpqUKuU7//aP+2bleF35gdGNnco2du/75/3mBZz9n
RtimuIsIPNA66LxB3SZltn7575/zz7IA40sgOsDFUdX/UdMDgipkLlV1h3mZnpLafYAns6XtPMZZ
K8bwNyDr394WYGcwHcD1B4Tnj4NJJGqhMvi8MbfetduWYRraj3W9lHaVf3lhrsfsP4cu/M9BFHwF
AVCE/tycRkpWCmNOdSfqpXyFWP3Qdw1SVfhPX7tcv6cHfMtbPe4i/0v1+7fHigsGBozXRTqg/v/8
+erdHEU8j+WdjrEyb+siqjspiqKL+DLNbSLm7//774hWCfcrVqU4I9fK83/eF52ptBakLu9gVCT3
S71ki27zfSFPVvPmGCCX+htW9m9PF8QavD5ou0Fn+uOntMrWmfVRiY5fqmdlV3uhlSqfCmmWS2Ak
3rqlZuvfcMF/q6G4z9APZ+gq/hEYg3tzhhUi3qBK57LbwYrEwKrn5X5icuqTYvd+OOBF8+JM/D8G
P6BsAxEBNxKpHWjdUEz/8ymnAgldjLL6bh0j09GwRAPjlJ0OFSM/D9mEf3mN/uW0QD5Rw5Xg6or7
j8bfpLHYkhifB1C3uAFBr76HKxP/dmR18hd091/eWLw9V4fA65P9B7pbOQyxufJA5kqZDciogy3i
CElIWBILdVH1N2HRv34ekEe0Z/Aaw0rqPx/lZJexrEYAkOtuFXTJUfMYSi6/h9hvj3y2f6OF/9uj
BJYMZ7IMihxI3f7z81hlEcsd+RIEy3XtN7ejGk8gfrrMR3+j9/9j1Yj27mp3eO3tIaeD5/V/fti0
crktDWnuYGJenHbOok+8nhC+uip/mgqtuzzKZtyylbd9At9P0lZjkXwBKJv9hTb1z+OCr3Ld+F2d
mbB++eNiKBl6bOxBGpQr2NtCfES/rL5I7BDYvtyUic9e81wRcYJnwvr+3y+lP32Or20uRF1g4SMg
AhzT7I8qluqapIidbe6WkMaQ2K7r1h5Vs71vMbNL63Jub/KGmyEaRWTaQlRIEiyaPV96n9v6y4qs
n6cqqv92jnFN/XF7wWENzTBGk+vZws7qz3mIKClnoSN4UiYpCEKimOesAzy27x2dCc/ako/x0lvv
qw+6wKDf7to7bA8NYvHgKnXotS+ixnxGsHCRDYaCB9A1mcFclS2i0H2ZwAZqhJ9HMQRYU2WdczkC
eWFH5XroTnx4ve55Lolcoqg7inHKfAdX0tTt3TQ1MK7peJ4uiekcTKSIaY/Akyl0drNsfJxCvM5f
sO3S9p3EqWKntUSPcIF+ZaJbK6eyGF8jk+o9bUeeVQ72MEvkCVJ4aq2PX1ZcH/Kl9PaISviu8uP4
lOeasAeH9Gdzooh/jr8CWhD+STKxsptM5lHzVhy0qi9j7LFEbDeUgMS2jbLjdhbQBiJ8Kg2k4bdS
LxYm1RMpyU0Zyxz5MbYek+eiVmC8ztJY2VFGXBnaArosCcfAGE8ozHP4ZVjsF9MmeZjkjdcptFuN
rzU7b+RQ/N7X0uZPlMDQ/w6Zyjk7p/m21LCJTuG+1ULqzC9KNvFys0Jx6j6DmuF4tyaLHoe08WUO
Mz/t5wurAfUOGQIwfAu3h6I4RXob6wHRCgnvsP4hCgktJN0+HCZJw08YCKXZQ3QUiG+GDHhBulZT
eK4fIwdpXWtr7COfTVnS8LOI9MxONSJL6MNukJtwcnMU7x8qsi7hPJfwZ+4h5b+qqRIOEcEd2G2W
uBvQX0PT6WVx9RsSGYX7hbW2S+C4XmIyvF1KOAD/QEDCKmR/7IdnxXBAb513QiEcdmuTLKhlaWu6
EsrbKlOZSTuHHdvVIVlAs/U5NbC1Q0LzGO3ioVm8HHvkhu1sb5dMkGiCUxGcre5DuWK9Fgm3H5cU
oiH8tbAwIVmHjVBJ2cMY9ko/sAgSNASalj5bkp6pNQkXh30WIpg1+KDRI8muC/eu2aFupx2aBaa+
QEmm+G0Ck53oBLjcqGVolsjm58pPKUz7ZQYbZ/hw5029H23i1UEPaIQDmHU91zikvF23UZa3a1NB
TBywJBE3MMDfmudEsmwqu8QgQPfRjoRsP8kYZtbB22PakoGW3Gxbh2hskH7yRpUz3JbHCBdTcxx4
xB32EhSGy4mg2Nf1pgjJOhRTcGFYIzBSW2eipnqP4EZ05Scm4kFbP4l2TOa9aa9yI/46b5Ezwy4l
fG8azLkAuLmW8yswmTqCffq4y1NQWO6lXZbSMn2ssOIM/Wi3PL03RamKG19XGKX6RYBAck79yNW3
kWNJcLvysg4vx2KVo13kN5O00xFm8lMybUDriZORNehnJxWHuEujuNzOkN+vYD1FlUB6TQghHnFX
1YbIyxSrytxAGjYtDy7eUv+8FX7bDrBdydjcOU2K0HIxVfnPWaSIDm/j6bBTy7ImutJRbRWPP8ec
R/49k0LqVzh/OnmrYWs4fySMwM8FUhwCry2gTjlwd9h/taoJefM86tjEtxSKynA3ReWWpjdU+GqU
7SawPOhTssNh48SLEnwJmBfz8hvNVER+MGN1AYYQVpcDTc1kzrOUsTqlxqbkFj+ulj8krCb0A7J2
Ix+3ZT7HOAvwQKLHd0PWOZwgDaunpU1MYe2FHDCkQJmp9+QH8P2YkBZmj7H/GI0afymr2ThfdOrh
bzcDrSNPclPGPiZURfYmlht3r3hBqrLLDqdMV+p8k2dbJk5daGpjevG7TJbbadXOfveiqqZwp3eC
1VNpl2S62XdxIMfWM2lxSckIC6GUaJa8WxAYtpupVqs5uT0e3fsqUVC6GmQkeKuWor5aYGZEX42q
D1lv22toRA6b31HlUG7EhObxN8hCZXG7Uu/9floczKbe4AEF+4ejRlFITig73JwbWTZyQ9gW9JAD
heBirzoZpkl003gc8oIaqNQnGGOI7Q1MudiLoTRwNf7mPF4fFAu3rRWGHPCX5FOKOHt/M9egoD1W
JQW2Cfk9LMSx93Vr08FKtBQ3PDYsusFnV+VLOPzBPlOCU30TY0J1FxmlDBTzohCetUvesHu7l+OO
yXSrl/eijMrjzmAPcjXM3WdfvGIDMC9vfpFHmSJNFmfmwgtQFQSK5rwl51kV3hytB6Zdng0oP/tH
YMy56NGxC2CTWhaylC1oaphWGgWi4LMHrr0O61SDeNDygosauaOCISxJoot+UBNywYfZ1lG2t2As
E9ZzSK6jbo3qcjPt7tCGtgbGIuJCvdEoFgr03Q6/bQoLDs7y8kKQJBLaaxJKc9essaDDDNcx+rUo
ReNvs9Lp/BhcxqvjFsT3uvlqNhuxj8Q2qYH56WZ0dtG6GpvWbTsURe2iSpmqPsY5RXQ7ciI+mxiM
4XsT8jE627AyRgcwhlkl4RNZsvA+b4dcfm9axfiGAkh384xYGBVexUTzeeokJubQ+Zwj+a1z+Y7f
FBlmjXsKe5P5E3JIsF36nkXBqrxDnXTjywjbghNiUNQOetnm6HmFLjF9JMxTcYfdGQSuPTQfI3x6
kusTWcCg/IlbaXXDLvjSw9cAokyfBvhGryEs6nlSEX4qfyC5sAO9Ji7aSDbF74XO7KXSmlpUbsQh
3RpjN/RnxJm72fnxh2IbtvARUvPU4GkVyQ5ZxMXXYqpr9ijlWs/nZav1ejbrjAY8hgcGdM7w8DlB
2IlYPyPHFHgoAlgbfFeTrI+HHosKnwa689mLbUxaaXf7k9UG3s51Tdg3nY3kVWc+Bq2RVDY5MW6W
lywjY/HklnBMA0ggBq468x6L5gyxSz6fjK+UuXcz1+SSRAbMTcVQRm/5sh4vLstG96xUHTVfx3VO
WAvNcPkxB4AcfYzgJXn8UBzhGIlIbNah7RuffSjwc7rMFsldHHPzc4YAbu6WXOYv2y6yZwQgh7xt
1rRRd/AQnHt/FQLdxCKGM4es3D71PNlLdMJwxkRrh4BI13niE3HGbUuKi0w3lyMUNtteJLYADEUB
j+mXFrnSXZXAXbavy9GQXuSSvowWL2SXVBF/YULJn3Nd7+M5bYzw3wKvsuWnD3D57Hw1l3ibqUxi
18P+E4k99MDm8hsaTNN8iGYljtc9hcMcmLvE8UuAbQ6sMnk08Xv0SRJI9jajmdEo5gr9+qiqDyhv
LL49sJzM+6b2uWlh51vHJ4bXNfA2I1P1ewR3C8NZg/HwTMBdkWc1oVvuDi/GGZwAm5vnVGOFeG8S
eRxveYS1VSuFOdYB8ROkucwCSwM0UYGQ82RKkhW94mmJ16fIXDXsOa0QnOUR0NMkuAbvrTUxOyc5
iUqG9q4pRWtsEX9c5sX9muKV277AN/k0Z1GzDyhhedqWtbX+KYw+aTBF5WgTkLoefMP6AHMD2RWL
UnM/ewt/e6yXOe0nlSB3OqpJJS8C+vLmK8onL4YJVSo6Y5nmwtiGONZRfwgIwrCrrvl6nrN6Gx+p
njPyZa50tQ6HjLfsPB15LDpPi0Kf4FrDjofNa4ONklw38Q7UxCxDVM0ocSTDdfZVTUGkN1cOIINI
4XDNhWRHJr5kuS3PSG/WoP7wzBve8tnNdGiOkh3PmCyqo8/2uZ5A1VRJuEklhKOYFmGZPI93sagn
gmOdTdUtbhBQXdtC17rsplmZEwGV3/bl0XCJJ5ru2H2njo898nSOqoPUjqpzgFBrb/OazPyL0HFm
TzzOZOgr44zv51qMSLtB7Ex845AcVw7pouHfOckZcsRsLoj/FA5dxUi1W4TvVgEn8BhHCC0WuWCu
8m7/FICigkgBhnZzgNq7JTs3bTSVZGF3xeiqRD1HNkOpPTqkJSYpgPkS+4jF1vFttS9J3o9KbbXD
SExJhQYWsvN7FWwCPy5cRXD/y538xfY5UxAMpt4/lBx29I+Yndf8O8UvynsDr3+8bzbZMcORHB+1
NStopokz5YsfwT7tJ2MwBDnYb73VIMnj7Okoe/N5xtxNosYFy5qUHtlNQsyub2WKOPqO1n5eWxZv
zQscD4vPiP323wr0snHrlIWp5Gq8rKFNSfwy4BRnuptLT+p3ZMbFUxcZ7FygSF0CvMTlnN1kYck/
cMxbAEq2pFE3fo0QEaaSNStbGIf4updabHvLXAS70bFuHO8j513dCSnsk5kT0IQS6sBsWKYx3e9m
kXvcB5CItRPwyan3SaZpK67BvhfHZpJ1VMj8DYhHw06C1XvWES5X1SlY68hhChIcrqymVY7Q2pmu
7Vrz0iPOj6PMBQ6d7Latcdnm6V7/buxGvq4UduJtldPyd6wb8r0MVeDdMcGKKmu0TPBHo38ooisz
IV4KW6HnaKZokE1OljaVpHg7sBD+TZ3ltqNI6fBd2Vj+bUaKO+0kwzXQgzQuMP3IaR1vwhQbZL8K
MIjTbGEFGJ9AVPo9Z+j2kQ2fJ20Gr4XvhYsO1c5YMrtWweHiU6kxnLQsdeU0uHmpIjDkqmXuDqhH
obk9zCz7KNq3CHdpZT6sB9dNNwLFuI8szO9ay02yDSr3BM7oaDKjNtv81eg796PpRKo5a3kwa9Ix
DCe0O4Ruqhb+ivRpdbHXbQkjwnC2mEGeypleKedj4ewJ4nrEVqMv2O+RdgX1rctNeIMQGHPfMaoA
dEA5GFwT2IR8MukkRHdU+fwD45mASjjSXl/c9ezdWyRsJF2iGEMcmm2gJG78ljzXWZhhjxA39jnK
89n0zHsErK+gS90fcKN5gGxiwbCKCxKmhWSTv9NtKuNhRDyUhLVSJM47xx3dgy01bV0F738USwd3
1XYhGIvbyDXYnIZmhafqVur0d8QQs9wlG2xUOrxli+4sPF4/5vhmyQCuF6HDHnsXeso8LPVmgBZV
OzPDP8k1dUdbO4nqQDc09D0pWfKDZ7GzvRFJMvUTgEd8FzKVKM0gUj2bzCEtay0j+i7SfZ0h653j
qMVAC7Z7YZajR0e5k1PAcPIAqhVQUNjbFhjoHBQPA8yrSguX1hmSkbrayy+HwJC918QRzL3l/oo9
+Vq0WRGyFLdzyBy88mLwK48J1MDRbbAqa7YdP/C01Whw6kAxEyTZZEY842sHlyJBgPZiL39W0VWi
ylPPunSuFBI6PM5NnLzOdKuvk23xXbIp+ebm+ugb7WGrE4/r9GgswBbcJmP9SRGv2UlnJQouBeNH
tQq8G2AgImRvMCtNFkgpComxHNjBBcdszXBRqoS327G5rJ0ylVf9mgZP8N8++ABzJgmVfwanuhbE
JXr0SSBiwdNBmWg3lyQjdHA8h6Z39SV60AqJE1dCfXm0o5otdKgksaqt5JQSGAgKzvtkrePHkm17
jOIcwxwSlOkm7Ug5NT/zTDBo2XDxvbGUFqwtxwqei5W24gP6nx121RnSPVtfIpO4TdENHB9AXhxB
EPD4WgonV3XZni1wEd19hKZHSnV0FVtc/lSOYPTiiSTpCep+IFwJj4uxL9jKvqNjSKG8USb6eYht
Lga36PJlRVHmnTBUYr6Oa/o7nnaxD4Cf/DeeCiN6bjC1tTuFMq0LyD7ZXkBcJvyJVrvbHkWcqdvK
luyFTbo2raDJ9GBQpNdTqEHzvV12hS+5mioR2C6YUQ5k5SNiNo996iYnlwLNfYbNY44+/jIDTKw6
GK5DhwdBeDm2eLeC6DgACXoCnW0Rpxy4kz8BP8TQIhC82iLHM6CuCzvSLodd9N6RAhreAc2Fnu4W
4MxsiLFRaT7FNozANctjwaAIG2Z/RKweFPwuMfPLnc9DauLpQ8miPL5JcWKODsLY1fxYohjMaLHo
3NwnChD/zWigQbiMLCAktEEvIHtE3uoXmYUJsAtcmkCyWFMFVBhT8t4pv1WY0WWaP3hs05PWrfB4
ANe6LNIzcRuyILw1FH9lr3Jyg17ExV3No+DaOINDRoeFKXZNyYrwpIt0cIjralZAp7PTHH+6mMNK
pA0dnj9EUVj33uY5TnCKiKv4Ek8gATIty/kMK/RpwhoEnKMOkse46TCRW9ZiwU63M1dmxfjV6KN4
q4qpsqdqAx7ULbuZeAs4dN9/SOYKLBQizJ7dROqK92tdwEOzDfXKarwAsUiucPD/b5pM+BQw08wf
6pAer6CvMdlJWeKj1h0xGA90Arp+XomJXnYgvGmrNNcMGygrKtHZECUQY4mx/J2nEgVuhfsLbxVr
MAKvSLrGuQe1JxoOTEWuC+mW3shmV+q8gnbxSsC55J0lkHOrtBDhNBZGv+q5mffW402b+gXzHof3
CBY6Ayo9IMNMbLQa8opXTxx5LzjA9Njj01wuuO1w3cuhalg0d1gt+I+piuq3mET1dFuTYJLnVCmO
/iZF8zZAnbzpFlVFZQ9X1FYhANCHcFOBkPWRQbOx9cdGQRmdOQ7lKQkWduM40uboGorZ9wYilPFZ
xTtRg5FF8hE1tyH9yOP1bTtModpwtW25Y0gAzQegqxh9miPLPi5AS1krkRD8fa6QmIH8GlwCEFAb
CTiCEfwhkTTNOlPm6gZ5i8F0JOfmN3776JcxzSrbGf3Ab/hdYrhZxRSWNta5wy5CEXb1jcIO4dRM
C5mGfbYNGab1EHW3VNvyQ2RBboOE4wnqb/D2UexF9j2/Dj7tFjA+nDEMcIJF8SJu1xqzdu9rmo79
Ia35yrgo30vsA3+PCRPvpIngCDiOkU7aOOSpG1Bc0FVNGwcYtnEYstzPSFwaEBG4iX4GHoD/Z0x1
rSxm/7TYTfNun3zxAb9t5XGY8/U1V5WY4XhCr8621BavHMNO0tUymBzta1mZDt+NixOZVwvccKtR
vkaYdKytyAN1g8EN/XA9lZ9hgDXqrobajA8jVhnhVALoeVGuurokFMdnjRQh17OZB3XxqTMv4LGs
tM/1Hp7Vhgo31Ksw4Y4BFPYDxiz8XAwGDk3HbYRVUIp8PILHbvOpK+GEoLt9VNnRSUAk66CR5bO3
jQGTrC3cQjGqwaAYz5muJevCnodHbq50L47e1+FHnRoFqGBjVV9pVffTYmG6U8KA8QQsISWnPN7c
jwQ1vRyI5+TGwiZs7leH5QgWcxs8cY6RAv2YckFPJl/xBFf41opWKEZfjCiBqePdXd9E4hx6paM8
5o7D5FG2uxHrc1BMqR6e3tNnrNpj1mHLHX6NFoNRT5ZFF52cWf3ihFLVWQU1fmtEtNwekd7NPSlz
esMKupVo75Pj81Qce9pNYFY4rJb21ffQFSF9e2d0upmDqppTPcKguSuwOYow2e30FljLsbcFVre3
KgdHvE110Edn443egYU0624p01H2MwrNLaZhBceBSmd7zzdkvnTag3DSKS3pFXVrRAwNAXBNQKhW
YJU7k2tIiArk8wajJjUU2DuhH0MnNvUzifYX9NPCtjZDnmV70DmF4BuS89/ZWEMiPKciPOB/PNCH
oojoccu8xaif8oK81/BhilptAUJ311jeBwRWT7i7EZn9VfoaCHrNHILPJrWYt6B9NLae12rsDLAJ
fyIQz73GDhrPGFu5ryMto885icd35AZsNfqeGVi1Dw2EuoBf5xYKYRHf6owIxFAmtLjL0JPaLsv9
+jloMv52uIF9iyF6fsqhI81a4P7CtA5Gq0lH4iT6OrkIHudzgxGwA406TEOEdDTs9zLh0paPa710
3ERXgt6cAn6aZQOPI1viRewPCxXhkO+BodXzsijb0ki484iGVKyHhNxsfZ3VWCZiNMb5cJM+sBmJ
ipW3kDwp2x+6wCwQa+qz28KoKOms2YAQydyuzxVStKC4dTuyvWAjxn9OrlnBSRq5e6usPMjJF01k
e+BFdryJiF7Txwjk0eVESoC9KNesuocx9pECwuHsLTHwMETjmwoOtABzIvIVlLenJF8SSLvKGJVS
2gRno1Jeoe/0jn3JJF6/U0XprloRVvqrVnWAmXiyM/xnSUXzPsK6FP8+T4/6wjDR1CdTUCBoLmHZ
ucnpQs/RguXCWctV2scdatKqTdcDICD2HhZzskYnO0A5pOoO3ezEML/hjj6B9zUelzHZjUIfkiaf
JlfRcAZ2jUZ24/SY+wreNe6JQRCMk7NwwLbXF/0jlE4azvXLoRMUCSSKLzjwiH0DEtiE42hJWR7y
zPYtHTjN1X4S0iBU3Jtazi0QhCa+lPlSfMGdipcTIREz3r7lIL7NSlNEKPBoSiBL1/5OznoHQnlE
u28jIFas3bHlA05PJjfBRXCvm+6IS6a6dKLoHxsMy0s7rg1M9wSQ6S8pTuvYO50ieUI4gygvvHr4
pyLJfMunrXkJIsJxBuUN6KNdw1XAlbvp3WOFg65mBW1hoMSnyWVKtA/o6orxPeMNTGkzt5jQx1VE
byu473zZKQWLOak15gSwS5plmMpjl2jrQbkAzy2GAfdsLYs6bBaKV4hzJ9vBvmAOvTFp/rYq4mBu
o7L6AQaNaNzj5ND32F8IcsbSMOG3dVWM80PE/UY+QWWmogvIJij5ScgtFv8y8V8bZhR2YhyWC3eF
YtP+BW/Elra62GGcMaFzADY/pseEpPvSYuGX8WwaGJUVrvuK2fpEjhFLrqjIPjZ6pOng3Brhb88l
i2ENTQQa9Bhq1Icrwc4/HgBg+CuOIeVzOzZH6h+WNZn4y4Ga/zqSlPsX2AfikcMSq+YDNrzie66z
jZ/wtRDRiYiCMXvadij6vs4u2dXDCFq3OR8p3Ybaoru/iJWjJMoAq5Q213n5zYlsh400x6G7CDiu
Z5f4kGv8koO+EHrveb4NW11qXMrwjfG4BvfwIWacewQGWuyN2pBoWpxXAFdJq1YsdO69BPLQ5mhZ
d0QvOfxzBvIdMJTD9qm4SbFRr96WCoQUKJYa656l2/GDOlWnO/DSqRAv00Yj3gWbqekO0WdNdpJI
XGiegy1tdNpLYeUAF0Uu7miNKLs2S7FCvRRhjS1WzRnbO7Hmh7inbIHq9fqQjru1CUX56YBVvXtM
8IYR9DJY5hUvodgQnjGA+qjVNOQMgzGaSeQsPcxO+h+r56hbFmXnout0fD2AO0F6ZB12Ydli6qpV
RmvbjzPR343F2m/Abmz+FkAQogPy1Jamt6VfoTfe6fJoi9LzGxIZ0wEOsp2K6QcM1Bp32vyEevM6
lvXYNaXW35fD6BvcaMUbontzTJTI4PwWoLmLHpMjx7C7QQGAE1O/I6pVvlZH8WWGSwesxxb5mdia
tXhFVJtxg4urz2exnpkmy2uyu7w8xXLZARVQ963KXdOgVi2j+blkyfxYxkhJB3tDlKbNlQrRrWlY
LTrwcoCFTlrDuGa3RfMrmB2rCqjJ2YWookGioQNwNY6k+qGynOQnVP8m/ygqL9MTRbfmej6RGdaL
8Vy2hWVlekE2WDhjaZ7dAe8CrpcL/jEFFfUEfKNe24hR+yNP4W6+gRqB+yaf9kHXcrKnYxW7O2Ws
ScPTxOEbRAtYhAzY+K9DXFBYskE+VvQ1phIscqqpeJ9WChigNtfrhRA/fscaW77Xk38C0bxZ+7lC
UERrdLOieKaQ17VbtIJhFqm0GjTZAY5uyB03fTh2e0a+ca67co/5johY1KiWIjM17vHqNKLF7aoX
NJIYLXYXbIxjm2NYQOCE+WDHY7vZGBS+GJqa+RsaBP4IpmuMEazUxUXjncwwjZkM3ExJ5vq0LIz+
hltXCagb09zXDH5KCcaz2v8QBGqF7hgl+1VR/ChFEej+AXrTqgV9bqZYvpn1cSpctZyQpKWzN+Xr
9dch3QywOd6BTFc79V/gnEswHoQrAFQkcXQ/80Y3bx4MoOxxylb7RoM2K5BG7qLLuJhlAjFHNweu
FbBX2lBER9VzFeH013uKfaEGm/icjaEaTyqumH5Q0XKUWPfR4hetRfwTlFiytVDjx/FHj64I8p2M
HdOLX2JIJ3lt61+IQ8TJGd00D+vqNnoujgqbV40m7B6UqvkWHKsEficEbI4cv1WEPYbbhr2YhfyI
VxAD4P/j6LyW49aVKPpFqGIA0+sMJyrLlmT5hSX7yGAAwQTGr79r7tupOmV7NCKB7t5r727rpXKP
jnWGeV+EZdcfZorfLsWU1Nhv2+bjBIvjcdkIzn/37OJjYqTZMWRLfdSS6X7tl87ln+sS8HEuaHUq
yphV7XQtNqdGN8FwzN1AzXsAIZOYvQYBqdIsctmpoJOFEr7fQj5VmNH96Qjs7Dgmq6TXpudob6bq
YUi3vGrF3i3d9iPUQDS7uZAj+SLdVsa7aVQZcEPiMx31CbpIKG4kl0Es8mjY9bD+wGBzWBVX1bvJ
slvaNvgWdjLD4yomiju5kRIJisIeoIpY0r+sBrPNfpD9Ytk+psBn5hhoNV2N1WKXrWU7XvW2rd7x
1hkw/HJ4isKZifuOW1dmB7tye+2SJWLxnGq37oDsAPmR2DIBOZJjQeEoGKTcdixBvJTQRTTSa4eU
0bIAtb+GTb6F5wjPn01t0Kv1olUl80PBDxMcp0XGE6JPYPJdaMrgIV9K/dLmS/9BQ5PRcAvHvKrM
DS7cNdZJk23s6EQ3cxvVj1pc+npT9Q6ndVMesqI3rysy7p9yWZNH2frtTB3TF/8sJSUDZxTYZq9G
BH0G3dvknaPVp/YCb3sqnXX6dkRRTbsFeM7f1V1S35VNaS8dg0YSWNC6bpWpy5LmWnvfNO014KHv
1T+bqK7KtO9cpLdqUNrdVaFyor0b2+VT5/Vy4b7f7ljw6aBtylzplNPpRW0O/4V0MmOpFm6c6liv
xDDPOV98lDngbKHbzMEO+WNNDjaW/dUr9fwuSYkP9k2WNcuhmFd9XVDmmiuJo1qSyC3GAFNjVz57
aq6mu4l1if8KA0a5w5VPNq2HAOaz3Njt31evCY8DLh9oAo9kzaOhor4FXRUlrYnohoiRSZXpnd0S
inFvKdq3IC7rb85DAJBK6fzZiZ38cLvqtzQe/Tj7jkECj3GcIbSWbqChRbqsf89IwUCMpTCOT0GS
BTqtasNZwE1OSKGXAxDx0mjJhbas3BGL7OeRtQ24Y4Ex1HycYPbvk23hfmFarYc9acdbcQDxQDYW
zWT1a1W65lPWTCj2s3Rr//+Za/o+alSNquWNbbumRe7liGjwlQe0H6tPAz8nyKkNgnrHtMkY9Hse
40PQ50Wb6rCT6At+SdOwbKRgnzraCPNok9GZLxnDIkRSlqd23Vq+Dsjl1cHmqtQ/dFbhZyr5uNQO
NT8iy4kQQFhC6sizLTJb8Ysg7fLKLprG7oOtkswXBZTC/aBolVLuP+WeNmLn6LaDWYAs1MZj3hcK
7ZwroHt6/5XEmr31iMvZ2VKbMdWRtf8tVaUyPnTMQlDG/OC6I83PnzBqci9FIg7yPSSh7+y1k0Vf
QbAQxrAgXKeL6jDbN1WSHyMWkd9rOfd/+VbFt9OubXvoaEKds2+iCOkMhBJ1KlMUoVHp9SOEYdkM
f0Cs6dgByL0H9rpvPwdep2ZfZGK6W6nFl4NrSucPuebz/UreVn6ahRO/zphN5M7TeuzP4bhRzQa1
rbw9L0qpMe2SVrj364lgLAtFyiSryxoKhYaYJhqELHrfgpWxjfUmPznLNmuz50FLVVxWgI5wH8lp
rkmtivyR9YFF4B0L0TpcACPbRNNuI1cX1VwnzmkNQzS+3tXD40ZcULev3GxoeEKh84Nd5kQzckGf
JNNJZsuSnWevh3iyJQuogzamIKnKuPQvNEFY2Ube9mDPWTkLjOyM/46bLv1HckMBRFyvLdzUGTaG
qwxjx2ingsVpqcXNkn/kRRGL3xsNlDo1DMX0nie0mVxWr7VmvnBBBlMKo8o8bwE9ilKWzkJkS7Kp
ouMYMfPcz3MQzueZvJ96H1bexpUNJad4pluukyasna8EqPW7DKyn+QjZEJxcmpDo9ie5m8uV1/EH
Wmo57nuRxfzJTnFSA9o4r4UKZwBlLFDlTgq0lSUa6l9lBlv2QGyuyo/+bJaPqrJ9sZ+LMvSPkt4M
mYadxONpHPuFIyCJKvcyCO7rU1WQuHvPDrtWHOm/IjbLImdFJ2osppglQzznjIdFiLSbp/7OtyNL
HUzGORDHFV+vEN1/kw7D8RQXNpNUIEW1ceAI2d+HC7+8fd0V04utoTmZCwW9v0v6G2YvkHXNMci2
Uj1t2rdJGo6+HI8hd0T0z4va6B1LbLYcFzTM6Fom8fDH571m/lF7TOTakOVYO4eBLTl5tYJW2XpT
7yme+ge3dcq70h3ksRLT/JC0uUu4AFfCY8MmgzcQSdbcbxpLA1BgPPgPI+jDTN/s+y9tJDe17zuy
S68sYZU/g75LnmrZrVWK1l+zs3EKzA9MgH59p8A/JmbLuYM+FmfiPCYdY5VwaTznECE50tPI8n0d
ld3e6rIJq/PGT/yIJbQiyC0EiDmJymvv8QOBunQTDokbJ1J2XNs4dbnUQxWmUJ6z2snZSmrdLaAx
jvwBu7mQRHNAJsoaJSnJLFM0olD3hKKqfyREJuspwnO0pmWy9X+hYmGBc2bbFmlDbscZL/bBLfLs
ShyubQ+TvxRv6xDyrN3UzNd1VfTtiKo3fFzl1tnbqSg+F8HYdxdyDwO6Zr91PUT3CNXLCyjK+h+e
qAifAWNuJjRArqSX5FXd3E+FhHsx8yQPYxGU72PrMoaZuQlTB+h23bUoO69wMuPfZYKcpDEoo2c/
vC3KNjkRZbeZfns3qiW+DnmT/GyQjB/ZDKO/h2SkmxqITrmWXRU8F940PTW9O/5yWj+h6Eim+anj
wzHobwP9UXYU9ZsNxmVn215+1xtvKtgWWW+VCuq7utsc6i5seKlMnOWhqx2kRO6SOojYKttvdbj9
dUcG7+10g/NtUP+yMd3PWmrqGo3k5anQ2XexXA63wfGhGMPuWC2mPW1uZL7bRfsXmwXhZRgd8za4
g3un5CCQUSUtUWDaPE0apL5g8B4AKMcDffT8Anr6X24mxffBhzElyURCu1QWJDNBstTZdtZ58oX/
joiP8qY/td3JiVr7BAcXvt1e6FPlIemJhY89b7I4G1/ZU2zie9UyAPfkKndE+SIwB53+BORNHtF+
j0miX4yOPeRN7tp9k8hjOa3DnSLrwTjjbwiF73qcQRHMeteAKO74v6wd9cPlfmiH5mfWE5y5L1pI
nPmtaAXtFWmf497G7dSkkHLhW3zbgXUIosHfG3rNhyAPIxjx1vb/heHmhcfK1dHDNujuMg/hoBj9
9h0kfNwAjxTTI751nm5mBtDesRmH49ZMzXjIy2olzKZ1o30YV8Ev623iZcMA+t7HmELyRvVPjTDq
vxlenNKKFIevsJbOx0hD8Vv0Qv40onafULObZ2fQ9bVTYh5SJ6/8o+KuuHebqT4kDKLvUPWpksfV
q/81YJaANs2S72LZhocRcgj93UseVxvcSKPJHpiz6t9uBRu104lbXjV68SmGkUYwI239PTRr/GW5
9a8ecum/pIY4ih5ddJIOln9kZk2d0x0hJZYHUivNm3ItVXzcdXeMyrCt12prf3iZdb4CnCcHygDE
26ljXpds3qfoJajoVnmHcejlW8y7cq7mqUDOmBhkFtUPxb397EY+f5XoI+9PkdxMF0ug4P2C9cqZ
q1EPPTOAuieFe0Rci94TtdX3lMis8OXsip7dSuoPLucI6S7zro4g9BMIYs0adtIVzmmZY33nGMhs
wCFhkFfcevnjS5G/LCG+HF2U4jEy1fK6lb237Pyh845T6xW/xZT5n8XcdwuGi369UKyJCeuIzH6Q
HVB/LsT5AA27svju88zn71dZwWikm7zfDATsK4akFlplDXnmlkbz95QI5M8Q4CwRoMZWycWtpWAW
mWBg4hghtGaNFbaBaeZ9Uw3+mNbUxWFuOv8BmLK9s+CRdx4Ax85GZntayA3L9+B5rkiD2QBCxjlH
naaPPDAqbJ6TtlpR9JkgvmVqKF4qRG/QUkcsjJtVo36Pa2ZG/FYgRHYTzX/5OKh0AI2Ld6ENEpqG
oGArhVvmawcxKIOHhDLysRUWW1KI/+svugoEoi/j7a0xCZ7+BIcXxrHw5sS6goUO05ezLQjhu3Hz
8u5MJeLKF986hXelBWM8tCVCjN9N3c3OjsGa8+7n3RDCimNj/8wmCPhz1am5/tvnrSmfOLp8/77S
a+3Q5cVZf6BZ2YJ9PIrqJ/hjoCFSKuPWB+ASNi93g243OigTusQPbW2v8v2ymSpo+Inmyrvi8ajW
Cw2Ghd67reLE6LM08cx1IBs4elpMUcevfbdq+ybCHMhuj2xfbMci6rLo2bL03HtQNUT0IQhUfMEI
s/1HJnZR7/O1HvNzTgPQPJuaSuEIDLQszjHv3TreHhsRdlF7HGguSnUaIgZ0xS7upnbCgZe0a/Gj
64BxJy47u8WfBr0hpC9Ce8fQ4LfrikkhAFMeTn4PxFFgmttYHNqsSA0HuNgYasFuWYdJWEBOOPe6
AVpk0RwKDM1s45Te0IJ0oyV1+wWyblGpP4e5+2gQluKzVw8245tEu+n+cqZ5zE7nrXMne/EyNnR8
1MM2iRPkWWHHXTyB7vrU69nIliwnHuJ1YPMYLbJzjOJiVj9HEXEPxyMpk49QMP3ICGPwnYpdoDgG
3kJXj+YyYayL0EAos68SQiChg13meS+VlxF3ruEwDwWQX3Wfy8hmKT93MTiIZl68/OJ3kUPdh/Py
NeKvdX6uPQfj7yFy6oV2gFXZtDlqULXzSR62R9DMRqFavYSjdfvHFgHXu+CcbrwTgRk9YLzs0WJ4
BqoWH9Si6+IxbJHwYCAHxz9IlJropJvM2H9haKoBYQbg+Acmhsx8NP7oIjvPnsdAxF86ytOpaN3i
cakxvTInZ6WMty/wHWWnbQkXRDV6Mm4K3xGWOrcGNk1VTLrRnQOokW3YO2K/OArPL/xfuS0i8YDA
ufLr7QcxrI8Zilb8EyMLfgLH5A3xtluTlM8aUjgCezR+dsY8GWU7wuTX7VKv+PGehqQYMsT9yKed
2AT/aL7j24rVWcTjugA8OYO1Xjr5LRAyk8YmKJ/Y3sEBvMUOCIUJ24CZDxvL+v5J5BOjj50SXaWS
vUWnCIITP2ESnV0nqiCTcSKP+oJ1fUQtjnqk8104N0oR5ETHHPxydDy6X7IMM0whs8WjcsBJ3GZI
nJifblFBWZ+Mp0ZR9BxaPqLnptoO0p78lZ2a/oWzPKaqHoue2ZDxWt//3TqCZyQaKuEJNkBH9No7
gVerm8jKyqhX8dUEy302MandcbKJJs34fUYjtN9t+LH3hWnhLxjBZ+576TR+9xxACJVPmRujg3fa
6v7fGAWBuVJnRj3upBxUGx5IlurqWoLcT4gTVnwBmWT9v75rguFiPAa0B6jePOOhVWt3GqNxru9J
VhAJ0/Uyac+2W8x0J0yWZakbAYDuk1n68jcuU1keiM2f5+cSfkkcByaAeFgNtuvdGsWMxHAfo1jn
hiac6Z/qtoNQXhvylHqk7KROlc9e6paah/8YM+FWH9SItjPo3WLxnWuQdMU4H7lOPASDvogKccdi
2ynmGGD1A0J2Rao610Vo4NkpcpZZ08uZsb+TckpaRNbBljLtIilWy3TEru4PsSA3oCrRhP8IN3wh
wLauPz2IajXRKdBoQG/zUrOhDSMD//8mB8MRLD0+r7sZLGi6YchruWcpYNd94i4u54tqXD/gmMPF
2pBEF5SYGZLWloeVL2Vcz1lAbu2PpmuQEzy/keVdk7UOXLCvHCb+h5gpcPdko7Isf7duqXhX6e29
TadNhDU2O1Lw1J49jqXbtO3FYCuq+5PmK1nb99Ayn/908Kp4K0NZ3vvnJg4GHb55mY+feZezjCFM
3WKMCzoo1en4alpl/k0cJcle6KlMjoGyE4ZlWHxnO2WLX833RJJjfd3ooKbnaG24twtyaF6ieXJp
gPyqXvazJsaHN2PwveFPQ9K6izsxQFQIj0XDzpCnMWn6qt4zARXlfRRUQn5GW8PuT5YajeZo2oAF
DruWszh3sKdjubt0oUyy+zoKXWYQmhV68irwWuuDz4HJSQvHmNytDPybC6jCiGDdeaZ56Ly2qq4R
VyzizYy40ezABuaEh2mb3WNomMSetb+wWRE/jN+rD19Uqjkzk0yEd57ctfXdt56N8OvfPPKb/MNU
JHf58KflEtodOuM2QC+xq8rspqEKoYFKCxO0sJEhPwQT8wSPtnEe7HXwEwZTh5ntTe29sS4GGzKR
qmjYD2SiFi8mRpg2Ox0vDZAxEqDeraIvkq+ekMBBMYwXeZETFkhG9lH2pZy9AwH9oT89xcFotguO
6tb8wQ+BwMFP4YuXtmXKee/GwNN52gpFf1bPy5i9YtS2LBiYmVJkO7zBAM2Nxy7sO54vv0Ii2lSg
MIdmYjn1VKz/BVvY2au0GeETYgpHFJKoS9ofm5Mn/a9cgBFIzrUqaa8IQFYwgkQQa3rcHjKjr6n4
nvI0j2fkTWqdLtwvKq6qE815i+1BB7X+qwkOy59DQi7qf1CSXf7Pn287PFklTxw5RDvw2kqJVjgd
Rq0uwLOJZ9BPhafqgPFrMal3PA26vIxgqc1TCH+Qv2gXn9VxK2VkLvNaWmqgjcQnffELaqllF+Ei
xNIZb4GDZAxa9zUZy6VEtJ6l5pnmoa2no26tKPGK22SdTnnguKpJywlt4IxtExE+u21pu3PGKjSH
ru7d79VoXb2A5QfDBJPKu3et4beupcdglNIc+++vZkzi7C9U+jiLnR4hqNMOCiyK0zBro/aPs1TZ
tp5XpaLxPTDkV5hd7hHktFOklJDpgobD4D6eVBUQ3RvE9FeLt4RR2tVqmo4tUmv3WfcM13FDOu7y
AWIxGcwV3D/uTx+khptJyKLpUyPBzR5bb41RuVbXUSeHMDDoF9nOgtmRW2VHbn8O1olhOepU3Akk
xcmidh61V95AMSRRHwHdWbyL6y19ecoomMZzE1Hel5SAZSU+N0YbkKxF4SQfcmwIbNgzjszsshsj
Wer/KOkVoC5xs3QpAfprdr/6NupI5WC4+orkM/r7ElabigvN1DwrgKv1XcF8kVEhuK7TJhah/Mv9
0jmnGU8Z0apZwQB7ygkAKHZ+F2TdsUgKr3vEZimKQ2zXVv6XRU40DXvp1HI+lqR1ldQk8MoLH1CF
/RfDKpYES5Kuyr0rJBOgHU47vLdroD24blUI8gPGGAVDOJMlSG4wU8vS6cwMwa1cVu2biKYFyD4Y
i7I+2t5G+T+bcZxBiKpFzz+xW8friTOeHHMankURME6B6N48YxgZgQNpSTy39c2fdTPZ7KStnqgl
xn7iBQnNtEY/ybmfy3vgGlzc5XTjAfpoLOpz0YwOzAm7NUhnsEPlrz+lTTD6I02E7R02YlooEZVr
uVBE4tv6TZZI35+6AN/Z2SaLbixPciuWH0RKoNgd23VgELMGE66ik6HqyVO2qHruehQzRPGpihUN
Lr/qOTjVwRhCTwIueT4+smHJAOKbVWGsmzNPB/d879v6OC653x6lnabkDx5UTqzUia1lF4oqvPVn
y7bbT+gv+dlKd+EWa4GJivtyDBj+HcBKSWIIvNHN71zPCAxfPOdlDy9imTmlLCrS273Ne2/4oPwc
ug9vxn7NjmCuqvleOwLDJ4VY1KfriFlcX3jezRCnK1UVLtop4gIVtFCTjX86Fd6K+NSJalTQolm5
sYhKGzLC4zZZhmNXDav94fm1nWdg0jk3ErGhhda8VDls0XAecIWVlpiibWye3Ig32zDWHzYe4bYn
dOEHzL3Inzfa5fV3BZEivgKS5ZY/lWJB46XhYC02yFLHTb74Wpv1tPYh/BNmyaVUqVO3dgGv62Ja
aIeFB9tf8sqwNlGsTdLjTY0SmHDEr7wQ/i6wloaf57CbRLcj80KKBLURKpvbmws37O43IouH/sB4
MWoMPMMwhX4qgwWl+iwpxcs3dik0kOTQDcHyX7Kpfv3LCMCxfxHqQu91xLEa/cvHava+naUbpmqH
CCq196Ahp+fhkDlmMqfOKQbe72FOpijmklKzDVJ3aUiQ2EdAnrhZtGMLfdLM94lh8PCwn1HXC3la
JmXil0ZN7nRHpGlnXyvTxsFj34nMvPZIquWvrgHlOubzlrSPDupbuPOFLNm5Q2tffAUM+7NLAC7N
PcIt6qYTS7OLvZNLVjG6SD7ybWPeH746KzUraSe+uf0NaNr3y7TGfn9DJlcWdPVcIQicjT/J+i5T
zqY/gkAHySseNvz69MmVZ1K35UQ+J1kZuueOiZY8RA0n0J3luehOhD35kD2tQ2hwnLOPIl0XPOZX
kjuc+RYqsNGDBMQwLBxKayf9ZzicTZ5Dl4ingi/FH0d76uMETgaZe95w7gRrVFwnHrAwTDENRPUF
GarzNnKnJZOcUW2FONSINYHlzoUe61K2deTgXk0Qi/4P+TC1HvczZknS+NdOLPKunV2ziHRDt/p/
q7ZgP4bvLfFd4v7dgnLdQWf64nv2KUdadkmG2XICm5yLx6DDasNa683Pj0oPKjhbyagqJ3aC3uI6
LBumLnzpzXjDUUOM1w/81pyVrtitWxCAWXXeBee1kUezidpSfNQbpv8Gx1r8QA1m3OcJl9zaH7Df
O/gDOFnHB1t2oTnm3TIGLeRI4oRflOo5OWK4fmnJhjo0eyRtFmXSg46j+KSBCBaeaGClZS8lKPuQ
gloq0roLjBtTeZ8seWFozk1l/U/BbEq+dBUH1iVfkDTuDOwvpkDurIlkksp108GEcc7ssFSmvI4o
oyUZRRuHGZvXOmbaxMN0+XHjDyYvUx6u/Wkg4mr42QOM3M63xo/C93qlff8mKCFu38bQaMxbmbdE
2O0Mkuk7BhqH5JIQdvZ9ahK/P3aFSZpPEIGV7pni3in+zq0ztS+AjoJCDksirzG0hTe9iJXkYnQz
N99S8Epdv8T1eENW3M6l/O/jEYfkFOpZRLuk6bIuvM8bDUzfKzCO42bLaTytxLoUB0nIRUAmQw9v
cV+pCNdvIpel/tFI2SZPbbWhNs525GedY6o3N2WJ2zj/mnO+3pbaJ+DsPdUlc6arZhZeHQK++yTZ
V4tK5ElFcf853Mz/eDqTFXRk8t35Kx4t6Y1XxnwITPRypLhQT7M08D5qcf79zmJZMIunx2up+T10
hvJ9I41gpmIDlq0o7EMITji1DOMgbEQrPjVZpvYnUpQ1b2jE6KG7Zhzy+QHyYN5u/zAj02ZOcJp4
xjLBLtzErP2Tm/eqig5r0rgMnTPrsxoEfBUPy2QcHw9759n1kXuzQYQSFj8HeGVTDVOOuJ5LeoKy
CoYaXtgHGygZbBWPWSI7sccAavuvZR229gyn3RR7VYQEHsSUO5BFhZoJAGXXzBgE8W5hFo+w0iXx
0j/I3NfJ29I2CRSvbGNH7ji+8o7+wyObZ8dsbAnwvsQdHznGVZoWeN7it83grMdaWWQca4fCLdmc
1AeNxT7edJHAUBYo12xp42Q6lo/K9ag8LpXs2NUcdo23ts8wN2MevNJY+eyqZgtrJH+WiePPl6XX
BE7PfL8DXuA1iRg0lYV/JBTP8V50bQr7EqxMvN8sWQnuLydG9DxmBJPoO7zD5LdOztTE2S7Mgywk
SiFq48d5tFV9rYqhwRKqCskWl1O+ypnlib1P0n4JkrvmkLXNbUMpWrhX1rT2gdGl/d0kY8uXkbvu
dY4TUTzhgGtpBfuGUiY1mEDMSUwtgvAOGBFTXxqqHOEfpS4nl6CGusgxdVR9RNuKjSDrtwOKL+PT
GGafPkwUoewPZDhNyRND3bo4c9qgQDHwE1782bRUvb/WvvMYG/LtwfljPGQkhuvXlW+jWCmXd9jW
QbmIX2SujAQUOXxkWq/yMmE2lWnJPdWV+0IZBpoRS5e8V51BJtl9ZEq1fVqiLwiCYydUA58A5J3x
aPnSjNMh6WBKAQHz0vUOhANBydXOFA/PGyoU834glQTkTIzkXEarAi4niUIXZ6+wts4fbjE3/UH3
2wq5NNCGmaeKoYBTXMZbXVZQSGACNOk42QYmCVYzHGN1DeeJ3u+xnRPsCRD2gR3/0Qnjjtyj8txI
KxOWevnRzy4RYEc2sLvmjq5/db63oUs6n9V9fe6JoyeXamRB0NjwjW4bmkOKPzdbX3SbO/UrgS5x
OF+izZetvuIyseUjhpzy2NB8V98M0JkwIVMB3Vlsp4SHeO74053Dkfa1tfPfBUMY96Xa5lfmEnF0
cpqm+C9X8Ke7bQlGP2Ls6gyi3m0cX/5RjMn2IXkp/ssmIprYGESc2I6W0r+r5NLP/yjv3WclTYGA
OeaJmwYj9iQMT533tAzMqI5aZHl1EbFnjrVecx9n5jK8TO4N4wBUnqLfLjPVhmSRmQgZSCFAyhmD
cvmjJ2HQPObcwtWfCR+n49KVJ/nE0Mkb/PmNczaK/Z0TNuH63k8rFcaOVsnVx4bR3A1D9cbtcWjx
I+JQ3Ppp7/buQOMjp1tHgErBtmb8P9CzeQes5C14yuGsweSPA1c8URiRGqIXLh7nj9Y5xDcmH/86
B1HenKCbacwnosA8ntGGjnY/Vh6O9xzPV8awp0BK9+t181I0OvM9eYbM+wgs6iegjg/YQOyp92uo
Y9Zq6AbO7ByMbVddy9j4LmnnSe0dzDCU430Budi9BKxA8z8Abq38ULUcvacsZphxJ9hp2t8VQAak
wuiw9voPRpgyuJCHpa/t0C3M20OTJLA2xLqekiwnOJcfVlSXUmeZBUJVTej/gcwzvbPvS4LgLjA4
UXnM/Q2vVug6iXgcCj0x7a5XOp4dEm+8vedVUM8PgEOEQMz/T4cnVzt/lqChJExom2zXpBah/RTc
lrGlXGSoyVTF5Pwb7LtxRxA38rUmkBOkOTSFqVM8gbwrL5XDrHWjdrBFYRjCJnW0HPjFLUmNJQJK
Ajmv0XVS7QO5VeBexK8xIQXLzcz04TMwldBmMfN7txqEvKOMCp07BXs33gnsTxIutGqq8UMGQSeu
TgKVz/g9WDyot2SY+rPHED/4EklH/BsLE4L5YqsKl2mbNNUTkOliqLj8qDq4QU/BQF0zc6rE8xaS
6UJoTAXjHiacU4XL30xXA5Bc1otsD7E2S3jUTKnlD4/QQ0yDJYbWNoULsV80zcucxnThGEjLef2x
iLJkgurNPuFKCjTy0evmrbmZMsJnVo9P00HXSs2HAcmxfJ6zOfFThxs9f1z1ejMfzOXvAn/OowJF
xIHngjsfQh2sr10JU33vCwK47haOSEStqveuGu8SJTJFB6PyLcIi9cKQDvcmCU2Of+o8nNKA5kzM
n3u/yi6aIw8r0ggV/8TdUwy7mIMsPt9wF7kjXqJ1eRJijGJyDEMMTVEx2ydg2cr/O5MnoXCKStb7
CEjWtcfENXUDkDHRaHlHMLHUwCQ9kYDWBMzEWqpeFpIMZb/OB7b1spBAObT7nIyzJIR2X/aOnUiu
ECKhvm7cf5ynGhipwzRXm6sqgFflCeNYPqYu07DtMCyrkow1vfpPvKxeO+yXuGs+yfDEOFxEYx3f
dhtakfCQMsHAHYaxtQVkbPPpytJFzS8984hKOW2BiUKS25tcNOdtcfT6QmgH7il662F9W3OQYpJo
TCnXp6ap/H+d7zffeECd4JQEsXr0M0rMQ1mMVFWOoUehVaYlBAcf2KiMC6ywvwKw1emoKLYukSpI
jLaZ0ARObIXPZyNF4TazrkNbHTOE31cw+BKzFq7heyIDG9ziMNrukZ/Df8XaZb5c16uKc8kvpz7q
vg+YKZDIuO4iihRx5S9fjqWItuJHGyz/t3BRjl0zhwWwKREHSL40rby4/+PozJbjVLYg+kVEQDEU
vPasVmseLPmFkCybGYqCAoqvP6vP2w3Hdfh0N8OunZkr2StFiBVz/sevo+lV8oT744ggtpeiH6W+
Hzu3f+MTDcFn1lSD+Q5zVkAstceqPXnFpLubvNYoo32nsnSPfgwPJUsGcgieJfyOKtJVewVdAst5
XjTmSWBhtyeH1TToEq+usguXVvtN/XEdHVZdpM+GVaC/UwHT9b7BCDVxFRC1ZF0Q5vEO/ClW6oxG
EdwrenDd9stWY5htubiZigqOhv1eUL9QfVdtDUSKxVY61ASi21CUYueiKmNKT/BRkjDr6yk6gSLO
AG7EJWMh6QHFjWT3NIt1aosS0ze7ZWJH/tspArXciB5EyKPrZqm9UqEoVMW6rWoJpKH3GDDXHgPr
pnQHFLhNQs6u3JuqcHCcgYEL7zMUxr/s65zwx0Ay/dCDV5Qv6MA4PyRy8z36IKDYeJ3FDVoZb/ms
d61zYssZ/7B6qs+JA6GLFEaQK4LrUj5lnMXLQzTMwFjIe3qwlsEBNwADKI/e1hpsHWAWwtP4Zsln
PPikWlkDpn0BbKBaUdh5ryqxnVD5+zeyovqYsvS2jFgVOA2ghMq9T+HklDddEmIoTv1sDc99wu2P
Du/FD5k7td12XNBXzmwMp5qJSoHlmzoPW6PiRbMj1jkq4AN2vhe4MadtB/LLwyYVy5eZ45g6aC6Y
fw7w1Ct5oLOcUfGiuoekSpv0mA+xe9Ooug8urCzJUw7VFfPC0Sp/rVj5wPjjtCC2QFfjo0VgZL0f
1h6Jb4fKwru+lf2DSyFyvaX+q/2ZuXDQZCdKwyO2eBRFILA7lJQ0CLcbr2i9iI0I5o9d1cqK3uIp
GeSJSQBhdJorF4sZ8hFdVvOqn3kaYN5di3xYdrCLVryVKM9+crRjv963MlSPYzoH9TG6KuIRoo08
RosaILQmZAGK246KrsA/tPxQ1QkZJOOQzFnL2/fOEEp9jhVrF+/dU0449nvChDleAJIlze/ZRF55
qQbiukemtmakcDVKfywK221qvFgdx7mEbucTNPjI8YEjlHJmfo/geHD0Y3yiEyPiPeGcFiDC49dU
E505Mmmu7S4rQx6FrOWJgGdVJLjFmJ2D2wxuobtfWXTZL9AniPrftu9aotNu2uQ1gEGVutSgEsON
M0wSfXzr8jdl84rypnjTyJ5HBtYQnuDFk2dsg5zp5YWX4R3q8nSxFt9yljXv9ZCsp27wTPZRu2sK
RlEARJoOhbatJlmBM3dn5ggAxSA8z98If0ruIeoa1KQem8gB2y2akeM4YIRij/sN17WmPYmEaUU4
mtfXip1+Gc1HsXj1AhWoW6qdDyAs2aP7Q+nVswCXwxVydolf6tNEV+V9bAu57GRjJwpk8skU3jPV
I1P1s/R9j4KQxgpoD3AZz/+FaYrKg73gaNTdCC1BS41tl3z2KC/JnpUcW/CiVsKcVDMSC4/TzJwJ
noXxn9iCefjgGW/zC5AJvVsSfOKoKWa5KfgqWYw0MXxo/BnFj6giiqZ5i4YW/aGfHzjDL+1rDWPu
32DI+5FDVjW4AUF/4aYY2qFqdn0x4yEmEWSzS4D1k3VOOYP4EA3+nBsBRB7OSdHY+jhXyRIebKdr
+1IICkIRUpNYnXs4pjkGIZH2x1g3IclaxVp3U65YaNkFw3utWEmiaJzUnC/4r2JgEhnW+fKAYYfT
ppyX+ilCEle7YhSVOiy5MABQ6op3ZxYns7lbVKnOimudbJlcnWOjruV5pu3dp7QvnXhf+qG5rP3q
4fteubNva5ykJKS73tyUPtH7XSZMheHfFthA09RDAt3Q9aUwFo5yuCyEzjlBrY6+tFlPZq6dGNhe
NQjS/CgmDjIbacMy/N2MJKw2FQv/H16x2WM8kLg/EhUrn5zZCeAeXMUi9s560ZiZ0OCdDdwOtKnZ
W8LfMromVLhWOLmTKoSu0pMs3Vmvzx81QAL+/jRlvwbK4+YdOQqv/s2e3fgbjIDrPRSjMduyPZL4
S9ncweGqQyzjiRQBJt6RSNHBI4CttrGdnN/R4IwL1gqPI5wpQbgRsx+/FzsR0LriGXAkRXS20RhH
mLwpOCt7tAK+LZ0cgX54Pl4rqMXz74jNavFQl25miCg7wAx5ZDZ6fOy0FoTcyRmVx9yNmGONMxE/
oMirRUdYqRbRy0BsYEkARxOva4qj7nxl7nomXXPqqzn7nkoewmxW3eU1s9Ps741dwTcVqHf9joUQ
Mw30bLff1jTAnACFT2zr89K8JlkRRofGn2dzmMu5/5MnDNrXQ/H43JZOqEiDOoTrOD/4kHSwzc5k
h9fgV42pv95XlfWrzZKXXMRBzYt/w0l+/kgyJdtd3bZ+uQPyMKF1KREf27UrCACq4tJktn4bQUxg
imzb6jfGwqy+VbBv3z0BN+cWXJH/hM5fv4PUWVHzRDac43gyJMox4uB7W+1MeDJdVr++x58W/0VR
zeRNAOZtPuOv6/r7JArbGzMoPKQAIpI3gtZA1KeaGDXOq1LZ+6DJiNQXFRJcPk2lv0dUMHsshZY8
WG9qVjqUPqkrpivFzAu4KPkbTVNj50PAeX46lCpEeUgF/O2DoqAg3QKdSM5VipFlRy6xmk/V5Ec3
ABHHI8jCkbDBnCc4tWeGk3uylI27LzrrkOJWdFcQfsOELrDXHgs/pylnxGvHyW+1Fc+eSrrRARDZ
+ualpXDu8g6x6oo812QQIQNwA6fgseex+ER/dblkrZoSeV9HZeo8I02hHsVLqMezG/X+cLP0Wa0P
BcZvZ1M6SfJ76VPQEzUTH7DdRRC/ioYlc0+kITn9Ji2CyGtfxSGiu7PI8INweRnz9hgwTLgVlObd
YKSXdljGLT6myLcS3XCVbdvsVApJG8h4NppPTyQcNzbpkI9vEx1g7H69Ue/M6Mjiub6agzdjmzj9
Q6XpjDqONeWEN0RAHXscS1eCBZt6jDtrX3GeHQZ2F9sVox0HR/qt9MVMcdv+GSAcPMwjp+5LqkHE
YjnFl88iJgALvhmHMmovbPgBicG1m3pcEy4P/9mSeNx161o+VYGs/6R8xpeh5LBDpp8vkqXlNL2C
Ax01C8d6Rf+VFsg+jHPkARXi//ZVK1mFZ6pqd4VcY3WKLJ4tHmtV4p21TOR5Gaz/HsZFc09dMSAd
D0vbe+4KCFyBFJBJWWIuL5bxCd4LgfLhDtckmnm24OAkhG68buflTiu/1pl2jDNtg3F+LAbO5Jwy
2Q3vFLw6QsMOFEQwKDxuypEoxlYEsFw3EvzNG9otP3Bp25TnQj4t44Hpso53VTj5gIw7p/wYwmh+
A1vODlGBeHvHK5FWF6rsnOEzyiTleO6U6wM7i9q9B7gc3rU+cgNKZVH+sW7WXnJd6/LvIHxX08nC
WppBP4ZuSqkDohXzMLDKabIjCtccrP3HTBSO6ErD73bCql++jZQkVG/juPZ3Mepv8xWHQdg/4oea
/41Q+spt7a3eb6Yp1Z5hUusGL8RcfavQqR6bwa0w6EUCkpyt3ASjujfa+U6ELtkhTjRsTsbE1fop
yUPERsmvfbFTWfwxfuo63y7RWAKKUlt54LJIOctw/Kp3npDkgJAIg9MysAq4gW4zBU8rAnH/wUlj
6f5BZQqX29rNRfwkicn7Owz8S3X2umb8mbzEVUczJ3V3Sz9kjZJThKiT7YztbNPH/TKxu7ODu5tF
xHJpM4bO2r/UKmiSR/y3YuFfbN2/XVUkwVmEsXD5Zyfz3I11Op+HopkkCQjPG8C74s195GhSp6+K
OEK6nbCpL3sNDfZ5wQ3YoTiY4SYpWbm/dPB4qdbwTXis2gH8N+M9gCXSCCXGiE9calF4FwPaLTZT
jN+TEjE6Fk5VgvGSoF2ZVIfBjfGEJagz2wAs9B7GOA2cpggc/1HPlApeUivwhwICNMsWEYytYjMn
y1NuMzq8mNzHaWv9IvysFu112bbLvGbeNCptcGaHYO6wqPQ5wR5mAgiIOvX/Bh0bgzsX49UvAHul
e0zRJSTQIDE+hzPvqF2Ud2KlS0SV408ICw2lL2ExA4qWL3vf8DPjrRkKj83KOnThrihRmS95z15P
hI0JPuTYG/87Zvi8GehDYAtIKU31xw+sP2yZczpSBdwQuCHSMTmzafA41a+NuhQjDZM7UnApWNWO
Q9U2p9cBVbMc9GcbeDlyfafDkOCw7L+TqoUJoddAFwhSI15/6L3rj5P6HCCgQAc/a0M44y6bjUXj
iqsUCaDjRNMPRnBS4yTcbSjwYFoDvItpYNK1w6G1nYDRQd2UXEt1UA8PVKuwr0G3zeQ2rGYLuHSg
1lFjO9eAkSpqRThldVfGIF6oE26IlJ2YwTDhFeD2UJ5UNGypqm17FjieeGNgjwDv+y0gsaoCxOLn
odkI3kr/PIupHBiu7v7QD5DRUcGJgidxyppu407p+EjI0/Dy5v2Yw4mM59cZl8kfCO/AGZJimi0n
BxccmOtPOJ1DGy4nj9l42bCGIdzZg2l6GnCvYhWsQaZsegxD/g4EpPnMqxWEaMXiimaVoInKu2KV
kDIkwQRcveHUfawDevvVXSRhSc3Nc71ac+SKgb8D4sB56rHMpMxrZX/2k8QlRRk6AjhwZYJ/fuKy
1XB8vz4UtnK+sddj8gp1Uj6YRfGMSyF3KZa/tX7HaAEPVpZUj7EKFcO2UteVsUfM4ZoOARe6S/xF
vCuRuy9DM3XtHj0a/3VlGsEvMU3LD3uS5i0k9xdC4EKp2YjGNxTusDiBQQVor4H6FoWkUpv1s6v6
+nuNRA48FI2GbrwmIMSWjmPK4q6KIhborFY3nh83z/ksMSHVM35bPtoU/bEgVE/8aJHd5kA7emJv
ReEc3DxS1IHbq9e2qXL12DdKZOQ5C/YNON1G6ktsAneXgti13nqczl5NG/WPvDlreIQhD3Tiiy09
9hGm6/fGnfHML3m3/jJNhAeQO7PJt3KK4ofCm5gTOGgbcpDCsfXGeAKPKGDNDrxOSqbukBJ0ibdU
ODceB4SSBTjef/U+DWL9AhlQSvKZmKcz9EJY8uGU/7sejyHUr+7yImUVQm/Da8UUx/fNyJax+rQt
rR5BZxxibZZYskuBxkMv5AJaFzxvvLm6LY+0zLQJkVpNlr1kGVJsS+7nG3B2cX+2NWrwJgdjQTw2
j7G3zsRcPmdRzXjgIb4+TZVAVqrbNP5Tk50FWRKR8z1IFcXvnm3Ym9eMsM+sOPmfGFmvfTXFwI3p
jEbJ/dpJ0B4DkL11L+K0fioyL/9S5goaJGDnHFpeO/lWq4GrC/hNeh95DfFhhge0Qr4IXsY2TZil
ZZYs3XYprieRpm0ZkmoRddm+m/yBnV9Z9HgpqAp7w1yK2E4E5pq8tom+mTycIbsRn8FfZ3WyvxT/
aIGQH4ubNGrWXxPPQbNNhlp+LIujczSnongjCzx/1E0oYlJfgXmIYSO5286fQe1NLm+tTcFJ9iUZ
vJT9bWRABaFgc+b3Sxzr7CFwIRKjqsJzKYfuV2JZap1Tvrw/uAjBhsCO44S/Vrk8S1ysxaHugCHg
ARjNvjWpfIhC65j9EDb5RTQLj2R/ScscNEeoHqahjf/YgtvlQCAjcTZUJolmDysSfXFCpWANjfhL
+0DEMXRVC5qTCZfZ34WhhqmKFuX9eLn0MPQFSzicCjOkT1XjQ8GYfGyXuwVUcbftunEGQqULN6g3
sy8EF4s7B2cCZs5XwvYpYQRfqnu+S2TrgQbIG5QvPgH5n8wcWsqbOGINi7rtStbduzjxLX/Cpv/F
T9HS+g0Kj8fICJefbDu5afIp7H8a7+LnTgo3QYHY+lVijpKHeIDNTxSIlYl+rDXO2A0FSty97drD
mEBkzuLbLCzib1doPN9+p/t/84TxgEaQbh7p+RzheP5ZPUAowabxlI7vrzAAzGhcVh2eNzbUPkZ+
DB2tOM6gvM1HTQRAkz2mUGEBRIRxiTqZtDhhrVasEvAwTCPFry6T7ocMLSv6g+UQGZ6go6JoIqiB
G0bI5pXT5/FyQm4mbtVN2p5KehAYDWWV09WVEMEOc7//KnSk432cezVM5T7KvxUPpi8JNRjZfuyS
nAN2ztZuaUcCqpr15E+SqGhNt03ey7E7r9r34xv2wIp4bYKrlq9fh9oEl4kXUfOXNh7LoXYcRHtt
gNLXkwzUtoYThUpM8lt6+MV27GSzkHgZisxRqDa/+A2u4+11mAPQXy8E0SwZAAKctR7K7VqwcjB1
7hHx99P5C0k6wHngqXa5WHjmCaR4QZU8X27XzLiGQLRO/XNIyKKPSPZIqj0KJndyyxkrmhuzav1W
uSV/j/YJqx6KhX3IRtZO/JWkQKyYyogYbFos19XjnFUDBSxVWn1LNq7JycgxfnN0PFvshhFpGr/p
zL/eBmTEGmCR/DAOJF5KoTnU78HyxfqYDH33imtRhxvD2AulopUN1TiZXuTbSKHh6wyqGy+Bnwz2
5C0+GOuMDh17TMhRq33YtW6zG+Xo3yP5mJFHAWvXeENeq+pvZ08X43eGyur+dbCrC94SQw1eh5z3
cfaX6DGbWbj+UsWM6lz6rppvuipuyH9DSuvqLbusov4yyJ3jsGtz4sXMFDYjfbvxyPs5F8423FyY
pOXPZEaIf3wUp74U7eoncFiGEDU5LfvwdohxYNKhVKTlZgxCRZMUEKdBPFB1zxio4P2v8DfzCCOc
X1UlDpB5tltUtxwWF86QZtkrt041kG5R+fMDj5a8+Ruic+tTwN6Wng/DUn8DNChrX4izd/bZKyP7
bHGwsqlappgbvIuAFXKtFjMQ+LUULyvL95zXeDLlb6Cck+VXPpRTd3G9UYi7nOZvHndlGcBOIC6Q
3hqsfLQZNcTh9jIinUTYuPpffyr1A4uEEsCRKiu9UzR3M6qGCCwbVu3p8BAbbe2przt9y+udVw15
u3n6YSNGm1GI/QjPgU3xl5lW6LfMlq28m6swCXeu4b/4V23KLvggROrJJwnKlW8bRzJbV8BYeIco
wjIPPMQ7RmsinnhDabpwD7Mx2ZFpvJDbehbo7Fx+pts0GHmHLyzh7EHBGmF5TO3M7g5GD8zIrF6m
/o2wFNyLLNapuUcR6MJ9Z1ixf5qVe6TmNwPbe8DSUBdP4MUQSILI1O94JvtoM/Z2fsiHGaBRu04r
DlHwrfLk16FabtF0e/HeDWqddk6oI4pJkL2JcM+p65X/0AoW/0YTuRgfB/ru1HvnR1wmrFLYeoQY
srnof2ZkXexEssGNsXqDBB5qsNrTijnj1uFQ0tKmAHs+IDmDeqRuOZBy7Gow+gRPlFHo+M2HzUXm
FSdG+hmLKHefQRlO0L445J5h0Gh5bzCgDJcatfbI6qNtMeHjXbghWQKzZ/VYSn7D3gwRc/A9C+em
mJyofGVgxCcPh7/W7rRtSnIsr7HUbfBKBsyHHsgajgQfPkhnO8CrIDBIAtkFbQ4y4LXAChEdGffd
E86IOn5F+6OCy8NWWexUZMXj3BS5PYWwDi7znHmvaVIRQHQIC+wr0xbnsHVZvSFZZNBUioZhKRm5
9LeLP9WXpb8GSiKDdPbUOEjp55H4DXle0iJEDSYLjAdX4ejcrFgic1KMLijCB3/IKIr012G296hI
ODUp9C7835WHaPvJPVWGe3yeOD44qYS8wk2NhfM3RfH4LiUbBarbaqmnho56y8KCIVcSitjIgHfz
WbDj6u/aDvGeYFg63vWJk2AIdGHuSQJpCfFUjXpPAAGKdJ4gB494pe58P+lf8Ti1X5xhZfqV8DG/
jBxYaFZCVAgpxdr+I+amY9ZltUBCWpYlz2+WLsufMGGv2W6EdjBsDVRXYCWoB3csezW6HL9SUW97
UV4fRyFhrm3vNGIXlkHfPKdWDd4hWBvOqeOCdRVayrxa6r5c+RDGTRgfqqRlURDGOUJEOy3QO9Km
T3YBmhJXXVHM3W7ifey8h2x0o49xdN4yAjdkKTrnGEheFUHLN7yhB0LEdxS6rBObG7/jta7JFwlG
1kQ55X0XLCsh47EqUCd1j6AWW7lcRkErNWMa5HI6N5LGqJX0QtzddbWr32yv1ZXetnruY8my2LnT
ENGDR0D5VXA03O36GFvuuPdOMF5tRg+8HIy5ZKqO5Rgmn3key78xDmIGgjWZfqomauh2GIyCQAC/
/UWPUUPXJlU7LW6cdnnnXIulwxaTdwlanFIUes05w0hPUuuUssAkeU07SX7jqRCWEAYJUqRrQdnC
sSCB8SXxLdiXK9LAPiR4TiGb9mi6+8YWWbGNMBaWx9rtC5o9m/5PndRuxznbUfgmnWT2TxnDWrcP
8fhf+gRVf8di3Z3ZKSoxQ1Ql7Y3NuaofJtuHCEiAUdx3ADhA6IBTcwScZCPWy7KWsHk9P1Hm1ESD
6g/WZeeON6cX9ZaSV885VWS3OaD7JUguoANjtKWJ0WUhKAk57VJUsKeQORKAKKjjYcC7agquQ+u0
9lfwf7lM2S8FSVtBy9sdDvvlhkkoyO+E6NQHJ9NmOAovCmEgDAYeeybyYUdKSxHKAZh28KN2PjiS
TpAN1bl2OTRDooubpsDyDvjES1h4ctOw5ItmuRxT5KXm3mNCWG/DMJrC/ZhKca31KKayO4kwDx5T
MwXqMyxojaYrxA7miJgr31M6w4Cv1cidpLJjGGxw5GknKIQzzhyXhABpIJmogqiPGLeTPIvUU2C9
+iaI6sKBausP68FjOaYeo2kd/ibYXlEwrI295nboMrsz4oq+Zru07iaHXf0ty1rUDacj3/A4QeOn
54a8xWMtYlUcPAaOa3FJVwYfPZ55wudL4Xx5vku8DaEnaPaY8YxfbCdYE/UJ9WF9XkXWJ8tRkEYK
GLCJ6At+jtlHmPdXx7nF0YQ9pGlSRs0scpBhQeiR+tRVeeBx4jxiYFTethtJWieU+VVRs4+jQE7b
NkdRwFytfU6mpjW/7RBXt+GCT2ubsHpPjpHxox5YEiifiFFSMuFubRNp3uCkAeQNh2lvwdof8SKY
W+jEKCIr2IEVOTPKE6yvbbRUzq8cC+KtNrVcthF4HHugOJDe097BNsBEySQMx2gdf61kgpoDTjyI
yKOBSIR9uHviAee+0AiSrk+6lwx4SJtdy6y0EDmr1RW5HIaNAwihHj/oqcPT4WEjwhDbpm8pRrjf
aImi5DdcWGDgjRL+qWvi5sHrg+6ra6+wkLUHkdwnifUvpTPw8h9XsYBRKjv3tlGeNd+NWyTqySW/
eGBgVpzpbRi1r55qwuws0bnrs8ui7BgUvsZRsbTCfVKoh1g+vEh8Bd71SiliMVPz14Ud2BM/JuVp
YR3O+4gmkpTJxHjsvj0vU7tVZUC96YWkKwgJwc9f7DKlwa7BDSF3C79Ctb+iUwMe8TR3HjhB2ZY3
/ajLZ23dyT0Ghr7NDQQMlizIaiA0JuGS02Flbpz0iJYcoRsOWSrDYzopc9VCBn99DnK9/FBsEf3t
GYkuQCBz/AmCsurjoOW0vuElZ9oIvSX90UZl4532nPSRBw5ALHzLIxQxH1Lrxh+Z8m/+rwT5cGfL
CxILvE7Fn1FmVD27PXmSPWBynpyNylvnyxkI9gqhq/ihyovwnaxH536irbbx89zynMRJyavQpTd5
VeHWC911/PSXyXUQja7Oh12e93GKGYTk8mbmBIBBvsmVving8MpXLDoBJCw0UedzWIPgFrKV1fAC
S4+0VFIZoOMm9MGlu/wB9NSQrA7QqvY8ezKbdwT96wtOvyG74yeqP0l0VnRsDEpOtDt0w50ZIHiC
tFXTdDt6OR1ym9xvMm5ofvL2K2MvFH0EahgEB4e2opGLlStWdc5E/CyG35cJD4JWwLOnoXY7Bidw
IfsHJWYkx/Ib1EES8wxw0+lG63hpT7XErnsI4HLqc86EF55cP0zvak6S62OgVjwfg1yXjH6QXGQ3
nIIxY29cdMr03F+rtx+xFKzr0S1C5T4YH+Z4AxsNJ4DXgLHSdW+YUls+LfHHKhHhU+tX+nzNyK77
7ioQAMvwHyO4VX+FZZe2mzBJYRamRnxHANA7kwqO0OC6OMuG12qah+nP6DRDO+L70tI+d3FeO3s9
L9cLXYiIowOT1GsmKoqgNzMX0heCnCM+rwYHfw/8MPUfvbkwyU2iOKzdNY2MzitNFuEFcyVbwZhb
fPzFEtPUx6T2nWWbD8kIB8bqYQc6pR73A0sL3qbxNQW7raMgWr5smg7giLl8l3HdJnKd3xy43f5D
CMUL9Zk6adb9O2UdMvDXM9sdpnbd37NLjIZDx6ECE0Zec3DHz1gtX6NtDYtFreY/5axS+xhOS092
e5wSenJ43pJsC+dwemKT4nnY7672Kl45+T3IS9mwgWOhhpZPh9ZWhHZun+jnHOpjPqEnbmcqQ85u
M0bUW8wjT9GqKFW3g9YnH66JXI5L1DEGm2jxGuexpYLMbkJ/oFll7MEtHtyZNDjAL/rfd3PoZC9U
fgjvjMFX8jFMNjUHDUXgdenh6W8BpkvqUpYpR31bJpnJQ1N4zpniJCwrooTHs0cJZZpSY+z125Im
T0I4Jc4m+jjK0mss0ODM1bsVgE508Nm6fbtJaVPkiGS4Zx109WYCn91lhLFXvo0FPB+5DyaQOTfQ
wFhYNO2BBQwKO1DxK+hMUBu5lSNocb9Xi6Z4xlfzjqVu95iVxLG3fTpwUsDgrqlBuBYCWw++3DYe
nclF1RvDP1I1pnsbCX6LBxRfV2z7KPNwfsInvMN2WN1q4Irrdi3JlVGK1pTzmV698q8HFCg7ZJDO
bn2piwzsgd8vb23ZO7ibx8S5LSlRii6F66/JuSjCroaPFSx/E6FM8YtH2fTUJIXszki1RGU3EoHs
qUy85Qomdmc2ifGEhdSnw5Le8kVxuJhRTFlEeYw5nhkJ0FJbPe7TLu8+yCCu9QO/ZtueidDRy2YL
6Gc3aIhkCrjMfftTMvLwzjDR0GyJ9QmKCQQr7B0vGuR5R6UzrdwtDUQM1GkdUjZSYWtXxO/jjWeI
VsVwcl08tkV3rmFHg/BhG3aSPY0ToANZZu0MVqhqvyKYPq8YA+UJlTBa3upRkkEZADecdKCrbIuT
/Vo5Se9N9zxm2HeiZG6cl3ghWcnjDbHvkfVB8OR07AUeM74h2tHzlBVPQH71KJ0Sj6pC8frqGhqG
N2rWBmuBDJajY5viDtleBMeSJ8h5dpc5xxkCe/M+CUJDUQoP4NIn+hrG7QO5WfcYUWIDobJr9XCw
OX7+F+TK7JXe1Fad2ip2jnMzUj7i9rE+VzH7xqcFubP8IiVvwNrF0Vr86NKh/xQMKBc+Aqnf/5pw
bJyl07tUZC6E1qfeyZrLvBLK3Sy68sEaS3L125jQszpbAwwbFSwJ64M0zgJox9LWwJ/MgHU8PufO
odKBrcSEmkaNSpg9TBDvljMkH/jrOXDPf7AODVYmdL1nfv+czxfLQu4rHxIBdoKxNr/qOu2IU0s0
Q0ElMRtI9JZ2z+tQB8eRtw7BHHqcvI22NdxRkhbm0rRoVY+uJgTF7oL4MAWoRbef+xLMIALIyvjr
1iMllvOQrvt0niHlhqxk5CUAXvqYT1TWbVWeV7/GJi79Q0zLfEGZ+ho+2NYb0z0xpT4krHhlbq9I
OU94aBA42On6uCFKL/lNBgneDRyRsb/vWIrLDbYa9RsEXc7mKb2CDUtGOYSxiQCNE9Ul/XwlR7xN
aKEkPCWzi5VQuKV66pjK3BMHBfErHIyHPFzG84m60XZ9XFzMWVjQsGITpl7d21IB3qZfQ8XJcy6b
WO9XUWrWwqP4x0Z05njHlffDSD2f8YliQHZ5FkNGmbT77+p9pnCSFkX/3EfKPMXgjMKt48y4fzCn
ERu19HxdYdg9lUSmqn+8ocDAvmWyiw8QW4L01cRDfvYgWtZ/iS/54OZIvwqMfMXQwx+c2czTz+0v
7nQ04CeW94DDrPuTen5fnGLsTiwFyS9DyPfa1ykNsc+sQZER/816qj93yGXTeAsPIwYkT5povwLf
J6nQBvZlgAPCpJXkNvmk+k8C2BFwAAGbtPk9nQqWW9r6eI9yR4oCSuVSULxYYCW9TeOi/DfICItZ
BPhsZCkTlx4ZhWu1Jtl1hiI56exl0et0mS1i8bajgzbdumNjaUgkZ/YgeNcMr2Ebp91m6Me2OLaT
E0CESJbsHkmNDy60oUuv9Tpxm4wgADc6XYkMzBhYeU7hdflmwjYZ/3DA3n2jDZWHJ1kD+ziZwemP
XUBI/0grwXUydBDab/qmr06LxuC/tbVcyfRlnr6FI7t8Y+5pavoimLTubWGCdJcPXQyq2GB/38E+
DEmjRrAO8NjT2HBydWwz2geClCo+r6nSf6yLeGSACjHJjhOz84UtmtNj3rmQG9MgMM17ZdMVmSkk
uf7CuR5SqiM5Mm5xSGAdE6UUJxrzjD1Eaxep81znYXdh1Fv4Pwon/AddbwRYNQh5TJM4Bu8VNdhv
M9L0/Q31gYTmLKyxlFU6X9h7PBb+K5T1GIU4IlYFliYT4DZKfIIrIQx9Yruhxo8sVv9xdGbLkeJa
FP0iIgQIAa85D57Ks+uFsKuqmUGMEnz9XXnfOjq6uuxMkM6w99phqK4+ZfLy1ay2d86W5M37QdU4
kZg0yneFiEVt80GSrAXCYCVzwTjtgAJQZRpNINGXcABE3Ksj708mjyYuofYVaHZeh540shPE8wwe
XV9M3i3JQAKAFQMDPRZ1NO3eXNIauvFUOngd7HRzDYloL/tueYQk5EnEsfFw67twU++9wk/mA4gD
YmEQ4IPhbmcR9RuyZEGQcuFOd6RX3nhWiHPpTRbrwGjyi3XHGmHqd7FZ+o/ZEOFEDYMebc8EC/NB
FHrTG+jckZhJ2oCvqW9ZJmu0xBzrkNYEOn5SqjYJ7UxMovIwPkO0IoqCntTBtSY8fekHo/o7QTN8
gyuOoTm6oukeeE2z9bqUs/xdOCVdO6Ecw3pXFov4Hsgh0ttk1eHbYMqGrhwrP0GknKTZFvt0vbDg
px3Yg2xUbzTHKbEJhe90BIqI+MGWYozuh8pwQUPNcN8y08UPTKrLnDsvq5iTN8bcNV5LFhTYlPnQ
r5DR7kuT54/WNVG67dqeaD2nmJrswsVTPta0rSQ/umEc3VvGrDi1/dH/rwC+cXTDpUSuDzLywBTE
URcAmJbDwkuyJy4zYTYsspW7N2uOBDNrYc15KGF4nLrO+cTN7/2Jqo40TYzK3ZH0n+qf9pz2pxnJ
SkOElDCIp5MtigbIbOo+BcRVAhiSnoMSE74ezbC3MKXYDu6IDD1xB9a6iT8S1Noyvb2byW7ztrzU
QKBGvaLm24Q8vMsuXZdg2moJtGfnGqc8tAzy/G2tc1/+YoteTntLctNtBT/3yX5dIXsjVnVqfU/R
QMjfZibA8IUHpiHokOklXZSfjO+qbCnFREGKFI7vGNGoO/NS7JsITfoO+AFG8QGT7z/pzdFbSVlL
GLPN9A9cSdQinjXLdK9N63UfPhu/fdhXU8DI0GFxArJ9/CDBAz6TQsr4KHSGaJ1oZhQ7kLU+aqKf
4i3OC8AROad9wKZqHi9BHVmxKz2fBUlJbPPTIhl2n4ZitOPZDHn0DNGAuYFkahHzo08EDOd85sQr
QdPZkEdBl9/ECZGJGEKz6BR1QYiUx8N0eSYZHC0yDDKPZD8SI999egjnB4lxApbL9P29DUya/vLn
EEk1c7tPhD4IfoIAV+WeyVPGkj2tZDN8BG0Sr2e6tWmGLNrGkNSjZBWnnk+a+Tfhf+IGTQqqZ4I3
lsdlCmlTMvxmZyxuaX3QBGS2D6y6oivg3YCHTuHZgbjQgpleiamprjVkNveY9P/HsdsoAkzawr4f
icTax2si+2MuoXr8RqTvPRpLUbhzScCYtl4PuIvqa4G1sUUAkpFNYo0Oq36jAQ6UR2yCMz7IwHE9
Li/pVsQO+Ouv2fNDpr+lGX7V4NuYGI8BFq73QBAD8F1DqFDXGKwsLLE4TCdXP0WZRFK9429rFofr
unQZXTDz9FmGciEaEEhRRdLxCmaABzufme27iGteICqY9mCsiX5RWMp2P662ueqhEvMucCXW9Xal
IPmkLcrSI1uDmVF46Q2X2Aeat6PY8ON9NarhrVkm2gOdCQN0aMmDUxsyc957vaf+4hGeOBwnro+N
bhrvo5i96Ap6sviMWjItNiSyTMTj9ar7bntBR921pCuQfItiZhOwIKPDccfgCS1nQjhe2A7RfuyH
psXz2JZnH5HNdFra1soj4xmCgighWdzaEqH1kYCG9mslstP5FGIhWt0BilfRzyTzibBS+xTj8UVg
4XRl++04qHS3MdQDaljVIiUkc89h9JH1tf8biu1ankfyA+4H+Cp24yXL+B9Qi0LtVunjll0Vhu4T
sRNG7ZmetfVlNuvNuQB/CdUqoW8x6z187GjdguFP6KbBT6Y7nN6RM1Yr7jrSnrO5wSqBSbXKzlnj
Or8wt/d40iIkF3fEMSTiSn2eoIRevM4Ex5bMrPRMJm+1gy+JXGML+CipT3EMj+Rq/AUKDTgChGyS
gfaWjqbOrmxul19JzkN6ws25cDerjIDPPuAKRdIHRudAZY88bg1NF7zgiiOls06nzN/jPsJFgFDV
GMgYkuAlwGp0LvnA/BwAuj9l+T4cK0VYBpiixd5aCOwlUEr69TOeJxOcHVEN+Z+yLHEoOnXvkbUC
fR8t34b6caWy58+B2TuwYS17d1fg5/D3pEIRt6daSUNb086tcCBwBxIUxf94h68KxT58iHFPtR//
m5CRjqiPOxZBraRd2AS0/cxx+ir9SP2GkeajYg2TvBAPh80SRmOMb5OXBCHMdakG7f+jClmLw8wF
9a8l+uZLj2Rmn+OoA2ZlWNCsCBs8tiY8gU18wV3RXwghSJOL7gb3ZYxVzWvJtsI9VNipzIWoCPsf
IcziT8MUqLq9MFW0x3ujWIKOkV53vQDIjZbQGR6gtRnnzZtxQiVLzpSBeWPp0yinOZItpmPl9FrD
lxH3Scos+68uSQc4LkgS+UyhWMlPHkC8F9sB0FNyyvjyvZ9ejcI9LzlqPuZb2jrVKQx9UeJd9eR/
NNEd+n3LV3RJrCI4due4ckQfKZnC/XWCggI84t0jGyEZenEGgIWf2EHKm5zchYfykmB2xdHhIR7l
RPKAzyeBkDokuBW19VYljHKnnWeBxUJOAXPCJs53Aq6xyecSEknmqHsNktm5cudl6z6NYa3voW4o
9ey6HXtn3C5zfhAzP/ED6mjEWWYI+rNyHOWf1zComMlJhVNrBtTl08s4QXdIu7B64DlNCDSbmdID
PS7hz4RjrfY5cCzJR8oy2V5EhgiPGXEQhW81Fgc4cVUf+iyI2+lT5Nr77tDOxK8D5kQ4+CwIL7EZ
JsJ1VRE+c847BJothlEraILmbtaS3M1urZHqA7CJTwNLKmLs3dG/TmCD7ZESk2ZbO1HEdBFbS70L
IiuDAxKDsPrwC1Yf58xQkr/GGQSTzTSmmbonWQIRNERplaMuKGqVvTCSDWjeSwYF6jh2QLsZ7dY3
LkUcgGeFlB6yu9mtqUPPugk7QkxfEFjJ+mEFU5UfmKQlP00LoxTLInK0Qz0SibmtXcNCihaJ2D4b
avvprLP9zEKjnJMOdCjvmalh5UNKWe56GCV/m0lL5Iyq8MG5Dq7rbGqs3QZtoWLQtKJVKDfLLLDM
F9Nkzb4m5yYmxkrq5iTbNY72IDrJZwHNpTGGz0QhXdKpjF5Jq9UPDNRYmMQ3Nf4OgPpQkQWE0pp7
R/tfYUFq+4YiegEUmgQIGFfsBySTSUHmTiSS4DclBefM0FCfHb2FMcYmQeaA4LYi0+hYx5KseVyf
8E+9MTBPKLKj6i1kmHfLEZ68K7/W4nNeIiLZlUkMdtP3AffGlV6qrxj3+gJ2QOez86yGBvFLPkFe
wfqLiuMdiq+CL4idBx2+QTSg9v1UDPk1IdgZaa4js/K6aCObr1UR3vfND9Un3zrwutD9bgY2qics
6ml8aP3Bfxgjuhp84FnqbOcS0sWFW2gFSUlhyN/pqsZ5LgBYMbRZdbeOL6YVbYkmfAJDcJmAlqnD
FDAYu7CvmJbvzCvnzxveFP6MWWemkUkidrAbMskgx63T7Iy1OnTAAusQbeiYzuLq9EJFW0sEob5T
1Uy8YsxgjrFyLtPGkIDGiQrbAhxdtnXLPnq47WLQMhV5DW5ygvK1Qe4bXgsvSQkSB3ODGJ4IcTpl
JFJQX289TTuvYXG0UV3IPRE4vFJqgPwCTrFV8wvT5wjg0BJz4sM0cczWpijZUMDGkrutHdPkD76W
Of6le+7ju9Kuis9H8Wfjx0JNy/BKIF5f/FKodm6anclNqCUIy8HSzIrz3ADDgs8Hrg/DfbHkCswV
TuVDaGOPJgKSvUbslyfJsVUZxP6Na/mcMFbkoFXXXW393iMlPJTNB+2v/SWU37jQaXPcCYzN1EWw
XnJo7R2JXD4svRciuFcCu0wFzWOPn7HmYeewxWaT6/Y4qa4L32Sc02uyolwPeLPxPnSAgEbE4Oxv
2EkZdvt56IVvHLpoxLETK96yPpzIRAS/9XuYQ+9vBmMOtREHKHDSmCES4gshPjLGseRSoiMkn1zo
4LfNS6KrKVCIh6f3JG0y0aTxADzhEn1CG0Scl+82/mO3qIBYNRjkVJHtEHK6bboErA9e9B4IhFfG
udgviJ1uyScqEMcVausr62e2Kw1K6/KoGHQgDkv/n4sMyQ+vyNR74iKtFxcw6RURzX1NfcPacCSm
dOyt/I02BYQJezSMh0vEtB78ahdU17jug4PP6IJsl65SdkdB6XHeEkiH3lwVllXcNCH/4lTS0Nrx
TDCS5tJOtqA20n/5KDpSF9sZ3nS8+n+nnCi+tEryHzojWBcoE/+ClCXgwcU4fvZrBmgbUsgL54fT
GYF/MvAQ7ikdyf+sHDdEaFaBJLxrWwmkTvpT15xyi1YWaRz08oeMJvx3zQSr2IV9WLwKLR/tZOPq
sS+sdxeGU2m3Sx/4BMUsIWzHeHGEf+qUlfA/WBIyKYcFkXNEoOB8oXsf1YGN65pDWZ8ofqpqKahP
64GqC/Tfaho8mTVdJegiZIFw7ZvyV6i9Ob+fvLX8466tdPd1jeFh4jdzaIa2dPXrT7mgLDzWq6/t
Fs0q+dvpRKd4cRkIDtsmdAu9cUrVIoRoavHRz6X56Nwu7A51ZNx43xeu41/bNE4+eSbm7gjcNEg/
5gpK9zZ0BsbmYbio+3qh09hFqADJirY6JeupS7yFezfxXuPIkFCn43Gd3/vOwOU0cSDuWmJO6h30
EuJBGYf5dte6MntvFoEfyy9hZ2BAYusY72yMCm8r7DDU9zhOWurcpkHLs7iLuIolILFaY0eFmBGl
k0ADV9RUhK8CO6B4njFm5VdS0nTzm2H6CCy6zzBQLTyJNqme6YfTT5h8jNwwaDHpmsIkldsgFQ4G
xbRGA1zvBsIHkN61Crjcts9aZ7xbm3DS24VuKH+Zg67nELNhEO9ihGe4C2eGf7DOcKpYxMd9l1SS
Q30SGOYGZ+JnvClPsKowdoUPxQM+u0N6bNoBS6yuah0DUgfYpFludGnBRK3QuHo6bRhZNrmakP8a
J3IRjePNo9WoBt9txTEj1cSs91iRM9a0nYMHv3/ydN65B/ox3b4vjViJ7/J9PcaHMk8GzOUqw7g8
KIzPz7WWEx8suDlIFEiPJyyYrLjj5dKviBsPlsyc+r6LGqXuinzkfLy6qWyJV0G/Hc0w7jjnJDAE
HUxHlvXT9MN2ygafCXvT4r3PahTO5KAAUNi6A8m2u6LXa3MnGOGjMauZ68IOi5IRhlQXYpmfGaxX
R7fhj79kFS4ouGssMJDv6ilwLsXE9Pq4ijrLn7oKBeeGMUDHf1Qbk0G2SwkRQAk/93ejayv7VaSt
Rwqbs0jCG0TVbGMthyuBNHJ9EcDn/IueK4hRjrvM4XmiPbabnMKUDFFSKpg8NGqhCJYdbKajYanw
h67I4BgoQxfpGaUl+iou6QY0UApLiP4KpOilZ9E6bZPJ91a6ZjjbOxfsJ3gEJUyzG1uUxbvYc6bq
WRQE//WbTpGge98vXFyIwEYoTvcsJdT0XHj+0NwjOFiG98DQEzPxLNN0FzgWL6GPPBegiWrHP2Pg
r9kDVnrvrnGn/hXxt6hPfueBDFNYRARjhJZMm8WnPqwajwlR6zaC/VDejXeFnYAjVyaxKFC6+YYJ
a6FHfTUFmlnMQWX0U/J+mT20UVUR0UIhuhkz6GIIVEUMFp0vRoZHv4vReufwedVpideBJRy1YrVF
x0UiKvxmPEpxHpO5yD1I0cZWxuh723o0700HYZq8XYuisCSEJT6Xo5yiT5dh7keLHhglDNKc+6wq
8vXBmWdR/4Y70udPxCBwErD3Nysi8b6Kw5eJ7q3bAWAw3+3gUMi3AZXJCZV88oliWJ9BmKHFRy0n
eOlpsu7mukPbON4KNbIdmUO9sobowiuUXdwGAkmmuzWdde1pQm3g7bvaHdVTxsOLTawC+/HgTAQ9
7CzX3k/UI7I/eiqYMnyRjBw3vRupYuc2uoovPNHdUwD27xbaYPQX+5Kq3wWKDgG8yLBcLN+32JqA
cfNdh9oALQdA2vHaa52u0ymYVrf+uwbR4lz4G8L6JXc7+0T8qxV3jieCDypDWVdEONsCBifIBhQn
W10Mkftha2mX8sh3UaaspzEVBswbyTn9rTN/SgizCYv3nAUrWWslLx9mvhtV/YU1ZpyxFI+b8S0p
0rTHd+/1WCvh41XuIaBCq+5ZSifJb17e1YeQy5ofRUOXpWJH33kz84+1ITMZ11Mf1rABvKL4Hkso
nrezkr6oCDzvBkApg9DbeVHFuG+qkgFl5ZTnsnsx/GN1LgNOYc5Q5tHytV1He8niAi5Dx91C5k3R
4lvWCpA85ODg9qiVhfqmOZPDR43d9MITZtDWzxF+LU8r2kNi1SXo3xQy8Q/urECewqggqD4Dd68/
KvYpmtgpvnUc/ouL/KyDO3jw0I5/BGTGPyBwIC8QANZgDsSNeSPSi0RbBiRhPTK4iuQ73EhFbls1
O/4byn3ZHg1yJPdc3rBAlFNkGj2rAJfPZMa5OlUQ0bN9EbgaNyiSuavJdBoTrYT3Yu+7+AEpXZzk
LLTFeTSsRfnDS97/NnjfQcwq4X+yVSKcbgGVGB8z5ZHczG5NfzZh4pJjOw/p+9rV0xPsKebZLR4I
RG+kS+P7aOXc/FCVxeZf6fjcLzogG3OXTn1uL1hO6ucmnqL/MpgkhmB2z0RIZCNwWUU2NuUWwbhd
30MrvfNASJq/dXw6v+3InFaz2OEqOrJmTRAINxPolLwJ5Esb9UuJBwtMVe9Wt4pJu7XPOuOWq44S
vbAMEckaPUfjjNim1nNdH/LRqn5nqMzIgwTTTqww8mNCf61mmZzFaYtwps+ZaMKsROJIbeb2xJZM
3mEiq9zZl0EQ3HulM6EEWf3ikeuF/fwcex6A+T4MWOe3VnXhNnc4nQ5Eq9jomNjwBgyHuF2MH0l5
QxBVfZT2qHkE9swhNcN36eaw2CKoQtiAiUiYcSUMTFM9v35tkOvwnlPIyY3BvgJKFtO0NzybKUYk
sEGBv3r3Mwbj/9Ycfvi2N9Ipt/XChAdMAgE5Nai39MUF4Y4qT8TLO/s+KmjAgA6USGDtQEtzt0XY
Gxrn31B0+VXWbVxe2jXV2clRaXPflKRnYwXs5tnb2Hz1CfCWzHp2MzazL4tvLr3kCkzfO5VDcZ1E
3xQ3Y23c3hviJMSfJfDIo8K9m8Dhcbz+k8cGWHeKdaHbMlUOYB6pIn33XSw3x6720F+eoX3X9mvG
MYCo1QZxdZyYpz2DDYz+zoj7UOfPtSu/TDJO9p7sH/I8Uc1CcQbQ3xIKNmLN30SZp9k/us0fvBfR
PXm5yBp8vB8vofEIIUZJIcVj5DAK687uKla2nlBZpofGDUbCZERfu0/BanP/GHAbxQjEHVn2+jDN
ZWU6pOlEKUwQxZAVUsE3QSSWa0zlF8Ipc0M5b8BElw7NCot9loidiP7ilYokPwQh0CdUOnNI5jGC
3U2dD4wfcDkaGDliWDBR5+4A3b5ZFGgpSbeED6/GA0Plae9iTTz3QRoRXcBNJD9zCGdzN1Wurz+p
I+eCYHvOim8PcsY7bJOJrJC0+Rf2szk20vrvGDXCfxk3MvkXLh0BznHyukg7f4hRHBgGNADysKtA
UaC/npeTFQUMP00qyDtKbQ59bHbcxl0i2I+EnceUJjMqSK6wg9ffaFXWb8ya/m9Yx/wyXsSyh7ke
RrtDiLDolq+DFS8n4WU9rRMlwxaXCYammFLwk5xod+WTj2N7Ip5juvkHac4fmSYX6glNVSMQv1Bx
dfdB7qn1DoShs+zwEIa4zMlVAQjo3mBcfUOXxLsdQgvsUVvVP51WZjhrqE0QD0K/qK4JkCsHSjNZ
Kc+B4E8VmwStJiNiFPgcnxq57T1U1xKz4dyHz6seid5AvJ8TYz3hduNtIBY55wp987Vw/mKPd/1T
CLRM/LLZmHB7ozEgSQW3Wrvr/bouHm6a9zfeEkJmhqJatrBxCo8F7VKePLcr4ViXCZldf3C4IAkd
E0+eJrJSWJsW0t6puBjkuSCZE1AbNT+Ie4xIRK7kMcv89t2pippGLKdrJtAWm/zen2sSeOQ0eyMw
tszo37b3+nDnd+64HlnnlsslYq7FRh4Mc/MXdXHMB1HwfrdftYIueMRt4JvDLTFoeQ9KZx63RXkD
goK8IGKEZVeXxM9+wXtO5SoVTjJM/5CXCFfb9qUmsnZToGDZiNbp4sc0pZy6qLgeOui8KNGTw+06
hxBTEa/lyfGmefVd77VhiZaxG12GZuuTtu5tV1I655eKSj47ANcSz20Kj3Mjbt8y4856zI+YfsqY
EUfLiVqlo0FfZGpxJ0RUn8ieJMCCFmntTtB8kA8UlPZfxRJicYg5aU8z2ld+X0RpT1BqVPIDkCzH
UZOqjpIn6ckHZOm03LPVIM4iyQIHIOYcgO+KOHLfjLcgxZukyxbVKr8H3zg6y154fuc/Zcu8ctvg
70cihKr6dcy8BX/imnf3s+B6jj1t4kMmXSZTrGmbFf1vJQm9RQnSP9NP9Fh7cRf9i+rO764EDxgC
DGw+3fHe1yFqXaFfkWuQ/o3Kg/6ld0qTQClcpmw/tUHwWLA9XIFqYiPN+279aXnfU7qrCdgxw/rA
xcvJ+g88CqDbBJYCfljyC8ITThw249BlAPF1tH8IsfzYK44+p05zHujC5n0PfrmZDqxUcm/P9+pi
gc9MxMapmvx13zHfiYdd37J/UUe0HiPno8jhVLrPXlnQ5XV94DjHsfWX/hh4A5+Cl7Nh4FFMUY0U
ziLeJhmYimbLQZ+gBTOnncjzJPxn10onREMR5YH8rIOm1wDHRnll7MArxmS1ekbOuCwPhcZ0xbMM
27adZs1lSnzCPSvSiYHoxOl2BJsQfLP6YCht6avHY9fAoT8jpER3lZdwFrYB/o3Xmz0s4352OswT
zTzcFw4F7uvEqPnUO9YbmQ2nI1XjWHlIAEk+SPEPoXIYL8bhwthhjeHoJIStSS+KEFwI9kOUPjJr
BwxkcO+YfRjJ1b7NxUiQCmVDBrMuJaXyMypFdR+n0A2IZcZPg40bgfjoyy3DUo7zxOmiH4nMBExe
h7J3NzAvZ8TQZNOvNR2IPWHyEF2I4yCTUZdJenVLJ4rfOzFNp4pgkHKjohnBBPFgCxqzmOwo+kHT
r1I0R0CenrljJ5uFzxCRwPoypY8ealeQXtXiWPu35nTdO2SVRm7FzbxwUnVmAR0FMV24g6DVoLby
5UlnC2jXKSCCgAKoiaID9ctkHjVRSfuKBj3cp+A5/Lshivtu35NuIjfzBKTgUBYeFddMyFpxtrDS
/nWpRXeHSRH6JmGB//UroXKnTIWwvuG4ELNyYiWVr+duNlAK84KCnTdZkq4OO6tPjyP7HBa9YccV
/aBRmYQ+38ag51NZDsPvobBjgM6J0Odb1DeQB+7tfhpyfYejtovmkyKib7iUwqtc1D1cp59up/Ek
1AYSEUKtruarMZ5l39nhZNwif4fq2NPGfHehLmd0CEu3zMg1gb58JaJqjzDGavEukYiXz1A9kv7B
QsciohV2P9hBQIzqFpyaJ5jvPBbSzBZX+Auo2HASbzoGbcWLqkM0CSHh2hHr/IyKuKB2x71UpoN6
wElBOBAbgBu5ZSVxaNm23sCWoSzn4eZmqUuC7vKSgWK3epA1hqRxzl3Oy8osqGJ2TrzdSP4N2l2O
f/bl1cLCNtnLKmpoo3gqZVIcvIzoS6gtEwzi57IWbnzDsjiDfY4R7iO+6AJdj5uSYMslPdBgVLLb
rUsb/w6cqsx2neusw5smzq3cVeiUHzCi2ZfcSQqzwQXLoMfSxUfbAZzxfcNA8rnuKZTZWA7m4kc+
2s0AO/9z6qQ53Ywhqf1AlGZxDpFSL0cNvlZ+OXTrBcEtaIKK7ewUKcy/Na+AVQ7zsH6t0iDP3fJy
V9B1hWc0mlrgZD9jPtW3UKzYqO7BZ7zFfcgAFGV7FJRVwhIVoekybupEo3IRYQ6kTWaMiB+mENHJ
NQItx56wTlBN7rjrAnkgqNuJiLggo7x94ABMJFLPNGArib0e2ha6cdAoR8mQLQpO4KpAhO7o39rJ
23isIcG5o27Lqz+RjzaN05JzGXU+AVxQ1UryHBEqUgdkzp3TWW+5n5o00H8ZBlqmN4krFJb21svd
YwMUCe1ehc0d2zw46DUa94jyy/S7daPY20ub2fTqAWCZiLt0bZasn5br6m+GRs5SRg2i+kXiCy6F
nUY3Yil2h8p9KPL45qii+X3va9x7z2wjffmp/dEB7eHJ2c3vWrH2wd5aIC97RMTl9E/SQ8iEVWsG
MaOfuXyDB7a5QY3CsU2A21Lp+NljREa6i84pL3oseNUy9w94POdyzzlYNY9goyQKQ7h36V0eIOh4
6l0a7J/EDtCg9u4gbcJKGbFnhoOeJY36E1BOeDdBcFJ9+txsOD8mpliXWABi/lww7CGMrwctcvZu
LbsiY1jt6Z2HlTveU+RDxOH/CIP4O7bTqtJXiemBpSIrljw8tiyc559BRm6PXzfTzsG0vXKPUTdS
M6+wAjP4RCHBG7sBnVhMIlaUGIGVuqbE2noOwSpsv7OwvUMbHqckruWrZOGC1mVOz4PbBwKaV6fM
8tMSJhweZ6lYkYLpxa/8VRbUzcgxvSzdzbLVC5JLE9d3tuy8lvD0jA56TiCD/LgmgG5jGEWNyCG4
BJJHSCDcDjj5XFZZcSacE7Nf1+4ywOPhIZw1qBdozZH2jmux9vYBMG0ombjBzUEGJGz8Zhl5VPuh
jpfwOOG8GQ4axXZht3Uw1sTew78RLwQKEbfJcMrrz8LXA2nDuSwrzjyMPj5YkzaZGTzDn3RC4sMt
vRkWi9XLoQsiEUKpH1PfgMiF0nAANdg15akG/SBbbBkchkSqzaHLW0ueUCE2Cxtz/VWO46heVYd8
lhCmXpFVZEKiMLdtYTJ/wGBOR8v+mElYrHdhgeGEf8m24qeZlrLZ4sEbzMamiZBfZZT1RXblvQl9
zNIlan2cAw0n6h+etZoOeyV+5j4VfQLKTLFS30RFpyBj9pIMB7ZhFuoTECMMBzTMmt+l597+tIw+
/DvWFaX4pxrk9uhzrQPSGAW1jAiYKBmGQjIm0VwJtPSgHEN58nU6+egOFzYKl1oxaD0ZGeU3C6Tw
OdSJDyEHC0cNwryRkf82QN/xu6KMm/8iemDqR6yRF00kpHSgUyTYloEbzxjneSQYg6ZKGp556XZK
KUzhrNXvQ3Dk8inywepMcHahPGEPbbPpeaL66uILw+wBetwWK2gOk6fBA1zlDyEYIVM8ACxsTXRo
Ia913R4zsFeDXWxEKKItKH3M0wt5CAZJe1Ss86FsirD6SigD5mvEgzceTdOTV1GncW7YojdDfJqt
O5qjFi6pfM4gYRgxtcD9atxlIXHpRh49M+0fZ7TBGeLOfqg9mGEmikhVT0GA7etJ2XNFa4VElA+p
3tWI2NgjI1ZgXlZU+TPy2Y4xfzCXpB11dA3bBXOE3jUNJf/OMfFIZcT4gmYta0isQ07tbQZ/GbMT
85pgOYUs/sSOjZZAT1Fk8UkQtPzDIc+MsS6UvGv9kWBbtBYfXSW8aS/qsjF4xQcsXRIHCSOlIEFE
gAWBsai22XwmNir5N7Q+Ecs6SKLhH5qRIPims3E1XwmyuK1C2xKcCFzuzC8kdUThTNYHudAWQx0e
GOvBRS67wdm2xK2x7fNnZ2aXx4E07DRGP4P7hEjlnzIy7RXBSAFlr1xpolyKduqhKrA4P1IPh1sE
phQXeVfm12Ho2/gKiWFusThXiNtSguy9PZspKrUwTYkxCYucByt02gJJZ2uDlTMRnCP63ij7dMY2
X081HMeBZ9ttkiuHANqpcY7GPxlLx1dRCcvGFxsa8nm3pRxuJOoPRlOUCczE6dc2URm1wcbioYM0
sSjeAQcMKpFLsYp/u5ADgqfFpw7ZU9wo9Cf0J9mFxJlwfkQ/XuTnIQ5GcQ1ttQR70iKyt2GWUYQk
mBbwHqZ5915EKC6/VZMylGsCGFs75C9+etCl6/xOo6D6N2Izb/g23OFtctYFnxU5gPXWIP/6gSCD
759sXjYIOrllcs5KdM/4lGvvvJLm9qdKlW7hO0EdR+Sn15wUwdR4bPkKcx0gcv4bZ4RhEErjeP1F
llb22IKBWo5JXQfdlgXvLdCmFWG7D0l4JnimD5sT0uNM7lzdxh0jUJSPv0aPVdNh7ImqelxHBvsv
LKtI5uDzyVpOWyKTNuwLgiMdEgi9bCjf4Sr4/wVtXpzQWYO+x82Vv8puSrtLoXx4GGTvwEpXkSMe
lnTGDkzcaP08Czm3h1otbkTqUiyJ1wN/222kyoeXrrEls2kOo0OB4rk5RnmbPkaSzfZp9hl2EcVT
xXhVZ+Ij987QKYhSMkvExg+ZPz9mTW0U+PFJ4ngYxoh5TFo4W+Xm+BIEM9bwzIjFnkPHRc00mVDS
JTQpjh9yobsHWL1E8DgqxIbqoh0iuBa/DNEUsXKOTZ+QlFEiFCgZPktETjgNWUMTNuo8tZGFVAjs
pvA3KNVSpJrYn26nNU63Q6d4jb+TFHfbLkyc4BnZESD7qTHpr64WxV/pFOKuYUrOHO7/5C4nDtDy
l+t6OxAx5KNUrJcRLvtYMEkD0dvcBbArEI2Ng2CFifs7JhcJxll5IxmOVwAEIRq0YeW2UWVt/rgu
JXBIugHojbDNzzPxBLcxE5ZA9IGzJK/LWetxJ5TuliuC91TfoVjDJ2GL7Iuib1EEe+n0dcIAElxM
kJGChd2h/GicUf8UBMr/LUBvupdbuvOr06PD3LJkbP5H2pnsRq5k2fZXEjku4pmRNNJYqKyB95JC
CjUhuSsmhKJj3/f8+rd4gYcKeToUqPtqkIO6mZcinTQ7ds7ea19X3FK0CfGX062RZHB8KWTjvQSs
o49qTMoU+ReLr0CYX4svGZjd8oqEnn7H2I+nrH2XcEKrVMPaRZHeUNsAkx0BQvvf6FpZqDlAl6V7
oWLLPIhKR99nIeYfmtkSKYzdHO89qLZY9YxU6AOV3sSU0uPuSa0WAf5VPh2PM64Y3E2G9oO4r0A1
n1rogjbDcd4U2iaFAudpJ7TMSGWar4eud4Fyob6/RWnVBlf8ghYgZ4kgepMLlTDnKD0OdKOR+IC7
27SRNy3GxmjVWSNmK3be/G6qo6HHszBIUEWmzDfWDHLn0zzX1Uunk+6E+RHGjmfoJNm6AWXkumvl
ckCMgvJrRS8IEEpEj+01N/rmRz0L3PheOxCQhFYkdvRNauZO/w07Ht1ZgMTOt2CY+Cg7067GFbM9
8ZMo1Okng9a8+1TNPhrNlZP7wXeJgicBXjc31kFHpH+vCig8rKZI5M0d2nKd33aVVvmu4VRnrS23
UvWTnfnMwYm683ZWHXbkfhDvuny0dftlCECzbJmiLnxBNBSEJlG2k6oGFIbDbpyHFjYkdG7robVx
UQRhaL46TIPVp4aEsPFLjqUa0o0VZkT5olnCAW30sH4s35BXuvNSIl6SmqrYaX2V36AqIzcUCkXx
PTZmmtERdf2TLuzkhL0s+OYDxxu2+cTejZjD42Da9i5298iuP/slReI6CHtI6kVbB6/gtvEkwXJy
mMwVfkUvKGCGt3Jpq/kIbeZuo1yLfCzCq9JsndhY/wm9d5egQtuwH9H+MG90IsKZRyK79X0mHesH
FIEe+LldW29piJzkgAeDA7FVoPUhAGxytw4RR/lnCy9Jwv4dieROCtx7d0NUqwWNChQBZ5XGcr5J
lZ6vILGPcAuzEY6iyLzS2kSjxARTDkljb8ym6uBlIi9sD1VfjNDOQGzIvfQQCPJXZQQatfBJNiFe
Y7HC8qG7h6HmxLPSNf7V66JR8SHvOCTcTFVYAQ2vaQCsZs4/ahsaXcxRIa+mK04UNgph4l0d426w
8Wa4B+Fz5tniOrX6I13RUHzOSsYIv/DaYN7edm4JgXTXo7COgltmfwRL75kzWE27jV2Mphw/zF7F
POckeDJGoSIITZ7f1Z/yTlnPLOKuu1VhGDfryU2D1wYbRfNjnjBd21taua1cOwOGbkK8bSt7q8LU
uelaPAV4TlASZARDITzeJJPdVbfo8KZm1w1TgZ4QRYwxbhSVmM/bbhpYIyufzt0jI15sEgqAbrVK
ptT0ADe4Zn10gL8We6y5ZXE3YRc18FL6QKDXcLny8J40sMik8T3Ts0F0M6EoZm4K6gHTOSk5oMic
dJ0Y9jzcDCyM0WFmgUbmRZRggDEZjdEV8pGWs6Tt9kv4gOOxaOCDS9ezEuNzOHu1jQW4yeodqiKZ
bSWCxEcV4DzbuBmZQnRTjPQ5JjXAvPVLh+KVfgRqUxr7tf1MU6776fEBUytr1RMTODpsyxiCHMEw
kDDbNW/Nsvy7RZXtnVL17qGUdJYZasG1OTDbMYMfRH6hhYRhaDu7ogxRf7u4fsMDqTqTxdzcrkV+
o8Ku7X6wwZvRLaQInleMi28h6xT2k7nU648IIQL/CfTUMlCcZhtiQTrxWu8WG3m4G2b4X+xxgTYP
tgrQXFLFdkd3CqdoHwQIl1dVM+I040COjp2jvKCvEkoOLw4lI7gaJ9XZOtbUvOscgZJ8VJzpGS1k
xKvHn0ONa5UdAK5UMoN7pigCBQnRQWuloRWV0z1Vj0lWgAYVdQvxUf1soHZMn+hi6OZLLwVBcLTE
K/RDruFeZQnkpIchovQ9ldgonIMV0BtCQZUP+NHDuV9NgTK6YxgqXVwXA3raNY3VUtAxqmrvs1WM
jdjSpxTsDURWFr9MyURwh3pNAT4N85AOqAXc8wnRe59e9eFAx4x2jIfyKUDZaT9Y6E9fO0xi1m1N
knG7kz4FBmAFEw/QlPBz7XrS3BeERD0O1RrHX0iqdl2jOflOgwQzOMkB9ie0gKMEIE+8AapUwy/D
L2Wmpzfqiql/qDxCnYktGqTaI4Az8REZpa2zFQL0vLwNODbHNyQ4uPFdWTD72XhQDZlYYwDJ6e2g
L7dwceINBMpvWiBX6X9r4EzIscrKIz4AC1vzqUD40tYPY6b8+EuX9BGif34WFq0pZhbPNuP5xn3k
SLeuv3DSGIgjDWSQMYAy5pZwisr2W+dY4loZIVt0GNn5J9ryjq32puZH7HGMPuCO6tSBRp2Mjmx5
0rinYT74j3YQV82BMoa0wWF0LYzklmRLyVRj5/cj0uxwu4x85EEojHBbJ0K4xZmaaTajJkEuiW/j
QfczRXFKmdMQPQv+wqjRHNk7WtMDFbZJwJG+LgNcOFtHRU32HUoBsIsxdKNTZQ/BVW2UBj0SR5om
AR9+/2w6NDrQzFXDeCX7GKOYHQzOdz9u5mZd05cmkSgx2ERdrzfvHGyHPgHtvKubZQdzlqarc/RM
eEP0u4FHMf8rYNWgEoLImTeyPsy96BaEVYXLSnioPZnYTEkJaUDDJ61zPV/7Lv4mWl4jIMmq16KC
GjiQ0dPQFgrWSYs+pU71+NXIo/RhCr0wxE0VKgSbKLHBOQPKO44l+yM+yTp4FiEgGJrzg3Fr4HzA
vtTwQa3R41HNo1mz+yWWN3pBbt3+ioYSMZKBAp+Bchkp/idgM+inGxEccwrAH7ix8SUrxMQ+I2QM
gBvld/gjUX+jTM6HWR8TJ4mLTYXa/oSsn9le5IwD2bOYD1+R1JiECJGvcuUoIu22PX3xl3ZeRjyN
mU13NS/pLaBD+pppUujuCGs0fZtns1k4a4NvrEO3sx7gBw2Pg+m3r+RY5r/Mxk6++WTQXpvm0EF2
LNHlr0Y2c7xvKIve6I0ivKqnqi63NXAGY+tlaXzyuhwunkT+/BphXnsykMaHqJtRn2wGfIx3WUiI
1sqrC+RXkN3q701CtbLC5ls8Y6gwnz1hmb+SKPorwanr3PWssxpxdudUAhymTIgLRHzM8C7I5YZX
jXVxRHmabBgiZzcaYSY4JKKPqxUCRkDLAwzTnEWvwtQ42RWJRngmmWPEPusaSSnMjTLt4Bwy7Zj1
do4nXBRViHZtpRvBiYDTnpFi87OLX7VdNs6ahM36J3VWEW3NIXcjCpgclGecm+5Ni+ZQYK+yGYTr
ouReKwJvIo4VrpdeO1ba4jZiveoIkEK3qgUSFeSKsd/vWQyyn0Nf2d+MgfV2oYRnxnVXOtV3lwmf
h4Qvy0mD9ejHbwMDHNa2m+3qrrWkfmLPCZwD6XxkOkzIZiFk5DynVce6yunNiNz6qqYDCvOvD9Kn
umoIqjTZr0n5LZjZbiUTl1920xlfBgTBh7kqzc+AlhfkDqymhpFZEqI3YWtfD15sZvvID3CmTWGq
b+p09p5z0BjdugPugLixKHCNRCZFCiIQPL8eA8F7A81MdTVk2nzs+zZ8qHzJXhjYhGpBIgjGO9n0
ObQOlOTWKoRYdoPTb/4meqrzdWiRf71yRk7hDFglNlu7H8eXQUzAMzmMMvZkZF0jzrZyWsKhl10p
tE79uqtV+8BUrfoSB1NxG+dEZq2QzNA4U43bPKSgIGnTBO74SyYx0hEGYc7eStq02LWCzPKdYZBK
v0Z2Tqilrsb5K56q6knXfUA9IgV2ElPj8dtRN5Fyzndf9GthUE5tcxXNw3qINMwrtHRiRY8vuddF
EHMcmglTBZqvog3GxvjR42DrUjX62ZsnbEThnR8AoONVIDir5Ez26MEA4u+Q+Hi2DBGqG2+xKazn
IDNotc1l8lx7EzqVzBjUp6CUubnzKJ2qldvErKBBTSeJLCEW1pUHsuxUj6OLJdnhBaBs8Hk32NEQ
CLE4QGzvykjeE5DIQgWmS74hpERdGs6Ds2+mNj2pzkxP4Fzy17a1EFbyIOxPDBziL37uQIhuc9r1
V30WZ/t0hAG4GZlrvyLD4YjkuxVS/mFGBEXxEFP3umYBj9NEbR4eYD8wHG8wvfZXds75WfsIvoE+
Tcy5ar5GoE1lST3Q063nNO8KGMccHgmZTGb3OwHv9QDcTNWnjOPmk+UYJDFjANHYgSrrYcItNG4N
nFhf0zDsPw8a6x71tamo2vrMnhchFm0wQHPpsyFQeq0wlAo0kUHgDRvaPU28FYiAEHI2NIJXTect
UHamLbRzCle+aD5gBupOnkwrpw0Joh+SCbmLoNt3cBuwx9s0QQ6wRT0BCprE4+SoiAQTqzkZCDxP
6kZDnOtDQiOqxucgVtmJx8MIZHuPMKYcN1Dx4+A1bkLrV4TUyVmh4Wror6ctJowsLN4iAA43IhqW
SIBBwizm2BFo4lam/AgNWE6fLV/XLBACG2ktB6u9qgMe4hqURwbAyKzgfcacXIpDXseL8BIyBTSo
qhbB1gDI3N8AsGSYaNcoPOlWSHXnzI33q/Xy5kktfzUSu0HCHa4DKN5TJlG/Y9fDg9GrRfKa1JAK
vbisnpIxc795dTOwjbII4l6FELKdhGnDWqIX+snubOCbnNAA+GhQagRIQmBE8cxUjkGNaWYjgQhg
5fgSMRdC16nSPTHGxRJMwod26JiugVwaKN+3ETElxQq2AjFenI4x4EoOQ6S/mY0Z4VcUwXXOQkTX
mAiZX0bPprc2gL4w73AgA+GDyScblVNM6pyZABBdCa/BgARPt3xugQ3CIWN0/omhMHMsIXpOd0IO
+TElMjcGul/4Lyj1cXv6wWDty5bJJb8ONnNJWuGSpDnqxXadc3ozy+y1TrM8vKGEsD9rd66QhZdx
+A1ncvGc6YwGdOnbQXYdAN6gNW8IegQRs6RmV/e6ePIJzqGATgJ1a2NzgsozOsNrELTs00w57HoT
SjNwt71Duv1KmFmJsIee9WZg1KVXfYxFEqV+U3+2OPpi2VdG9Y1PnZgMx/GLXyO2H1Jm0VigVLW7
+E17GKutjrPkLhcheCisee2DRwoRzca4yK9QsJc9HSiXMLKl7KTd4Y7mMYU9z0SEYfFicSadBoql
zq/SIFwGAE2CYLDDO0yMAQNY9qMqRG5rWSOvKT9ofjfC4f4egC8iA2euomodtknw0qAnHfly8/ZO
F9loMMbga12ZSYd9JbXqluADz//JG05DBwBxTns9Fk8sjdlTMOd1vlFtM32VeC8eGDm0ak2DvYIA
Dibrzp/bRbtAkt3RdafhivxaW6z5CMSCqfJhasigTwJ4JeN8kmidb7ED4qwQHXwNHp+g8eaqvkSo
TwT1AGw0BP3Iw+C8P40SpJdgskrZkhiq2KSeYd1K3kYiXKJM35AJjleJn9MsNlZtMTucRotyrCV2
UqyNoTYZYlOf4AWSszds68Rw6i0qbZ4+cE/3JbUjurYh6h46H1VpHRpjubUyk9XRMTUHuGzs6WS0
KJ4fpmzxSlHe6k0OdT9eWj34YiuKWoxDqc3BrMM1cKix3ZDjEvX9M1GH+RNH7/7bGMYJvqKG9ByD
ZkO5zulaspkQNC7WwZzJPQgvMr4aM7BKaqU8eUGzXr80APlitsfFyhAZEyNrD8Y3mIaYmC+rj9xf
rCra3WA+ibEOp+3wFgLLOs4lA9iVY9HH3RIiFzmHSuMs2wdUrZ8b3XH4Qh4eI/4a0ujFsrEvQOgk
rv46bIz8EWFhiFgH3zxGLT8fX8OSamsd5vQqNyAc5RVLF0f6BhVKujHQCwwHvATBHW4u5loWvQ9g
jRH7DnllmYrXmA0dD2t+FLRri1k37PSgGL5lKTOfHdaoZitJFGBOWKG2oeFZ18aGMX4fPtJhDii4
ysLYjFghxV07xkzEvTxFaDZpBrVXLbmjXzD0Ngc4goIB4YzekYEtQ1Zm2GbcbeNu9iEy8EpYGwA9
1mtntOAka3Ip26tQ43HfLa+L4vHyFW0ZZ4Pi4AgKxBLhYE1Ul+E61c7A98wRipDwCcQgWeRjUVFg
pdoGGaFtMg9QKZEGy2y1EZARvWLYazlU3Zryk70Dn3L16BJhFuwq6Yxfm2hcQDC1iWOYoauNhAG9
B2lebVe80W21oRmY+FBWBnrj5xjODfAYSbLeqspRX27sJAHRI0SEOqQGtA29LirkW1vCnl5j0jc/
z2CI0MmogUipHtEW8aytzeKtvYU224TJMF/JMY6aXZ456VFPU6hWJfAtFBgUDOmhbUqPbGmsfP6e
CC8OIvQPIZjWHG5+xV2MCdJskXNdZYbbADGklqH7aA+2fwholuB4H0nFBkOU3s5TbxuY3oI+/+K4
pKJs8E343l3M+vy1C4eQaVFRabmpcn/gAEvK7zdaAyBIurEpaSsxzbMeQMaU9QbDZXwfJbU1oGvg
H24EsVN8F3hJSOLWVDkbSxnhabYzZN9BZAX3aZ9b7ZbQJ3vfu4KopVEl3S0F3xjtTQ6V0cpmIxJ8
/R2QncZI5He4T/Gb7EDArOvSyOsv4Nv1QyY6ZovDbNZirzqkoQiXa453TBEisN6AqejymFX8hu80
/4m7XBbrVPiYNgiklPPWsJ3QwNKFvYNlPTLoqnBSAcBHdReShdlv2DBrShmAX6c+0fD76q513mxn
1jXmGEuixAzCJbPa6fqD3ykbJSTJdvlOU/L+tGhBBpsYITkVJr6We/xCbLiqYHCHC6v9qWnS1DQl
TBfGErY4f98LbPfQKlT2gmSI4V3ZtPaWlgqSEHp6HOVSAAxf6LiVnyracpis0jofvmRwDt0Vihzm
LYhzyFpGx2zSmIzdeKH4E0gaZCo6NEJlLm9xNsHCp+Ha/ZiRVsXbpkZksZGpO50SVvcfOcvR0wSZ
Nlrnypm3mkMn2PwiUC9WF+c3oiHgZGMXFnN0SxVfM9dCRwNaqryHdxZ+ni1t4zTo0ukXfdrxp8DP
8kopWV5rOq7xpoT8B8zKbrNtCoT0JeQHfmRMhVQo6WjuR2EBz77ychtRebb02ryya0bGOBlpVLh5
kju+MFBHFLv9UEKCJ/C5+0H1RReVj7KM0wdUM6GDSFUXvUkzguV5I8OpYxERpuq9Jw8zWr5rw95x
V6achgS/TS1cv19lmkl0t57lOLWfosQsmDCjtGq+Eg/AY3ITpsy0uJtIWFcB+P6O4U0xVUiPaCwz
ac9nk57XWhoZM+CI93NJ12itaN+SIjgy7Z4EX0olAy+x2fUQw14NTYc3kMEfVJE28azx3iRGFTOF
YgWr7n3TNRnfABdwiGWLnbQLXkxHikyvO35zLKBVrMgDAJ0F3fIpJioadv5Qut0NiXaevbO7KVZ7
h5zD/DumVtMFGGGWzQCasSycLWQH2InXlgewldo/kB0s+jCVDjZe2p5jexvqzm3yg/aIYnJuMOwz
gthGoY54IKNVAuLZNgn2CHsLoXCErhISZ7cSdPjFcnLgjI+pb6RU84z5PgXfn+3RfDO8g+zJIpnZ
LRs+O1TjXsfEChrrUeYFYRSonYhhxWm1IMIG+O0xmeQzHB3ygtdhiGcd5oLJ8oP9JzzGHuCxVVwj
TKWyiHKJidZRFid0ar2NTZDpnUJbXzD4RyySNqxPKwzYxtealtsvx7brF7q5dbOOYQ1QUGXkt6zb
yFdHxtoE+3SFKRHhKaLQN1GBg2YjAp1a67536l+LZphogMGOFxpKrTDio2UnAT2xIJHCJbc5j43T
L+3gtCYeOxuZCaHrp/LB05BsMWKJA5pCU9GEKOvbsjPUtAIC7n1z02HaAYCnP0/SRov2qGvpo7m2
hSxu6NrodUSj/zUgPy/ajrmV03kC/UwQGZMxdeDvYPquDVvMBxxTVPlwgynKyrGC7B7MqrP5T0Pf
2hmuGHqHykUGNLdYDkeHanUNGNSvt4CQiI0vFGEjUZ97J3rrCFjwwmbOtcMQH01lk6CA9NrMeBSO
TYdGWXH1KzRza1pns1LdjY5r84maD+1W4FEYr2ZBoOh2sFG9rJSCt2QLYcVXRKJgKClzRipr3I/o
jyJTk+xu2YZbXbfLK7KJ8c0YezGMcwRYShIa4vuxG6zJNYthfshZPzucZhmnoqQwidTrTZxgiD+J
GKkSMtaHCYXYyCCLGs6k7VOWOMBZHohF4wCMwhscQU6eSBfW2jk0dd5ex34TOJuoN4d+rZUv30iy
8vhvg9tRqzgv/G9oiZqjhyyUIhWXxU/XMus3dI6Dt+Zow5tdmi0M+RGc7SpqYZpu8LbZR0/Q/93l
9KkfkIzRYeLekkOHyP4B8tL4TeVWeWs6xNzuIqY4/pYEG9vborSz2DGthXhk1UyuN7aJ83itkDYz
ivCdOl0TtkFfDcSrJ1YAuIAW6N6fGJfG8Y88zYlszZvcuIP1lIKEc0V9nSc52GXX0dU+i8h1vPLw
3N+Itk5ObsiCTHQofMENwANEiMibUTDJ1rHdlT9H2RGVh8ToB6PrWxglE0pAl9hb/Chus1JTEEUr
WsOcfQKfac2Kx8HO39AVfXZCc3g157a49xU/FB3GnCZEboCzJ1nMgqI7DeItzlTOoL6LHhO59Fij
zJp62Oua980mig7/3UjbhtMeLgKKVxwBbjDEb6KA5SqTqMe0YEBywPg0R0dvkq6zCVETeruSEXW5
oiBgVgBrWeHSk2zWcM+HEFIEuVtYf/HPEejmDt85/E2EJ1dje8PvyKk8ln60nLrox606liIYlyCE
9AJVcF+VZy++5DkDR8PZK0cQR0zFZ45YY7HBUKC6A73Julp3jlT3cHzGNwyM9VvMieU709yg48A3
j6cUc/EjE9D2BM27fhpBl5crOi/wdaTlcMewIXkQ/4H1DZE8lf62AltaHirhhpA1ag+Y4K4rGQVd
Rwj7Sa1yMBKY23/+4//89399H/8z+FncF+nEoP0feZfdF1HeNv/6p/3PfzBXWP6/Vz/+9U/XUkLY
yvbQVbq0PBGh8s+/vz1GecB/Wf5HKKKwqRtGzaWVtbc9hPzSD/v7jy/ivL+I4oAgPNvT0rSVZzmO
+/4iNA1dJqVuciJJtX61C63vXPaL/RxZAxhaSerVH25r+Tf+dlv/dkX9/oqzjpSGT5GcmkJM96x/
RIcaVfBQ+9peW9OMZQAUTbj/+D6Xf+u/XdWxiJCxGHtJ6+yqNAt63cFPPXmu2z6kKnaeLCs3jC0h
ZREmsgmhoE4dsadaxbz98cUvPmTXAhFturwH9tkviZCFlgcK1lPc1NOnxdKmHyjk/E8gZP38qqzr
AffUx9e8+Ji1yQEK5L1rucvf9NvbIzMCh51WpCfCvHBnz4xnfjDGjV77GS/cFMphlw+SHJ6PL3vh
OUvBJR2XJpxHTPz7y/aI20pVRcnJqcbHzKeX3esEZRA1JqqBkVPwMZGL9AkJb+qtP7742RezvFpc
XGt4TngDpSXfX3wyJ0abeZOcUrOi9C0w1Vyj+k67w8fXufBspbAd7CiuyY063vvrODUHXC7DTRqE
7RhGyE7CFkgrZ+jblwHU5D4n++H146sq/q1nr7BEZkp56Li2jfnj/VU1E+7Rz934xEu+8E/xgU5k
GJQxUseiLcPbjy938WHyufDK2thB3OXP+e0FwldBUpBRsjLUARNXGatjaIXMRz6+zIVvQwpPOIjb
NcuPOn9h5NyMQDTSk1+MWEwJ9qkJdmde57LBodmqQtPffXzJSz+fFLyeGARQ+arln/92Z8ai6K1R
Pp2iwTajx0En1I8GV5q2wVDaxVddBaIHJcpx/PrjS196qMQ98YGwqLuoNd5fOmhA4kPo5m7LialA
DP+3grkb9H/jDf39OmdvqO6TWctIYUpB5IenvAqekNlVW4LYcDeEEaDfIoi+/Y2bo71mOrCeTfas
9zcnSz3Tn7bSk+sVbf85SSqzf3CQT23+znUsz0Elq3mOZw8R05+bjXiNTyMHPgjkjZiDx6JGc/mH
F+Xir+VIBirags12fkPoARAydXl2QvSs9gkpK8EWsio5kB/f0MUX0jMFw1chXW2e/VppqnwafGF+
clI3eKZkCeXWEpYH+i9uXM6Uymokyr2Y+vjjK1/6+vDv/L8rW+L9T8YahgcEHd4Jirn4LN0UyCNL
j8TnAqH4W9PSWfv4ipfu1RQmvCAU8yafwfsrwtCKCbNs8lPcIST2KXJu23rMHgSEZQiSBQNUmlTJ
H656ae00eSURHDgOBuSzq0aVPZdDk+cnsl08VP5iLr+BPSxPLgES3z++w0vP9Pdrnb2ejJOLEV8d
v2ZktS+e0S4cr4qI5BHP8kOPxf3x/++CZ6+Ph3xfWH2cnzKd1tyc4UT5FjtT+SQb036tcky0f+O9
YfWChkyLhKPs2fMMCbM0SzL3TsWQ2numdaq91TEJe+s51Qpgmxs71c3Ht3npa2T2brPtmlLZ518J
cnQct3WXnpg/N9W69km53Y7My//wOC++of9znfNvQuVxJWOdpgBSwzeGvxPWitB6iHSi9BeyaIfo
iixh908F28VX9LfLnq2eLXiRsHeb9NSDx5L0azIfLVTFmHEf+qMd/WFtu3Q5tj+tPVea/JRnL03Y
QvGYoyhDMCj8XYI364rKMIB0nUVfPv7hLj1QS/K1K0c7giSS958822EZ4Kyl/DXt8fvid7jOLdQO
q1QHe87HB4jg3R9+xEsfIcuLEor/M9FjvL+mkzEyUCEb4MD8yV3DWyqvcFa5N4SGBbQs86r+9PFd
ymWtPK/PYNZaLroZ0zO1+f6SE4TE1jFstiXdhm8uUoe676+MvkAIgnpraUjhlaUDNTKnNHTZ7tSw
JHx+/Gdc/F0dhGJgOj1Xq+Wf/1bczF5bq8zS8ckIIHGsIHZ0NwB9cH9z4qDL+/HVLv60mmJYSYaI
/Lbvr6Zig2TEKYxPPnLoK3zIJYJ+fM2PTkbPsUwrfRwRwPxhhb20ElhATJf6zbbwdL+/qg2lben/
LpVwKDAwTH2zaehdjpuP7+7Ss6SQoQLWuLCUPHtxU4zlSFv65GSTSnTTjX7Z7cZkriSRtpX/h+Xt
8sUUX6M2zaUcfn9TfTGQu+FN8QmAqv0Gj9q4FkXgQIcV3fbj+7r0cdiWI+gsMHPw7LNLtdaErsuw
+NWk0ITZM2paj2E13RM8goQfU2L1h1/s0ntCA81WgBW0sMTZ51hlhchcHMGnrq2hRofFOHybGofG
TmfR1yNJsB7rPR0g+adK+NJj5XPAzG9z9BbirMLRjV+xIUqKfWYEBI5GpdzOubKGjQYw8YeyW168
mjLpipA2zRt6dp/siH4+oTY7Iamt1yVt+S+mdMGKuJW1NzBwbVgEOkzmzjQ82V3nAJ4MHX3fYEy8
YVKpgCyR9cYwje7yS2JUztXHP71c/oLzVYo6c2n70FKihH7/mhEBW6Qkr6YnLPuIwwFGHDKjnn8m
qG/QzMkEobCyHnqP4EyAo7IlK4Vzn7kLieX4+G+59BlzfPZcPi6HjtzZT9MOg5Cg1ONTWpAnCcNQ
wEIpBtGEf2Ov+/1C579KbI5NUhYcZTPRfJ1LwDAbs5dSXnUFavc/fF3L6nP+hMnj1C4yCVPh5H//
hEWj0IXqii4Ek6hijTjXQO5UOy6DJhBztAPJF0UYHt3BPmrWHz/T5ec7vzjEomXLW4635vIh/rb8
t2ODHBqb5JFkdANzVOtpDCOp+b2JMcffEzhhG09wfad4r8sgtF9wo1Xm88d/xIWvgBKfb4D+E64c
efYEunII64a/7ahMwFjAbtPOOdityl/KAlvDH275wvNmC0BSwG5Ha+T8TJ32YCVoo3l4gLr6CdYm
xDdZATbZKZwG0cbNG8A6eTDUn4wakeDf2ANNlzqDYoO5MG3594/cHDEuJpXtHSXqfr30yVleGRtU
3sMkCdDxbdTTj4rIwfwP+9Ol5QYIjmk7LtohRmtnH/OiSati5i1Hp3eY7vWdKVlmgtm7LzPEzTs6
1UH+iGsJqaP2BuNIBY1VQ5DitzV8D1a41fbD+CkAFETsSTl11u004qE4ffxCXP5D9bIC862z4p29
lhYDSrytpn/0AD0Ve7p0BGUL1U/3YEQEVJWJUZzsNXM73Y5zd+Uj8Rv2YRSNzOvLXvn7oGLLIlHb
S9w9b4Pey1TEf6jhLr24dIQ8dmCTL1idPc8aQ+Tgl0IfBwO3qI0X7FNEHsZ3uC3d/L8vnUzKYX6R
v9bh8/5aAogzEMR6H60e8jLDt5lJZVkN8sbo86ACaNoMob0uO+lFnz/+OS4sEsvXqfgyLZvD8Nlt
khwxmlQh3hEdPTSHriX8Ykglp347R3nzualV8QvKQPq1KWX6OII7jw8f/wkXCgIaRIpnjakHkMLZ
kpwyAsWY7ntHNHVMhkHV4GkuC/u582fsOGYf66/gwhN19fF1L5Q+VMaQtJRl8dGcF6zEeHdYC6V/
xJMzoHBh380Xch3I7WBOoj2M4ij/w71eWqAAHEvJdqCZPpyVW7OdAJkpff+YQHOOrsueyV5MyotH
/CA2XNyUXc1UC+824Lewf/34ji+902T7MQjw6FRLdXZ1kGy5xJtmHOPMMKcNzr50IBtIV1Z86O22
nrYfX08u/8KzLQh6EE/ZsRwWRH32rQ89bw/J7z7t4gbFMP5p92r2k0K+BPEoHvuqmJ7idlpSAqIK
Ld9oxgdt5FAXM5KNeTR5IbaG9sUfGtqXSh+qHtrMQlrWv2/MxKaQgFVaxlHB+ngJ6rm/TXg2DHSh
RsabvukzyICtAwcxTzG3Mmz37tMQbNQ+SpfH9fGDuvAqMq4QzK7pQtOhOds3fJdWFWEnxjH1GRtw
MFSx/XNOIxR6dKbqDcX7aP7h9b/wKnISlxZoG8ZQ2FLf71WZ6wjiIAPv2FWudV2QYU/OLonbeuM5
VYI4bgAXu6cBEvjITaPUf/n4ni+UfNwuvVS630La9vKy/laeyJQYPWQg7tEYkoxoVK/E6zz1qLQ+
vs6lZ8vkQkHIYhpvmWfLi0QvWBEo5h3TKEOtlU9SfHLDnjiQBiIriQNF3z98fMkLK5rFmkIHh+vS
/z67tVH2XhESpHBEwdXcxIM1hPs2MhNEeKQfrpFsMdgugoFV5+MLX7zXv+YnEAVYXZbf/LdnqjqE
M94weMcGtvV1VvoVYiwTULIrXPe5lwHIg79xRdrvLGeWlI4+e4t6huYTLA3/CHLZuzbIZ3zFvotz
h8YtCGQSWOXu4yteWMTYqTiGL7MvNo2z37PuCqTCfusdExbTXQDr+iYxoy9JPXbPH1/p0htKJcnK
xSdpqr8qmd+eJqqAqqWC08eptqMNDijiTIxhms2/8athj0VZLJhW/tsqCT2UXntm6KNdNe3eRmEO
87lz4kfLAA+7ywtDfv34zi49Qz4IpBh/DWbPt1xnlF2EZ4H3ZAHy4TFijrgmhRTiSdWTbvW/72dY
Sno8RnqMSzfq/Ws5hmEUk/RNAwgpHRLOYka/FA6AVYTGBPPxvV361djRHVQgVJkUFO8vFkOJBr8d
eUfNy7hVDGoWyRMMzL/xq/1+HfP9day+Gq20n70jFKnh8f9ydma9cePA2v5FArRTulVv3hM7TtzJ
jWAnE+0StS+//jzK+Za0LHTDAWYwFwaGTZEsFqveJXXx39sXBrwXpIFm3QZHb7Jf56e2smxzx8Vx
Lb6jRs52OqQ2Oh1uJ4bzouj6q+kn7stkTC9VUtqP5wdaK2AykiN4iXJzI8x/OlKWD8iHoA7+4jr4
WmZNpd5jOhUIz1Kq/IAoC96zlgvBt1Ai58XqQfPrtUz/O/8zVsKZSUWAbMUiCRXLgk3DUw6LqYF9
06CCb8S29rXHWnLDeNmDhhnrhWmvfF8eyhRLqdaosAgXwazAozVqfVd5QcifBHxygsfEDzVkdHQ4
QefntrJN57zTsqiYYhKoLsZyk9LPct30X5QpR8Ad17ER+95orpqeH2jlI1p442kU20g4qUWcLiXa
gXiexZryYjo1mF+E7EGSVpml1Fd4/OX1Vy0G9H3hWbGSXBAy5uNugBigvXc6KBQjP6iaKaAphC/W
lzAPnJ2mD1ikWD1C+VvcUvTwXoZBhFn2UF7aOGv5HeMLkB80hgEgL/Yv9p92VQ5+cIRmo3V7nY3k
wkjoZgcEEIaPmhXo15QlIhCgOR5EyZDm3yFfo2YNHR1niY+vAT+F5rFLoqiai4NrgxDRc6EER8gu
EBU1ZGtprOaoXiQg9mNr0p7PD6ivrTq3MokjJSDIE/Pf/7q7AN1JVKwEC+AoCBBTF7GOGY+g8mrs
tVCgdYi/ZfAZ4KiBsbmUsXnsUih1uLVh7LRXkfyMrwIsXFBCcCYtekBYFe3bno5YtXdtE9EoLTMD
DAUmbv/+ZeAGvY+dWtE+OfVM8uJmURMAo2kPGNaXpthJYB3BHUJkTfV2frZr4comfbZssi0QXfYi
Fo9KgUhtGwfHviJPDnE6fLID24x3JpZR5s5OEMqCJOAfR8PZByEgxr1VgJT5eEoNSsZQqWCg9EHG
cPrRA+S/6t5slRe82n2RgEct3eFTpo3589Dl4jHTRHY9pLa46/CJ2p3/CGvBi2cWOo/oGrLxF1u+
rMHaRy7fABX8+psfIV6Eo11eewkV1wtjzf+vxbsOVJUgxRRU2nhEnU4UEQxUDKzRf0FEg6cqShN+
hRQHyk3oT/f3ogmg+VvQo2u00Xu191DDN+MLh2oly6bbTPQkiuq0BhY1Y0Ov22ps5sclIm3Y2uL0
FXzx81B94kJJ+20LKf9+bKwh+/3xL01uMTeD+ACUNU9nH4gMbpJo/BcflbudXcMfxusWJp4aWtPh
/Fh/oJ3vPrULLoomAqjrZYGmLC3A1XCGXlI1OgI/jj756M5cRzLz71QFCCnCQ/HwWSswxNo7TqOj
tWZBDMOrEfQ2XNFqkBdKY2vPesuhYkMbjIbxO6BWjoushmEZdQTbie5aXOo+69K1D86oYdDoK/kX
gU8FziI2CjeZZXyzU/xa60qZCAVojHnREBTuhXtubTuwKDZVDHquJLanq9K6FDDazvFfpJ6hE24D
+1avCjztVQ93Cal5KnqQaAsRCc4v0frArkWTgJzaXAJKAuGWmsSN+iVKHUiMoh7aT2o4W9UFtBQ2
kwICbIctNx7X5wdei/EOqDzLoukKnmX+YX/H+LC3AnQS3RcjQeHSQZ7JU1s2SB5r16jM9xeWfXU4
lFfJC2cZo+VzSJ0KyN5NyLZ3q+yrPVCQ9WSs6JtBoORyw00cdQ/nZ7gWZwikZPI0lgGTLY44ahO9
dOOWNe3wtfYi3/Y9FYWM5EHSHoRXWJoZlLikTb9WZp3vzbBxvpz/CWthldkiH0zupHEETz9yAS2t
rgbbfYlwvrjqSNoaJF3FrzYOu2J7fqy1rGm+NkhYqFdYyzJQlFDZtwema6EPcwWZEXYSl/LwK1OB
1miYgiuP9tQgze1IkKcXQs3KTClMgv+gOmlziSwOUK0BVqgQRX9pZmLaoEtRHqy+ee2UsowuzHR1
LIoOLgBBaqHq4qtmyYQ0F64FxymrousELR4UL3H63FuW2ZcXIsPKxp27DWQgdOCous5//+uctJ06
4KoTRceudOLHGY7mjX6W3nfw8vAVKy711Fd27Z+mKsgLuD3v0B+w8WLYoGV0bI3EgGYdRwOC2FVT
pXd2MP5R8xvtNzWbzBs4CGF4O6gtfrrn99LaF56LMnPtAon6d8hIzMwTLEDAEChzmx0gXPHcA/48
mrVqXIgMf/pai0vK/nuwxdZpOohJ7aBHR1T93J8R+GT1kMVae6hGVPtJuRGf8LjK0S+xeIt/aYoO
4XpvgFoGzwNWEFVow7JfHaWY9A0E4bG6sAdWPweLwfUAgMO1jdM9YCQmEP+QX4g+xIDMUxU65iEz
GmTLKYaj4nT+669uOXDvKpGLdqSxGA57PgvQnctwFcTsfarjfrUfkMRGtRLQT3hn2u3b+SHXF8G1
0QYXNFJI/U+n6IdhEIBICY657oKy8uCq2U948oyoGiCPXVx1KjJC1w0yR3d55to487gi+V9BmuFa
JWegvFUmAJOwzZK/nNbstQuY57VVoCYzX1gU7ygYnv7EnPnj/ApuPUT2IUYSzMRMAtODK6VCHOjC
GqwONveBQXnOqKTF90ByWmS1rURHDXvQ4FM9KU2zn3BbbQ4TknK/z3/+OWItj8DcSDDmTBS42eIy
LjtrFPgcxMeszMN0a9VgF59Qq5suhem1jJCGJHk+b0kNDM1iJBDq1oBdIEqjpYIGaELJ+xXJCNhr
Or7L5Qb0E5oTOgBais7xcO0bsdyBbS3wg7TKK/Tsu/35ua/tdgsANjcWVSOe3afLmjayDY1ejY/O
jziquhsrV8oHzQ8jHyEWs74Uz1efe9RJrf8znrUoc9dmHRioZERH04y17hq7rzbbt8YA51y1w9uS
aov/GXuNYGPbDfZEvEDgwWdhWYT/EGVtcKiU+0G9sf6nM5/vEjIXBNL0PCtHDxfdeDvlnfHLopG6
+fhXpmRr2pRQVXKwxX6emt6doKnG0Hgs3AfqQWTYVLZA/BDDKfFLICVSL+QEKxkJhVRuEYPi0Rxa
Tuc34AGma0UWHTPelvm96w9Jc9CQXLxHpzVI9lHZB+OhlYhu4tYy5Gjf/8OkbSBbYEVpWi6BQdBF
Wn1MCGqTDWoCsxgFdqoa8lt3URfMdq+0YfwLg65FDvCpmkMBlOqnMf/9r4RBUezWVznOR6NQum+9
HDGFTl0upqzLjufntzYUtRcSO4ucT1s2oSvSaGCEdXgMESCLb2x0/3Z4Vhj7LC9a9er8YGtlMVAx
PBign/F8/3Ow/ppYP8gW7hW1wEyn+kEFp+ByyA11ugmbFPUGWhH0/JAhUtQDTTNcH+D+SlCBFqzl
uGYWFzKHtcjBjjYgIYPIw7zk9EtHRpuLwh8DBAYVcRNM5EVtaYpoJ0fERrZ0YLLP57/BvGOXcZoC
CeeHXJehF08K2VQIqVdVcMz0pLLQeu7RRR+R1ivupGIFm1JxunSL9kNfXogV6yPTFvzfkf+U7P76
+KqfqDiTOmxlx2mNHT1dq3uCOO0CYB8UcZ+5GfokLilQvvuHOTvCItEGHQWm5fQrm9jMKFwnwXGE
xvQI3tC/cWr0Pl87/uR1IH6cGzGp5X8fH/YPwnNOSXQhFourgVukBNmEYHO1Zt8hP+ZFBO6rENWN
b53shwYhhziZ/mG2Ds1BDhScPH35ikJd12qHgGJrgdfAFx/LnC81ln43pYoG2z7JMFzyglTBoO/8
dNfKIkQL7vU5SANwms/6XwuMepLFfRspL62q9eOtg9T5NaISSOkEaiOwh4R8nzpRJW4B2OKZLMRW
KdkMG61qJwQJVKl/bQBWB/+QddHDoQnOvtepkJ7+LgPVpBkZFhybAccdj4sVnnge+PGxqzBGuBA8
1440JTlDgOSZ48xiNBvRGPaxGRyDtMcnuOjE0G3LCvaQ6LR2myLx9C8LbrKzeaFD+7bn1Oyv706B
Cd6SmkbH2XbnaZhwvHUiOfzWs6RDOJgX/FZVLvYZV+dpUgUFXDlH8MXuRskhQic7DI/xFE1Hejmt
+rl3S2N68oE0VVsTGdtL3fZ5By2DFxkttReKBFyHi2+LxBGixVYXHRE1qb9XcT0rXE6O3Agjc9oL
C7kWr3gtM5RJtsl9cfpZCz3LowrqIBTasEZNBMuWR2wm8JYoBqNK96lIEBypogLxrPMnae3TzlBg
qi6UBygzno5sTHHDI437N0Rg6LVLQucORawOAXc9/FGONBAupFZr35UCK5fijFFlOU8H9JVUR77B
CI9AYMFd6/jdqDdJbclmh1BNHF2AH61kVTQz0eznYUjFftmdQrNMzpJAPJd5mtd3Nc5YknAQjAis
ZVM9PrRtgimJSGd1pQgHVrk//4FX5iuAG84EQ1pStMNP52sgEF1MuHUd0TzTt1KXvBcay/k1gnD8
cn6olbXkPcQWmlHdsGEWdw82SagtmVl8HMwcU9ppMjV5o1D/wc3QGYB+9m4+/sNVSzXBdmcSJaXg
5dm0W8xL8tqMeCJ12tZ1q9BFlFETv1GYs27RrUwPvgbG9cI2mgPN4njy/OFtRn+e3HFJRhEI/XQK
bq8vgGoxPwMKXHWPuHP0yYWIvnI0YRXYwDds3kAQRU/Xb7R93Q6qAZyziaf8Jk0FXhcJpVt/66Ct
nT5i3GTXG3r1oPs/vp6cy5naRJlBcxbB1gx1TGXGFHhF0Bd3yI6Z+y6WDWYCpr5tNGW8EIXWvinQ
kZl1wwOTQ3M6VXhaZYo1FyCDDlnha81KAMgKmfYXMCpr5RMEEgBX0NYxeMounnKojeWKi/reC1jE
/jpGkh3BPqW/HsWobJD8SZ71DAGmQ1AViCb3yi/KO8jbBHZjo9Bn2eiITaIpsY01ugv7ai1ewHM0
wECQYr8r9JfZhKZ9WzsvIIVc9abEkzS40kXTt88xbhCKVypm+wSIwigPJp2g4Prja07eQAUOohX/
Xay56DoLoT+QshjL4DcT1uN2BK63Hwfb2mDs8g/EYAH0B0QkkUN3llj2KtNCA0sz/6WGXf6mSkMv
kNq1sX/YRnJSIqQ5qRjfDhM23I/np7q23cArcK3PNw+QwdPt5iNRTTcgU158ARprYyhl2yGxL+qf
/zAOdxzEtRkBsoTi+tgkZWiP0ruZouEqkZVINyZFuUvoj7VIT28V0QZqU0JbFgULNITR2ACKiOJh
s0GAK7s1VPQfIQRGX89PaX0oio8kmjwxl/2hPGsUtJ4ZylCS5KrL1LfEr/qvsuYu/YeRwDQAgSKh
pfRyukg6ClmY+0b+SxaFzTbJCyxxZafesYf9C1f12qSoslF9mJfqnZBBmVjdlNHifdEi9MjHrM5w
k49wyfUC6fYX7sq1sE4WAlKVtyn02PnH/JXIIoldG3gEKC92GOBqFak9NvNCdhNmntitX7u0+KYb
15iKC0s3x7blxeXO8dxVSZ/NZZXFSKnBWoCBjzxOqlfOh/ySCvVNtrp7p8Whjyi8PevxR7K8a5Km
upCOrMzbUclHEP2gFvCux6348GGboOOBkrn5F6XOhnEzdq681a0u/WGXbvSlchGcvBBWV1ITnmtc
LHPHmKt0UQpIEEQcAycJj6lw8u9Zi4eO09eW79lKYj6RNcQXgsvqgGzZOYTzJl7u2wZ59E5aMXkt
9jzfkN32Pw918EXL2kTjIkmDCxN8H8zAQFGYnFHujLiEeJezlG+BFNfLSBnnCZ1H7iuSMOP1/HF8
t3zQRlg5MBg8HWldztP+a9sasZrlCia5xxp8whc315zG6wYhQ0+MRoPEneFE6HJaH9bKWIy7SA1Q
6YgHDf+KI/xuLgVfWI8IJxaHjKIOtk6Rirb86H/0LpwHpYKjaS7hAPT86WTTgY0ZYqVy7FjNLU8/
c5tUiPvioqU/IatZfDTWMR7PS2BN8GXnGH46ngYHkuoo8hQ2HPYOjoQ0VA/HWal8igD5pB89ivNw
c2mQ4pjDzbtI1zHoKHTRJyVa7Q5yNGFfbHEXyq+olVWHQpr2Bs9gceFcvN9AHH9e78Rn8J6gc07n
OA6FzExrKI5zAeV60N3bxI/QOrZ7KtxZGSteHPbVBYjiu8huMCivaJtnH9HWWuza3i+qEK3Y4qhh
HCW2ITWqp3SM1XFbNhdfQauDAdhlKWF50GA/nSFq8iNqH6k8luQ739qikI9CgkRBaFwdPpoxzxP7
a6xFttZFTtXrYy6P6Yh1zA61dIR/ARqijnr+3L8LZ/NAM+SORI0PuHxF6pOMaUX1KKdI6Tz2Cfqv
GF4nG18EOrKjTnshRV/bJrDQHap6PAYAQJ9+xIHboAKumB8bHkfXDZvjGrH5sffwNLVuRVErj2XU
7M5P8l3uzST/HnSxTTQrwrzTiItjVhXTHTtDwWQ2GnAKd7CY+daWafAWYs3pdVhEXQisa7sGySHw
hAD7DFssn+notQ3oNRQACfIa7FTqdNuhQ7N7Szt7eDk/0XeXxTxR0m3U/2aljKWmmO+kAvR6Uxwx
AigfE+yh0V8v8jzYnh9n9YPCwIeJL2BgLQ+7rhhCmeo2P04jLUk3w84qcKf/KtV/GwqhjqjCWiGt
NJmnF0L3uyznzwz/78j00E73Tzl1eoClX35Ez975Jh2KZ/YE2FVvA3mVtp37PBlywDYPGzB/Bkor
z+envnZgNBhPvKPYvQg5nv4As0XwXeLAeAQIcavr0nzQsbvGZAHjxG7Q8x/nh1s5L2BrEI8kptI0
XJaZpEvQ5uyjdFSYjSfVIcOc06EoSfBInhEmde56bCD250ddmSScOl4AjA11dlk2TFAzyd3WyY9A
9cVtpBb+AWJdfgPhEZvFBEmQ8qNpDpAlLmKQ1SAtBHfI6WctZV/Vc+Z4zGWT7Iaw0surCrXd5sNX
8ek4i/hToNEyICWbH5G99rECgmN+6NpOxzqkofhx/jOubFYe26wbiwGad5krtllEQhAV2bE2ZKnB
53bba62t6p8zivpYJjG0ZIwKeIx51ewr8xRjW+kezv+I1bW0oECRfXA7LwuxVVtqEcVf1hIpd0pL
yXQIGt+5IiFBF7QBM39+vJWAB/bM0UC/Mea7ZKfVFJjOnZEfZYL5iNIQ5byazuvVNLl5fmHbrE4O
HC+KhirktWUmp1slVq5+UBCIohbDq2J6oo+uXld1qD3guBlcOI6rk+OFNWPQOCFLUSBNBPjbTkyu
SLrqbmhNpfZk24f5VokG17hwDNcOP9qTlAdp/dBXnmf/V1JuS11UaR0VR04Hbrwxni+TL9RHzWnb
z1zq0843avH74+uH6h8IGLQ8KN4sssfAVvMEZ3hOiKk5967UoHih1f8jF9klxZC11YNPAW+eHpNK
oDmdn1Yghd2PmAo1DYrqd5kRR8pNgYPYeE+OPPg/1Fahu3hhz6x+VRirYLooRvLv6aiYDVCuhrlz
jKWqPoMec4xDow7Jm1bqznPpJ/eFGiJKff6zrlyZGvq/xPE/tZVluVc0JjBJo86Oql9HX10cUL2m
1aWzdfpIwwU1t9zQC0dHL65CTLPDC3ne6qRhgiERMAs7LdkV9HoKX1MQ7UpTlNd9HyOkzi19x1Oa
Stu14YS8dtqhp31+1msrbEGa+UOJJPYswjqiBU2Ioy/BoK8yUEzOhJVTLq/icpZ0ByPzD9OcyQxA
uAh3vGNP1xY2m5Hjh4hYn6an3zHKKLcV3OTPk9p011YDinST6IG8AHFeW1v28Kz8QJ+CrszpqI6i
+gboVKTCdB8l7RFdINKg4EVTMXIc+lbZtYbZ/EyaMPly/vuuLStptEO1zuY/6mIv40aDN2WNSFnZ
NeIekXSs5LA9yDwp5bjVq0xuXUte0kZbudeILjMegFFp2mqn8606FfGOKGC+JHtXlmH3Tz3OwNt8
hE25jWqJ9UuCMzNGYq5vPYVVJ97Oz3veNyfFrlldFlgA8Ew2NB2/018wJZ2m+iW/INcnJ76Juiz8
RP/EGfbnx1mJ94wzv1PoWmjvwDZ6HJpVKZAaKrFEqTa4d7TtdTVVSYE/HE4IV/8wHOxFysmztMES
hEcNRqccb8dHJC/YSQXcLf3O9k1/gmdWpAj6fTwqsW///4CLYD/1k817GfXulkiLxZBQBq9V3PpF
VjwCcY/DYW6I8rek7KcLIJ6V0MDQQGloo84UnMVRFVWhJ4lAV8kIMCjy7BZD+z0+Ie230u3dXwma
9hc2zcphYcQZSI2SHjD5xYiolA+NiXnqsSqr8JNqhAKc1oDjKs5Q1e9c6Vysw2wcdc4v6tpp+XvY
xTduO9wENVNJjm5QvRayELe52SS41xRd+Sr96hYo0SeczNob/FmLcnd+9NXPTDkaWAVCZiRKpyel
zkfd1xtWeOpkcARveFtmwfjaqOYITV30H8+veS4A3OGJxj/LHYxkd6LEfZIe7bZ5q6sCNyoj0I5K
p1mXpKZXoi7IPgr6iI0hzbV8pGht6+euGqIBn6o3fimzG6Pyh9arlaA9RE3UYEYc+rMr8scx0HP4
+WvoxZK6pZNE6C+nR62KobCI0hU7VzGtl4Y08MIXXdu13JOgwYFxEPEWVygYdHr/iRkfi6ztsGGZ
9Ka70cu0w0RQEe42UXQs07oSl6mr81tnLfhR6KKNBwcC7Ohi6+Rt4DapAtIbROt4O1hQvxzIAD/N
tm4v5AmrQ5ED8gr8A/paDOWjCt5qoRIfgR1X10451dddAdsyRU386R9mRRuVKUGB4gY7PRBKMVrJ
iB3oESNeVNOwI/SGpDUfIsFF8g9D4d88ayRSxF8SFsTExtVmb4RqKrFn7JLR3NuhiRdVmIpiuBBn
1s4Dgi//b7TFRmnGZED+EWlEHUs8POIk0K57ze/NTZTiEVDis+R7SAiLg7Tq/EIK9B7PzZEAHoiI
CMoG7JfFZ52wUFeDjtGzloQQA/Y+RcVT13u0FKBkYfbpD/odZTjrS4ZzOKYgIPtvUhzGL/E21vYS
omSEPLjEvGEWuYFetiM2kHF2zPq633dhIm5pzFc728KJ2vv4CoNhRx4GxjAnZREIMLGGYaUpKVcK
lg9R1sbaRkY1QOqyofV8frC1bwwOx5y1KNH7pIFxunVTq5bKmBfxkb5pMwL61ZJ+N6pTu+vSqjUP
hq21/abGcna80fB2e3Cxc5NbUF/l4/mfshKUeB8SezHAwDVhCRAM3Dgc6hRhuahIxV0e9Ya7EUrv
Wf5PP0vmNc/0S/t75Saj+Y1hIboxM5Zt8a3phNm4uALwKkGdvllA87S9wJlXfO/jqkQUIHLy5OO3
J10+EDIoVc8Z/iJlaPQC1dVpiI5Om8c3/jQUeFu7/XAFpVN9CDpV+bAUNwif+WlqMdyskLOIhMg5
qNiGgutURkV4EHSda6w/08/QRJ2NHQf9pQFXUmkwMywkKQKyGcvmlNE3hSo6Boy12N60jT4Uu0Tr
NfXCp1zbMihT8wDm0c2Ftti8tRbYQ6A5fMpOSR71uMZvPCvMPrjtaXEGh1I61BZ99CWGj47MiaE1
NePXKBOBajg9NlEEWkLXoPXkvcvDuqNuHiLdZMgUKG8SoEWCfXi1sdxc/PrgMZn3DdcaTzSEHTE0
OR0Z4SEVqWG3PQYa7fGNwJCrpTNth9CnI3swNlo+Nfux0y6FincxkIHnqhGgFCCKVFdOB45zx4mK
IesRxG+q+6LoboIWHWLs57P+oyWxOamcFXlpcmg0GxcbFl8p3K3dUBwTsx5fcKgcniJsrDZuN4qP
Rtt5KFrCRBwADpyS01mVVW8NnRaLY0vrs98VCniAnRFaw22WYzx3fu3ehZt5WlTByJrB3YCbOh1M
xgYZVWym3x0Y4bugDqbfZm+PL2GtFl/nfXYpn313QObJ6RTVqPZDb1xKuE/SSOuqSfLvfWhlO7Oq
qxCvLje7TV05/UCAbLhGZtP9h2nyjgeWhosSNKjF8vl+Y+cDZPDvpVvZ2zxXFdWDfpJ6iAFkV/ju
Nto/jWhhl8IqIXK6aOFITmJMMzz9nsmp9wZ4vfeZaIP7EFvFvSyc/sJ47/Iivit5szOrXMwSuosZ
joYte2Vwsu8DlKDd2EbKrlGt4SvdlnaPWWxYelkyxDwcXP+DFkZcGLziYdWCRyauv3tyZnkcYtY8
xl+kVmG8OW2aS+ZFSz4QKQ45FyUKrkXIhCQ9p/sUCQ+ltWtDe9WGctwXlWy+U+r7oY+TCinZCL/L
oVb2iZM0X6k71HdxWz8Ch2qezx+XP3JAf5Vk+B3A/f5oEc4AR+Lt6e/IiwakiDqVPyw9tRXpGUo6
dLe4OrdorbcuIlNeAacg2qE7ocKUSOLAqD3h13H/aUpNjOCD1inan02D/sU2Q+n4m8Cr700kALtg
uGBEjvx+VABkANvqdg9Vb9f/gdW1XrBMVmtPM7PuwZB2G/28MLU5rpxODTM1kDEQ6OZQt4w7jd30
MvK16MfQA3d+AOnQ/MBKF2Nq0l6w9aNQg12CSrR1FRmlaexKe1BTY5dHeTrdjqrUtM8iUsLUm0LR
h9sxj4MRdmc0yYMyFon/oAGpLq7jgKIHFpno61zLTM+0xyThj8LuDOsCcmIR3bjrAU5w4Gdy+axW
ORct/motTAD6fCHK8RWocfGkt27Ueq6GtUKju8HezrsLJDEIq8uPiGgpwAmgfhRISR6X8TTqcyWF
jPfDSiNpHZR65CHmAYwv7ZspG0SwKzvTDTYCWIx2X7VQx1z0jcad5RdajnG3MLN9FQfODzUMFW3r
u2MWe8C/OmdTRrYM97ESVvlThuFm4vXFFHyyWrgfd5bTGBjWN26fH0Kn1PKX2vT94LZC0WgqP01D
I8vmHiPa7GAa9FiephhByaukaLGjxJZAkXgKm9XQHejGVDdqnGc1JsODFn2etKC/z+1KdzyhtPGb
XYfYLBZmNT2bObo321rpOJOpSMt9PI5Dd4UPaOIfirjT682QBgX2cWkZx/tWukN7MzhTRQWuN0bf
fii6LP2ZUBbrPKH7VbkTBt6Fr6M5IihfJ6mIN2mWWIE3oMNpxns77f3oCzyQ9Ls78slucxrlYlNa
WRrfyxKt7pZigUlr3mus0lJujdIXPwTpUbgzSjf9VFZT2yCrgPH5wUI+LdjV7pia1wNes3Lb6OAm
d1NX9XKHx23aeE06uE9Iq+rSU3urdg8g9RLfGy3o6ZshqA2si6UxNns4PW10XSnUaVAzmJSnmsvM
vypQG8g84FdD+OyWvXR2uWaHzrZuQbfe5aoqU+S27cztdqhoqNEGLO4gbjuz0ATNA5TlNmXpx9CD
xsH5ZlAmtW/FqLvlM68ns32wCis3wQBMyY3eoh3wRYac2bsqr4YH1ara1kutMHLRqZ2q4Lrs9MHl
AqxKa2cahZYdlNYV8b2a6In9IKPGBt2LtP50VUdO7HqNE4Jiz6YcUr45KLdRS0Nu06lxn/8IUEVr
NwPX/Jtj12LclHYhPxM+568Wm8GAnbgejrcGehLpgyj66VcwNSE62U0hJHbGSJYg+JCqlS90T3ZR
72y4s+zxEGAekz1MvapoqWckBFe5VTJkA+5NEhP/Gasbrb0uy8DV7k21UvJrHyfsodgYbZlnz0GW
KcF+QPcwfNU6u8w/1apIm2JbN6mv73pfl+g/iSxS42++Erah7vVaLQp9k/VRZn1RgR7at1kBxOpa
lEVQ0DTi9bDh6LXNs+ooeh7s9ckwZLDpI0V0Xp/Zpn/T9/aAW0kVBUkFo7tLnbjxsBNB4rHy9STc
6vboU1nHWOkoxzBQv4ZBpT5NNAcDryIuxNcRoVnbI/mv/+fjGXZraqgDbGGI43Sqd5VqPE+hMvav
miEN4Cid2sZfe6TGH0zFCMs7q+Vu8ohQiCY7ToCja+n37rAJLL2ptp1rA87p9SJTn3BKjv9rgbpa
D6rKu2iksmd7gxJn0wZ/WOswIfGseWol7Dd7yo2XEgkMje0d4tVtjxNex740+hQaqKhrr0BRKNjo
ZYAdainqokblykFOwszkAOBoijQkc6f2p4MVd7apEyX7XANcdLzQLpzhKqfZMnpdHfiYAYu8yG5K
LKnqvRo24fVkpIa2rRq80z13bMYGFTwlbtUdSVWRbVGndT51yqSUXm3aubY1fasID4YZ6ybmyha+
x/sKzmhy3cFcqsEiYOJofUeMJPvpdybnOm3TOtwiSNuZn+DjNe1NWqFFe4cafdxl+1idTPsmqvzw
xUrjsd6mk2GFCPXruJSLMrCeoZ7H/VaZRoEtLZqPXRF4pcM7eqOjmf0pMBO/OaYuyKUNbSI9xiFQ
nWdXyE7Z0tvX5Z4sAEEs2RKiHotO767UPtd5tFVwSTbZEGbTbd2nfvsJCjYiCSkc3WNF8+g315sZ
fA3ycdwPGkpSPxthB/rGqiegXqj8p/XBklP+WXUT19oUdhVbO2MwW7kfaTl1G2mX5rBXaG6C4E5w
wvTGBOTjVUqXJNzmvile8IONxtu+mfnGTmqZ7XXbuLMNKlxkr5+aJr+rEjBfO2lHg32daz37Gcq2
bnv0EYvqyYzySB7AMnX2zldzMOm1FIp213Uo5GnbGnko7W3MkIR6UCGaIvpnDXGq3wVzIRU0QMD3
dLkz2o3Pa0a+tHEvi+gAVR1X6G0qwynbnM+GFu0MGn+zHxJwFmpeVKOWQvc0z/3WHZPpNQ6sursq
giZ9LlGYbj/5hs8Zd7hG8NFmisO+aBpDelneOh+Uxpl/BRU+8haqJcizLNl++Bxo2GHb2qtvpLgn
E/SPWuMmORSTS0KU71IlhuLtTgUctiYvavM0VYK8EIdBI/VXomJ+rMcmuBVhVP1o5DR2B6mJ5JLB
yeLFwuRsaqRAghFh5B2/LBskyFIlJLbhm5uaoeUpQvYPWpdpd42CJFkgcRMQhcQ9YWg0eWF5F5WD
ua9LdZFixZ83obUE2OVWT2eoUuK3ppFDuUlGO/qeUZLa2kOaXnozzJ/uJLF2AAr/6ckBFIJvvSjp
1VXgWPSn4tcgbJSnGE5Uc8/dURRbDT6Ds7UCCrmH3Oos91OWQQDflWpTdrsqmEjKEiOGWQCnrLz2
AeU/m6CBO8q8jdv99vvQKcwtZP02+tYroaru4Zlk6nXkVvWvMrftlLjpZMXtBMixuyLXy40LWNd3
Gwe6PrIiPM04jDx2F3WnLh7sGhkp63UiW67m21wLPid6WN32Slexacu2qC7Uut4tH2POBPaZOTmL
vC1eYVWbO6NOwfd1vrVaD35EH920CqUTr3CD9pICrrV8GvFxKI3MdX9YsGydxRyDHqnRKYzU1yHG
CW0vpZa3nwelxhvd4iHT76xKm2D1sHrWNtdT5wfojE7f0JyBLTUqaTSkXgyjM/0Slgje2QeYpFP1
oMu81a6w17bdpwk/cYlD+uyunHvSMEL5XzRK3yI972AnDCht4zz5VXKTBTsfKY7swXXSLNvoQBeT
nd7q2nd0HXvNs82yBDsp6aLxyJFxfVNk4RQ+m5W0qs9Brhct7u3G0BZbUN5qsFHwD1ecDRKZfnyd
mYBKvSLydQyPIW0qO6EnVtxtGrvTxB4lYDzPN4NZC/RyCBYUyHdZZ3WznXnR5DTR/Fh29ZM5cYW9
uH6Q5W8irKz6g7UrYtVMFOR5p0KLoXa1CFkoEMdRX/Xjd/oFwS6achyLwsh5EJPxhsWjcqHPtbwS
bNhvPJD/h7svWY4cSbL8FUpduvuALOzLSHeJBOAL92BwDcYFAjo9AMMOw46REZnLfMSc+1SHvs0f
5J/Ml8wzZ3gkAWe6BwOYyu7MEkkpZjDUDGpmamqqT5+ilguBVBEprb6FLKjXCLVX8I9cgrfCQm0D
d9FygXjFh0roLnm9q2aiHkq+GXhS5pq5mgTygY0/PGyYA1h5YaIRAkG6bcgkWrs854ZGLD66qitZ
mh4Et3GdeCYi+DJcDpSyHQhG7gReNiPiYAM9Af4ARAb6Xx2kQqlkfi4+ajK8ClKgeD/0KFnUiW2b
XK12S/BzCFZMinuOcP6ZUMqupWfhITL9N74cmsehB2UFAk3iIJ4WKV6EAx5Kj3ZByAmPyqu5XNH2
E4BX/FlZlPXxfgdgSF6FvAQOJ8JagGJD3bgt+h9OW62slVqVH1vfyJ+1IlQvDbx71DOU02i8SUpf
N2ZFEXThEu2/ODxxKUfnpVil3cyugU9bAGthHwhoDKKnL5MCjyvqGBCvlYeFBS7a75QodZMfAQPy
LBH8SnM9yUre7Kq4/hIl4CJYdFSy+YcD2mDqfX2HMW0gg4lyG9yau9ShedAC3wbL+Oh5un0PjAmN
ZiCyTI8zr5CMuZd4bTcLbN97DIyEPiB76s9ReMsL77xtNvPA+AArITKNmGB/VWSDJL5SN8pjmVf6
lU9FzbINTy3gBGYanE49Ccrl/m8f6ByZMThFKM4HMRvCj6h66Q8ZlHUhdYInPkg3MDCciTbf5KNx
IHI02N47gwwiVYWHemmFc8UHBd3tJcFyuVPQTeqHMiYHvmXYJlbVGpSAgV0Q3+Iea9f8TXty6EsG
ZnL4JdLgrgQjp5KKoS8+YGm8c6EwOfTvWbm3xZ14vX9hmOJf7cmdkdit/Sq6lzWip/EUIwkfg1O8
W5S5cuGdAsC2f5hDOhtYQFHz/SSpoTP7Ip75M/4Gtf0HUGKHhhjYGrR0L2zOJuKDamWWPLNNb84t
9n/FBve1T1uDk0MA2gQ+H5+ROdlltlwQkI2b5R062qrPhDPJZ+PEnXEneFwr6YFLZBgV3Vkptvtf
rVREwNZY1Pg+311S+Ti3rTa64nPWUlYBHa+JG/RS0eeudCJInMkpmQl0O8efdfkCc57VsHLqLZ6z
ufzOZNvOzNjKvJoZDxiVHzbYQ572FNWf8vixpDf7Nf/mgUDVGRgQAaWHCe8PIXqlWMNqYf8E5m10
Knwxvrgzd5EcuLDe3EOvhhmchqT1ieEFGCb5Ghwnq/Yzd9Iu93/JoSEGJ4FT00KKImyhcu7O2TZF
64nZuCEGJwGseYhkhmyI0/TcPRVPspPg0ElgCt85Ca80NTgJ1JNTjYIeBHYjNszqPGpN4NTpU0rR
2NUKnvmncd802P25a/BcEWH3J1+7M+5eOo2XhxZ/yAnyso9ffdNgH2uB4KUc0nAP9pf0XFwmX9Sr
2jeb04ouinvvTu7M4rN3AM52aDsMLsYiSBrqEYzZthaYALIZl1rGrXo3TnuDmzFO3RAxMWivnjfH
L5tOOtk/BFuA3Q0BL4/lahFlGexrYBK7KE8C8UGjpwl3o8s3St2ZUv04bpjB3kZjZBsEMRgm9eaG
svSD0zS1yEHW1eH2RvMOpDhRSKcCjQESvYG9KTRaNjTku0cj173YFEhTfrJ1EVEcJGU8eZHECWI5
eDuQYw7wpngWILr1lQRUhtsB8Ijzvq9mqEogfBAagCsNVuOBXWrrhkp+YQuPehACMM838UfKpdxM
QbMzs9S65oAnxbT4ejExHmo1ETMDMATxlqGLjLcpphMY3hcX/dNl0/ZJiDpYW2sPmHVmJfrjIO7B
6t7giiJiNkzwo7E2EpmyaD9WuahnYNM3+JI/LROu0wVLS5P8nRhnuPsahkJmH1E6dGbcXLKvrqrQ
9TTi0jD9ImWRgg7MYsxbOgf8r6Z0KJr0i/RQmGV4wFnJAQiGUO0B7i205h0cvQLUQnxHJOLkIkfO
Oi8gH1VUgVwgBaR/BC9Xch7GtnHAw99ZP4aoZt3SUB4JRp1hQ55ICvmGQ6oKMU9Rn2cNOq8CSiFa
+3flzuoBRwCHHhpF13uUtAwOCZfqSFFHQuxQDv38LCQtkxuDFaEuO66ODtw4u5+ko46EYetQlIRo
1WAwPQVoA1DByEnVuDynKHT5FKNbxgHFDd1hKAvRNxaYAHwaL5WBFePtrs45xM3uBAEZ95RTlYtK
I8Kx1srFrCJq61uyG6DJrx+lt/u1OcRsIjqNluwgYUCAAK9PPBRxWF7tTYUPg4zzXP0u83AlmEnQ
6NTRGr6UL+LEK5EH0Cnr85KhQU98i/gdmL9NFSzg3DoI8WsHFL6JxfQOJ5jNUFLIWPtRoQncSH8+
uAptpLFl977gkCnyLTvItXiplEXlfoo6V9POaBHLwkyRdJpbLtJGhsnL2Hk3FJx+6RoVj2WLLo+I
NQSFqXoxsiSmEeZqfhqJuZLOYk0oqshqXST8j1s59+V3AkGhUgT+0bVGZP9C7edg02ShARBIHch3
LXizLhEOQgqmQhj5geoRGkUhjZSgAmr/Ou4ceGCjGMwXx49H6ecQVEyxeT1djfQ7RH18Czgu2wS7
s3aKjLx0YndqdiGjKfzJ/kHZWvTXCucdZWX4WjywEWDrr5XYoM9V4Cf2XSpWnTqn4OEOUXeUS8ox
MvW6tgxrEGOekKji44XKdY27RO5VP9R9c/f4oJYDcEL0N8RpBCNrfxoVe4LJmsvdyZkWd9c1VxiS
iXptVTrxiswAgwqts2Se8MjyzZMsVexP+/WwY5KgSqCsNbRl2kBHB3rg/VRWCC8m910AXjfkUv2m
WSiZDSLUuFTdQ0ZpZzjoGiX+2Fyo+wLHz+CI6C7VgE3SgvsQvYuBwc1jMPFzfgqWgwB6P2AhdrSL
XmIIIcK72gA2N9G2VwaiDhrqKl7J3QGc234KS6m00lCKl2ng1iAGVctZG/rNTI5R/btfrbu2yQCv
EEMasv+B6nVwkJqYV2wqh/Re8ih3SSPDOJcr37hM2lKx8NHymRRE4ifBlr1LWfC+ikIRLffPYedc
4TZjtHhg3EfpP1rI9veWoUSBzLkZPHFcNL4ZESmYp2IdPNe1Ep/KmftIACqa7x90qHJkQhkROoPQ
I0GDyqj+oIpcM2+iVO5pmsRXuVsmn+qolqtPSLR2X2uw8qmzSOky/9L2OvsQJ+vO6CyZiEcvxofa
0UShPzryyFlQ6XVzryaafm6HJC6f8lQ0QotIPuVNQM6baImrqV4mLVII7111RAdxq8PvBAkeu5wG
Krcrt1GJStr7Gg8jwfJ8UT+NA70MTqUKkD0zKcL2Mgaq58bPcvU0rlryJCV2887e3agsYn1SARxG
7RYrbx+cak4RaqMtM/4+ywu0FoGDkNJlLRYhPSkM9MdCI6QoPRAlZjJfW1QQaQGODfwZirCB5hvW
B5dNBEwMgA33aLKmzwq5Mj52mbHSo4CbVSjiPeBLDXc34+1idaPwgsFlCgPaX+pAAfV+nqf0HvzC
iPlVRX3R5aRbcIbhimaGjY6MSJQ/79/ebAH7H4nSEMZ8iBYirHHi4Fi7gSKlGtyoezCzl9KsbRT/
QZFb6dCd+NY4ODxIBWAwZJoGGzkqaxBhE0OCnaw4ctqBglezIpHSQyRFQ4Mssap1xiEMHw12csip
lwNPJoVhKdy7QYNeeIKdzGukOU0PfOzvNQ1sKHj0SG1IaLk4pOsxSj+WAUkV7pEOTs6lDkTfZS3b
ZqBgi/IB788KkEw8hZVxCFexuzUBU2aofTTfwJoNo8MCim/DvBT5e0DNtUUcUg0sofA4dBP9XNRb
qQTodP8+eWNEpFkZURBL98ND7e/OOoj5IK94917zgnxhq1qxMITYACmSBwy4lnUH0oQ7pwGIfUbN
ilUEXzH84f54bsxXURuX3b2fiCHaCiGkhB5ZnsXjjJy4Ea/O06T8vP8bd/YoyAF50CGCw1wDKnmY
FkSDsdjTadzdB4nBfQxCSV5IeZsc2DVvjgIyCRTtgBkQ/mn/y2wXGJASBRb3htAUsxbkrgBoes3J
/m8BLHd4shEkwAZF7eKGO2uYclSquEMLa5nc2RzlijObtijvUqUkC54aNSM5b3oBD65QU0LVseGb
INQA90JHKyVi+XPUxT23tp+3x2qNJgbgiw491ASCeyPNLfRyF40npEG0NjCNBi3KPoNLCt0bLM5T
a2qYMvhrOVzRjap2ltTVdvQxl5LSt8FHmBfqkqZeiSCXzxicrLqlnhLMbJTBtY3VaFoanbmpDZQF
evJKiPoucxDDAsblg+BfRaRdB8DyBDi4zMtNO1FAk2WBvqDqgFwM5bRSjkuUTALS1CZiJqimBwhH
oCEqWRLFrGqJRueGDzzfZYjEOK1nQeQ3WTBXslwPztDn0Us+E19Mkps4A3jHPwEcXvZjq1Z5GxjU
Fr2SXc9MBbTtBgtHSaOMM0HuFALKh6ZbFd45XKGi/UytZNkJohqC/9D5IhgATM9O8Wo1uzr11BIv
JcQqjiNeabuPaH1cUHR8i/XgKy/B5Ujxyswq7qOttCVCnijw8BcUMGKysokax3MCbJ1w7KPaQ4Ok
Bmt4WuMGsRd4eKv+16QpAn6ReWFdW0rWVeq91Bk0MyUlEKNFQ5KOv9JdtM87F91QIcD8SWkZuGYo
eeh3B2gNiq9MTUajvctCsEPUXTYlKmGPw4Bo3LHrSkV1LdPQjR7R8B3lX0ZjhMpVQIFoe+R5BFka
S/AjIessXvNliWKTxAm6I6D72ho5RlBFJpnYkLkdSrWyUFzg4ZaGEXP8rBXzJr9BFUYeL1u4ut4y
RUy+PfHUFHwRaSPZ/qyKPTefaTrnylZt1+CGLl0J/fEAajNqi2YSQKqyXaX0FIU5qn4T6Fypf27t
1qCd5VcgQJo3XJi4FqGlpyxJxkcewJ2qXi3gj3WBpeg5ShLDTqeV2UI2mVUC37iBZRDgu4gpe0mt
taao1npAsdkBOJ5XmZqhlAF1IUV7xXkc150iG+UWH+uqFMkjQNyysqxtXSvuuiqUUFvvhk1tRiFI
ghzXR0XCHMixMorh1OUM7o7AW87fenLmqyYorD1Vn8saGK/gdCWytFBVFOhfcAC8KghJqBWvo/Fu
jj5UsSmHLZBoJjp6oSOTBNIPeosp6PVJg1drCEKVCh0qS5AtRddJwXXpOsMzPwAcMZGVq1YXMoW3
CNBWAlCutQbwEbYfIIpZJ7eJlQaa0sYWHwo0R1YfXnEExvVYIsDNd4CaXaayp6HiNCR2ZX/JMCXA
GDkA0W1lFoKj3Xiqs9huHLlqGjDLuKB0aNH9Bobgwg/syD3JBVAaqlaSot1CY1VtDLY4ntOEBNz4
set3ikk1pcSdKsQuJxxXlUvj51hW0BH1OBB9aGImZngLPXdCqZN57Gmu8bTfuu7chiCKfimEwjsM
MdKBN4PP8AGFD7lbIcxj3ZT4SJYsdJlpLtSQwNTwcUoOXIhDvwYoBcYGivw5SgSxaQeOWkults4o
Fz36npYVYLcXDbooOSI1KxSQKIeYnYYPD5l5hBIGA/gVsMnNc/DVSxMtRREdA9EYhqsNwyrtlHrr
oJFi/SygFayNGPhaFWPJuyJfeqLSCI/7dbzzwZumlGDJAWCIcWixe/TVDBSNT9HMzg8fUsDbHwxP
8p5Rs55/EuUMZQ/vHgtVVwhl4o3DA6IxuJOlHAUfbaH5D2Xoa8dJioZrM0Sji8r0ogwt1vaPtqNb
oJ/wikawG60gEGEb7B5Rbjkg3MvgQagToMoNlEReo46vuAJsPlqicEN8hIMboFGDFiYP+8fevNNf
O/ysnAHNl8AZw2p5AKjsq5XICkIy8A8fWq+2b1PVR+BiYRQZOG7NmEMtySJ0QQFgodZIXCW0dZsI
9TQpWqBaYic3wqdKs7nmQNB1k07ozwoUnsDLsgo4VtM8UEkO9jugkyl/T1jfD7L0lJhHyUaswye5
grVqmnBRtAguIJTjdxqiiL5H9c8uiMYSK8urME+s3EZPGKgzi3X3GKHAWHVngKrDukhpzYfvPY94
DSOWj/I18IRrKGft6xFtm1rGTSp+bnIhUZdo9RiIx3VqwAeCb+QdemvsxF/glYrwGeEPgx4CARC2
qV4dB5JhJ5JW4T9HfidLlwi6i83M1qU8XZAmi4TIrF2Yh6UocoUvmBpMkHvlpkotLaiioUpn/z7a
2cPoCgA3GbxvrBMeptSfTpPxolugcdfnPLe1uRAGDYpckmqp+EI+E9HtY2F3SmY1XBAfyEzt2AWk
i1jpImNKZIDSQYAei8+RVI+8z3iQwdOU0FDVPkttQ0aFBKCO0TujAKBggwONf2GhwWIwfJZHRZ13
EZzez1qnBScoWyMnam5w10AI+ydqKYbvBLFgPNYxDOYeZggBj4FiQf9D0UqwyQFRT2xAQtUqugfv
nE1nRZaI1Mw7haJgMrLlA6wcu3rF4wdxPQQxoVccxf6K1kjeMlPffFYIAHqnmW9w8YVH4s6fabGP
Crn9G+iNDc2uNEY8LYBhG+jA/ngx0mJRXdX0MwcCJv6W+Ei7zPJMj5MzvnVl/xSxAbDDJo0CByOK
iqKZeUBrE0tPSHAoPDG80PHoAwUlHkwIvSB+POT5i4JI94Kq9j7jYSjMWkW1T3LpkmqS5SKadbz/
03c1jXcF6MQRM5bRKW3YDLmxRaD/8tb4DEbh7C5Ja+HKT9UyhE/Vudf7x9oBLOHD0HgVsGuEz6DI
4ZfZalwYakm5z1ERu3hRaQoqjYgFQg4D+c8kDaP2UwKvPkKn3pLnUCVXGuF9miGJd55KnOsWSPuI
elIgBywlsrBI8QDhz9GjyAtPI4DU2s8lANTKndfo9c3+yQ8UhSItnqW7We4Jlg/R3/4W6STfbeBO
J9d16UsnqJoOjwuDhxeOtpQH7uTBUIxoApsQ9AfgC0C34KEHULgo7NNiXnhAhkjzTrH1skcdr03v
TEBJHzd714dhNABBUSkCNqZNkoTN5pUxlyLK56oXqQ+g+lIeUFcIrJrKKfMMxT0HzhnTUe9m3QyF
RDf6WoIud5hgb5UWpX22CropoInZM8+dEVAmHUdh1qFjfS6bPnbNCW51f+528jvp7DdfilJLpGtZ
fBOkGv0vLRVAkQKS6Q9owA2oRFcacQAPo/DwxHd54xBz5s45RuE1DCiSBIC4Ito4UGwpcWhrJfLc
SldKdBusOsnyS9c9hQryeRbE/gHwznA87Bo0RUICHJl9RImHqLSAoLIYdPLiUyWqV7peuacUnY5v
6yR6wFPrUGH0zmjIebBUAMqi0WYcvRf6ykzzugiQrGhWWsEjod9RHuWIWmKQpailJJ23IEQ4FGoc
hquAgQGpIZL7yALDYA/ZQcKqoHUZdPzKMOz4ClRZ8VnpoxPC/gPxxpch7A1qJ9hE9Egb5hlQ9UZi
WU/4FVfa1T1qeMBjb+ThLGllPzRF7lCryuFxR7camBZGr4pkAmMI6WuyRNl2k6Z2sEJFOW9mhhfO
KzSsNCs/6w74K7ufhvQNFg3HHXFpeIv9oRDhgm5pWKziRqVLHjwWS7x5LlL4pxdtE1fvfMrgxQYG
aaS78cbgJaQU+sPBR/azFuRHT01dB2garBcLV3ZDS03U+J33GHissN7QJEsdwGkZbEc0c5MDKLdZ
5VqZoFw+6k4IJ7rnHqpV79+5P7BQ4AxDxQjuaNwIA+/XTlHzK3VKuWoLIwTBUn6qu2jLg/Kbwjum
rnrg1mRO1mujCbIqHC/ghBDoxj093PTougPgg0Galaul2md0X0YzDKHha9QXl1oTz0vExMAnADzT
O3t3giYLNSLg/8ffhbsJJF1/+eQ65dtOj6OVkeBCNeEk2maHR7bVVCjOPbBXdrYmRkLeAsTN4Kdm
m7M/GFXBotBSpYU9UY1jFzzVX7Wy7B700FbuSjc5ZL92EMwKa7eosHIj1uVr5+sQO/NCwba5J5Ai
6g0oEMK4OwFrIAgzLD2kdpxbWtcGqTjvaB7WJym6JadWnJHEO2lB3l3xZkWwGc201ItoVlTEjwsT
pQyxX5z5uBdEU+AJz5VmHEt2JJglOoZrwOqExOBQAEZLZGbkzEur2/ftTwYyYW2w4D8gNiNLg2uO
z4UoatXY/draQnsNUofwODTabN6IavCoCOhZsX+8of1CSS4iIvDXkaBEce3wlcCXKWeLGZW+2Amq
yAA4aUzQDQRLUORph97mwxsA3WEQJgDzNro3AHwwbJuUEJwBGS/tJxRzV+o65UFIXZpu65ZcOCtd
xCgWboeGrwvRV3AbWhUBsrIxSYarGtRORdXEoRVxxJf8WQ6gmHzeGTItTZhfPTy0pXfiG2hMxEpM
EEcArQwQIAPLjpvTq0I7DVclGtfUazFDvR/IhqugRrk0gsQcSKByPlhXLofSf5C8Fu4nF4WiiGgG
8JDdZYzrPjrklwwMCitdZYENpkCUrsI290+aYsucbadCcZ1wXDMTpcpYtGERnjRJXFpBTjSE0Dxj
vn+TDJ9Ym1FREYwmNHhlgNZsMGrkUt9WQ6W4Ru+feKH7tXccorvJaSIitkKVujqDA1EtZFhtSwUp
5UdUox1Cuw9sDJsDUFBwPIFHxAkZ1giXYClJbNnIrtM6SH2r0G0BXU/LVl9q6GJwWbjECw/48m8o
G0FDEP8BicRStIMiN4CD67RJhOw6KFvpKkYX9CVXBQ26cBkF+BxgcjpbFpf7lf3moIBaIqUHpASi
NP0V5sCCkRZRTa8jP4hPUEMcLnkhIxccidGemCUSuMSvD6zwwAxslMt6NGJToYoRmKv+oJmipwju
FPl1EsQgpUNq3UL9ZDeTs4g7cNkPD9bLWCqilUhLoXBz6MeEPkeRPhHptZdwanxSIj7Bm3GYyPZZ
B4ogdxHLETKHOAa+cE0FX25nni1S35TB9FGYAgqaswMxuIFlenkfshsaNhAxMWOgcx51pGLNx8k1
CYl7wRlCNS8T75AHPHhBbUZhDTGgAeZ/bBKtrx5rhUBgEbI0vm6S1rsok3zVRVxzU/CuN3MNkIWC
LqVYpp6fHQMw+WX/thquMHsCI1Yso8QepblIvvdX2Odcza9cmVxzneF/wtXJWUbSVacKgcu1f6g3
tMmwg+x2ZkAveeANIN3UhJwSJddcVUpIJTXFRzE0Amf/KG9ok2FAEI8AvlUBSV//g8BCZPM54dLr
QEBdXujx1PJtW51JoAWcV6WcHVetjKR0xmq+UZx+qHn40B6BkwstBrCLsYlxTQxv6jALagk1qcU1
it5A7G2nyEnzEuHDWSuJ6ZdYce1DFyg7ha+8SWwgBgbFOxwcDYA1DDGRwHCkgZeJ5XVVc9yZV7uN
O687Ln8GyAftloAkFi5juyhXYNKoTyJktVal4UUrgeTNU4jPIC/ew19XzX9z18nVy9j53/4VP6+S
tAVTjlcMfvzbx3Qd3xR0vS4unPRf2V/9/qv9v/i3C7KiSZ58LYa/1ftLkP9t/JlTOL0f5jEItNtP
5Zq21+u8DIv9f/oyU3wIE3SVkLi4TXZE/NAvbT7kdwUdrTfzum3T9b/9ZYVi/YLNzyVJ/Jdvf3Ty
/G9/gb/6aoN/n9Lma/ZJCB18dPkM0cIvcJpQsoGL8Ns/fzkKk9jd/jEv/YL6EsRckXHb/LMZ75Uy
f08H+z9vq+qXTfF94j1d7vuAF+0wFchjNSCpv2zeUcAP/p4G2MMHL4L/bJ++iQz8dUfR71h9yfhF
gdcMECF8H/YPvvHV6gO99wssPGI6W93ALGPA/0TLj1jCyBMg4ptefTPegD/+jT+giO+2wPJI+Lwx
FWSdv7I3B39hu8C7Al5bAnCkiH/p/SqzHS/Cf7Mlf+uZks1CvvrD7cJuRvr217994u7gvbG237X9
j8dkTR268trNH7TfJnrpRDA55jok3bpnxrAEv01jx9593+L7pFpJXjhH12SFK/9FFrMOjDBkrOR5
eHTjhJXznNCtMCaaISrHil6WTrGOnLA3Z5ZsGiv4OImfS+rkW0lswqCZ2v745rXyQ2q+hIKp45a9
GYPmbbzkKyd2or5Y9mTYr4m3dud3+7S7Z/vXzvv//NtsmDbh8QLmst3vr08M7rTfJn3gwO353fyP
OZ0WluG5twyMUvW3D/q507mELxeHTvy8FcVUyG7UsYIv1g1ZJVs5m23OUCNjxd448OyOrmDF6PoI
0z66IFm5xjWxFb3ZAlMcqDvQ5qyfj24KWILecd3c7mO/w4IA6oRHH6I1HZhGhDv2HltM5ocsguVQ
8vS0dnqqAVAJ0HMdwY3f/YIX+X/cAUa2ESDqHznA8MRjfMbOeewf3mQFHRz4nd7t+wcd8A9fhzth
k0Lor9O3T/7BLfAhLnDZF4MNhj6PO5bjnXJz0rNESB2NlDgvaZL2fA+wbbGma2M+/zKhhffmEdvc
EaNkfyhzdoAHesDRHamIm6R8e87ItrD2nGP08ZGdhP6MAVoAqA15FeA9UAnNkAzjxrjC89tNhqMA
gIokMGJRaKqCuDKQpcNRyt8e0j9q4LBnnMFGBNs4ytZRAsJSRqj5RgXWBAOZTogz9MZVAHZSHCZU
NgLzqrC2EazCpb9CP/FdF+scTdoKsH32Dhlqdjadj5BLQWQe0QGG5h0/GJgv6fppK4ldn6iCRcUV
tgMq9BEgBeBzioG+X0dHl+vCW1PmdPTuVRbuR9wd73kGqEKYjYH0DnzfH3dLbYzoj1xSrzbAf4VL
6M0bA6yLe5bi9bO857r/Yxx+lhgb7/C/3kn//17YjkfhwG51ufGK91nCH7zmrTalZe8sMRzm7x6d
H5S6dDoHNo+SdCtrM1/Wm2Ks6BM68EoZiGC00Jw663ArZzNXhmscLZY62VbKRiiLQ40VeprQ54EK
WJvAsWJRKeqQYitnM1tG6TBW7Pn6yYn7Tyw4I+PlfowGOlAniAp9ggNCt3PbqGDXpSl/czZ+8DDc
OOUzOfpAnaf+pQx0/Xasn4/d3CDZ4mzFsCkjU7r98eelfnvAsjkfzSNCd96xLMA6dms8rPPiyHTi
YCtqM/29btAPavxxHa17llJk+Iex871MjrDp/ik/GsY8gBYeL32JVr7x0U359EzwOiCr3lEELcAU
Zvm2jJ+OTvId9wlRRGSUGW3MWB19eCqPLsq8tyO/SZ9AR//9en4zv76fz/7HEds8awqFDfc/XF1U
OQEYC/wx/OsXXoP9n/X6/p6zFB2C+f8Y/+PlofondAVDWP2+XZrgLvkQI1xPe3sLyfz9a/uSjNyX
ZNi8xvtzZTSNY8UiI+KSMtoK2ti2CQ6YmeRQ7CZ8ebym3RqYSBL3VMK4lSeYvDNwC3ejNOW7b0Kz
DF1EFnvTZbCesdOdrePIob17ZAqDf0LXQ1PP+rqOne08L4ZBDsb8MFas1a1XXl+3rP3JWLELdMsa
xPgZnmS0WIcm67fuor2RiR+8/xd4I6zW20myo8eKecdOeUmeELUbeIisvGW0YABV4nzdbiWxCR9O
kx22bMs1hcPSFzuFHpD36WvXmOBUWDQBgKVnGgCp3Krk513Z4zKGzekpAYU64+WerHaMA3gnJpBb
OGF/towlcewWO13TwQZDxcYEYuGyXjht39kGPHy85HMHWPr+bpAn0O45QaO6oWuC2tfxE74Jk8oJ
hlOeQMfnBHa9WMfwdwfhHwaTGrsxzstmHT0lJXW3spj1QY3G9sefP3kXSfgMnWwFbeSyCrKxU75I
YmeQHmbF6aPFMtu+FbOZLINUj5X6OwFrFPBNIDuhtdO3FVNczYBzDi78DaPoWE1cIaNWuk4/yjYF
XOA6wS3XP3goxRivXnai10PBjAFzrCZuNlaTkriHcQC/5ASi00GMGPmQCaRWDh509HkriZ0OkENs
f/x5E3FTr5/7lwfAxVOIJUX3kibaCnuZ8gQH+i5gYfiec4mM4XaYn1fFt5DbGRiFnpP+s5FVA47d
c/dwrlbYd2j11LMY6JM4XjgsMi6otUv7G3qKV83Nmg7DpqwkYaw6EARbHyVf4bz04oTAzE8RS38B
D1w4q/Xz8KUHzvkp/Lkz4OOrnrYNA3XTuwiC8t2P9F//FzP/bz3NACkGcNgAOT8Ij1kl7uHh/rjQ
GgPA/BkDay5AXz03ZYJb40Ps4s7fnipmKid4IIEVLq8BPHwtlhFqjD26Ju7k3qFlnb1GCy1BXv9M
toKYCqQJxFqe07s0p7gortdp+RQCUwLzBTDEkYXKjp4lkCew6LN1lKyQ9sEwh8ebYAdaQJHTpJ8n
ZMxHY9fVStBAPMm3gti6KhP4Ld8hmBvcXfxdR71xJnidWU66Prpf0+eev7EXAfWDIbKZT/DqK3o7
nrXyHavwudumxVYMUzcj6hotNAOmPoHdC4+WJZyvnk1hTSJGD0AJKtN6YqfwMuaFR5K0b661CU7n
LY790okGjhGjEBqriKXz1D+ErNB/tFBvcA0c9ht+ILi5sxGATx4/V+vX/1Osj57/6aRKCO2dOpAn
jRd/to7b3jZ7A/1avttlOydPQ68AjaTGz/YcaEIwhm8FseMMJ3P748+/dTDfgRZYVe7YbXaBGgfX
yVHLspX1MuEJlg0xTnSD72+HSR5OKBOqezYYxGnb2f+8fi8ALt5K2ehgihvjAhfpahh3m0S3Jawv
6YPQBEb6MX5DMMnD2JAwxTV3kXTM/qJ+ZDvNjZ6nSA9eErj4PalTXBkbqf2bCA0LtsP8/FZ7uY/R
ZzTPnXIrbqOLXcT5+w3b9a9/L+NBfTQaVm3H+flpX+Nl0q+IQjn0eLE363blrcNw3fM4wZ88gegX
cP9OoQcodScQzqI3/dDshoF57Am8YcVWztH5OhlEzFivxtHCEfcdFlFMAQa9KQf4SuDJx8/2Num/
0sArNl7oza//nhzdJtGvf98gQq7or/8Rr0i/GAbsGuMHAnKMDOolEP+ZQK4Td0MDDeq/8YLv3J0D
PkX+0CxpALzN0cLJe24RmKTHzxml1GTg04uTFDsjDoNyN7KdITPP4hQX7JedNwhYJ7aj/Lxx/kKi
J+ep7l2t6Gk5XvBLgdTu+Z4iGWcSenQLZ66X3wIOcfysPzy1697aaSJ6eLA2YaCoBc4RMImDB+aP
i8Nu6vv+hIHYry5etYDq9hMIE+z+D8hcPTnE7wuewLx8oEBF913ACR73AHC7ofO8zr3tTt+YlwkU
cdE6DNbXEzvFhL1yuGgTmBbwcMb9U8pITMa6OAiLPiXP/TWb4hq7oeToHMj7XihiiogBarj6Ef8p
7kUQX7hHZ+xfNx+ut0rdvDGm8NlPgCqO1wPnBqz024F+/h6D5P7SCVO4vadO2jcN6B08fq5nLXXb
bmjOcMuMF/2SDT1LBgHWTRO5sQfk5UZ/Q/YER/oMRWyBt6uSCc71udPPSSChOl7PyDc7yc4RYQ0W
x2oZ+X0kCAd7eQrPFIGqZ1L1X8sCY5AePWME1trhmZ4iFXG5TvvvZIFRQ4+d7pVDARYI30q6g8p7
CvnBjquCps0TCAYBFklT5GTyrbDN9b+37PsHU1Q3gMI4KcxGTzJjxxur7lvPIUOMm8g6hI4W7Phk
V9Nw16cQTRCz2sp58bGmmDEetMwtHJo5dMHYjvXzF+Bd97R+Qx1TgEvvyboAt9R2jht9TGHqPqL4
LqmOTgoAAtKjvx7NkXdMivLbyXw9HOslM8ECfBvwrIyd3MMb8q9H2/9L3hpUA/HudhY/vzA3KXL7
YfuWvQErxRS+zwV5fgbEau7kxXa6bI1eCu5//5zBivwQQdE3rd14JADbRQytff+/L/WNrwcFZw1I
Lw6+kQ/nHHFdOa2DBaIk/L//83/nAftpSVsknjCDY+ROI2e7aj17CG4XFZTJ20n9/MLdEuAZOOTl
+skotJABJ/EUG2ONR0Gw3e75X2fEQT/1Al/1CfgYpxfzQk8wTZwiNzFLgucECrx1AjwjSZ8wDhS0
IEiZYPHOnBINn3tFYgKP2lT0RBq/LlcOFxJuhforLs/LrTy247+NMcHaAzbsviF5Aht07qSFN3Br
XlRz8BL44wJL3+nIxgaXXn8CO5n7an97Y82/1wofNh0faPnUe21P4JaDoouAtXET+jcd+oS8xev9
McGrEMDAkoR9aOAUDhibLbg3ezZyClgsA8aYjgfOyZ7oKR7IltOizOCtG3MKd8Ya7I4pUACzJELQ
v8+dOoXzsJX7NuxtitcbmCWHhJVTkBOAmfUZfI9lPz82RZ76GNQpvRA9qNe3R/HnL/tT7OPB+qGF
1Hi5Fw5l6aAheGEKYCSrBMhZzrfn9aEDz/hZX6FKtkgYG3DPCwG//XjZL9SgZ6Qo8o01vVxXpG9B
pnD1X0Y5L1f9SArad4z/gluUE5Fn53kz/dvkCUR6W6Gbt9EUNZm3eCu+6MfCvkzyt4yhOAVPwIui
7gmKuMHYyqoRGND5xSrshBqmgI6ZDIGUe0f3hLrkTSMPVpGtPn/+QN/d7B1hgo1sojZygFtEk6jx
M7fAl4jo4lbQZktN4frfOH2vSGTtk8ZGYRA4Ko7mJUIaQ1iZOAXk6WV3woUpvF//Hq6jdjtjphU0
3dj++PP7ZPMBFw5G6BfHIec7RQzz5QNeboGjf34hS/iX7azZR0ggUTz4YHntNv/mCb/1X18R47/p
P//Qn3/bFS87j2W8e6K++e3ww3/bPP/laLrf5IWdouAUGZivSRi8EU9Ck0gRnM5ot4byMTSN3DR2
+02FbxGDv7XC/xi2pBca2z/hulOXqbyfOJ0iCGciaTNgUZiivNGkTtfHuUyBZbOQSuiF+qeIl1lJ
mAzrJKYIE89XeEv0e0dMQVG/wMNn5bEil0HFxBQIpYUTBr9b2jlBgG1ZArDRi0Ag9rW9VkZchoi2
ItLf2xrCFCxBLOmG8Env+hZYu/L99u9wrOdqTcutFHZfocH99sefV8MdLYeTFac4IfeA/nZog9Bb
ODApH5rxH3cNvMU7/ie8FF66O4Dh0ImS3uJM4WGaoIYahguncFyZuU3efEBNgSSxEvbq/OezNboN
xe6/vPX+nOI1uAGsMHJJuMjMEL81zhRENlaSbH2yXrBhCjabBfHJ9ggzGzQFSmEBsg5GBbvtbLIh
UGC9+nbgU3ubhPxgiu/bXciaC+7Kn+BJ+03+BkHEFpuFGb43vWDouOfeokxxMSAA2ctYT8EufLwG
Mcu3Hbr5hovVDEGAcPvfeh8BvtH/x921rTQMBNFfyQf4UCIlPgkSvIAQRaqCb7EsNDQk0nQR/803
f8wz3YzsJmNr06GWPhZKdic7m509c2YOO8Xwk+gWabRXXK35SasjTqPIIJ0twEMAdi9cVKA5y+MN
n3lm3qM0L4WuHBqtSrKiUw2mUUL8lFeofQ7DCQ2MJMtBcOA36oIUhe8/veAXgyx5KAqFriE81PDF
uy+WU2Bb4uECuQ6FAfI3JNPIhH6ROYQkNQYouzVyCk6NQ6pB8lYmj/XVeuzW1cUOLroxJZIyJ9FF
A1C2QU2eQ5ppxyItBgJEaqtZEKdARWX3dzap54hNA0+FIrLGc0Eu48eQ/8enGrO16JTVmayCZz5j
eQuHvF/ZJZhCwcQ1coW9IDPWoFykxA2krA1vWn/eY4CMSQLZljFaF41A8tDoXffoK69B4K2qF9Gd
BdUJ8aIYxiVELxmhY/gZUDAIGW3uJvGPFx9BCmnXi49vDX2b15Mf/H9ftuyHP6G3m0QaPXRX0mHa
r5Xuhk941I+2K09gXSPxa1MjexTsTQ3u7oNtOkTmWCO5PPn6RCnjh/G3JFS2+Odv57TkAftBfyXB
LF6W1Vq17rtNDsC35jC8X1LqOkIrBZmw47NSUiU7MCv9DSB80NvTYFriknn+DQAA//8=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
    <cx:plotArea>
      <cx:plotAreaRegion/>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DF12954A-BFCC-4352-ADCC-4D24138DFFDE}">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image" Target="../media/image5.png"/><Relationship Id="rId2" Type="http://schemas.openxmlformats.org/officeDocument/2006/relationships/chart" Target="../charts/chart14.xml"/><Relationship Id="rId1" Type="http://schemas.openxmlformats.org/officeDocument/2006/relationships/image" Target="../media/image3.png"/><Relationship Id="rId6" Type="http://schemas.openxmlformats.org/officeDocument/2006/relationships/image" Target="../media/image4.png"/><Relationship Id="rId5" Type="http://schemas.openxmlformats.org/officeDocument/2006/relationships/chart" Target="../charts/chart17.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2" Type="http://schemas.microsoft.com/office/2014/relationships/chartEx" Target="../charts/chartEx3.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609600</xdr:colOff>
      <xdr:row>3</xdr:row>
      <xdr:rowOff>0</xdr:rowOff>
    </xdr:to>
    <xdr:pic>
      <xdr:nvPicPr>
        <xdr:cNvPr id="2" name="Picture 4">
          <a:extLst>
            <a:ext uri="{FF2B5EF4-FFF2-40B4-BE49-F238E27FC236}">
              <a16:creationId xmlns:a16="http://schemas.microsoft.com/office/drawing/2014/main" id="{54DB6D73-9FE9-4881-9421-5720ECAC4C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347382</xdr:colOff>
      <xdr:row>25</xdr:row>
      <xdr:rowOff>36634</xdr:rowOff>
    </xdr:from>
    <xdr:to>
      <xdr:col>40</xdr:col>
      <xdr:colOff>158750</xdr:colOff>
      <xdr:row>36</xdr:row>
      <xdr:rowOff>145676</xdr:rowOff>
    </xdr:to>
    <xdr:graphicFrame macro="">
      <xdr:nvGraphicFramePr>
        <xdr:cNvPr id="5" name="Chart 5">
          <a:extLst>
            <a:ext uri="{FF2B5EF4-FFF2-40B4-BE49-F238E27FC236}">
              <a16:creationId xmlns:a16="http://schemas.microsoft.com/office/drawing/2014/main" id="{4883C9AD-DCD9-4A8B-880E-8B0A37AB913E}"/>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45</xdr:row>
      <xdr:rowOff>85725</xdr:rowOff>
    </xdr:from>
    <xdr:to>
      <xdr:col>5</xdr:col>
      <xdr:colOff>321420</xdr:colOff>
      <xdr:row>56</xdr:row>
      <xdr:rowOff>125432</xdr:rowOff>
    </xdr:to>
    <xdr:graphicFrame macro="">
      <xdr:nvGraphicFramePr>
        <xdr:cNvPr id="10" name="Chart 9">
          <a:extLst>
            <a:ext uri="{FF2B5EF4-FFF2-40B4-BE49-F238E27FC236}">
              <a16:creationId xmlns:a16="http://schemas.microsoft.com/office/drawing/2014/main" id="{F4642457-7651-4A77-B2D6-7C3D2C57EB49}"/>
            </a:ext>
            <a:ext uri="{147F2762-F138-4A5C-976F-8EAC2B608ADB}">
              <a16:predDERef xmlns:a16="http://schemas.microsoft.com/office/drawing/2014/main" pred="{4883C9AD-DCD9-4A8B-880E-8B0A37AB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45</xdr:row>
      <xdr:rowOff>66675</xdr:rowOff>
    </xdr:from>
    <xdr:to>
      <xdr:col>8</xdr:col>
      <xdr:colOff>668618</xdr:colOff>
      <xdr:row>56</xdr:row>
      <xdr:rowOff>109042</xdr:rowOff>
    </xdr:to>
    <xdr:graphicFrame macro="">
      <xdr:nvGraphicFramePr>
        <xdr:cNvPr id="11" name="Chart 10">
          <a:extLst>
            <a:ext uri="{FF2B5EF4-FFF2-40B4-BE49-F238E27FC236}">
              <a16:creationId xmlns:a16="http://schemas.microsoft.com/office/drawing/2014/main" id="{5FD0E85C-31FF-44A0-AE27-6F64F0D40182}"/>
            </a:ext>
            <a:ext uri="{147F2762-F138-4A5C-976F-8EAC2B608ADB}">
              <a16:predDERef xmlns:a16="http://schemas.microsoft.com/office/drawing/2014/main" pred="{F4642457-7651-4A77-B2D6-7C3D2C57E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179293</xdr:colOff>
      <xdr:row>58</xdr:row>
      <xdr:rowOff>33617</xdr:rowOff>
    </xdr:from>
    <xdr:to>
      <xdr:col>9</xdr:col>
      <xdr:colOff>11205</xdr:colOff>
      <xdr:row>76</xdr:row>
      <xdr:rowOff>168088</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5FD0E85C-31FF-44A0-AE27-6F64F0D40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295275</xdr:colOff>
      <xdr:row>58</xdr:row>
      <xdr:rowOff>57150</xdr:rowOff>
    </xdr:from>
    <xdr:to>
      <xdr:col>18</xdr:col>
      <xdr:colOff>28575</xdr:colOff>
      <xdr:row>78</xdr:row>
      <xdr:rowOff>57150</xdr:rowOff>
    </xdr:to>
    <xdr:pic>
      <xdr:nvPicPr>
        <xdr:cNvPr id="3" name="Imagem 2">
          <a:extLst>
            <a:ext uri="{FF2B5EF4-FFF2-40B4-BE49-F238E27FC236}">
              <a16:creationId xmlns:a16="http://schemas.microsoft.com/office/drawing/2014/main" id="{7B62EDD5-D3A8-E5E8-8FAC-C92D86107037}"/>
            </a:ext>
            <a:ext uri="{147F2762-F138-4A5C-976F-8EAC2B608ADB}">
              <a16:predDERef xmlns:a16="http://schemas.microsoft.com/office/drawing/2014/main" pred="{00000000-0008-0000-0000-000009000000}"/>
            </a:ext>
          </a:extLst>
        </xdr:cNvPr>
        <xdr:cNvPicPr>
          <a:picLocks noChangeAspect="1"/>
        </xdr:cNvPicPr>
      </xdr:nvPicPr>
      <xdr:blipFill>
        <a:blip xmlns:r="http://schemas.openxmlformats.org/officeDocument/2006/relationships" r:embed="rId6"/>
        <a:stretch>
          <a:fillRect/>
        </a:stretch>
      </xdr:blipFill>
      <xdr:spPr>
        <a:xfrm>
          <a:off x="7200900" y="10763250"/>
          <a:ext cx="7048500" cy="3467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25</xdr:row>
      <xdr:rowOff>9524</xdr:rowOff>
    </xdr:from>
    <xdr:to>
      <xdr:col>11</xdr:col>
      <xdr:colOff>190500</xdr:colOff>
      <xdr:row>34</xdr:row>
      <xdr:rowOff>57149</xdr:rowOff>
    </xdr:to>
    <xdr:graphicFrame macro="">
      <xdr:nvGraphicFramePr>
        <xdr:cNvPr id="4" name="Chart 1">
          <a:extLst>
            <a:ext uri="{FF2B5EF4-FFF2-40B4-BE49-F238E27FC236}">
              <a16:creationId xmlns:a16="http://schemas.microsoft.com/office/drawing/2014/main" i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952500</xdr:colOff>
      <xdr:row>25</xdr:row>
      <xdr:rowOff>19050</xdr:rowOff>
    </xdr:from>
    <xdr:to>
      <xdr:col>13</xdr:col>
      <xdr:colOff>866775</xdr:colOff>
      <xdr:row>34</xdr:row>
      <xdr:rowOff>66675</xdr:rowOff>
    </xdr:to>
    <xdr:graphicFrame macro="">
      <xdr:nvGraphicFramePr>
        <xdr:cNvPr id="5" name="Chart 2">
          <a:extLst>
            <a:ext uri="{FF2B5EF4-FFF2-40B4-BE49-F238E27FC236}">
              <a16:creationId xmlns:a16="http://schemas.microsoft.com/office/drawing/2014/main" id="{D1AAE182-763F-462A-9659-6C77C4F765F1}"/>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85725</xdr:colOff>
      <xdr:row>2</xdr:row>
      <xdr:rowOff>133350</xdr:rowOff>
    </xdr:from>
    <xdr:to>
      <xdr:col>20</xdr:col>
      <xdr:colOff>733425</xdr:colOff>
      <xdr:row>25</xdr:row>
      <xdr:rowOff>419100</xdr:rowOff>
    </xdr:to>
    <mc:AlternateContent xmlns:mc="http://schemas.openxmlformats.org/markup-compatibility/2006">
      <mc:Choice xmlns:cx4="http://schemas.microsoft.com/office/drawing/2016/5/10/chartex" xmlns="" Requires="cx4">
        <xdr:graphicFrame macro="">
          <xdr:nvGraphicFramePr>
            <xdr:cNvPr id="3" name="Chart 2">
              <a:extLst>
                <a:ext uri="{FF2B5EF4-FFF2-40B4-BE49-F238E27FC236}">
                  <a16:creationId xmlns:a16="http://schemas.microsoft.com/office/drawing/2014/main" id="{3F00C8F1-C250-85E1-C086-1D729CDCF8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2" name="">
              <a:extLst>
                <a:ext uri="{FF2B5EF4-FFF2-40B4-BE49-F238E27FC236}">
                  <a16:creationId xmlns:a16="http://schemas.microsoft.com/office/drawing/2014/main" id="{00000000-0008-0000-0100-000002000000}"/>
                </a:ext>
              </a:extLst>
            </xdr:cNvPr>
            <xdr:cNvSpPr>
              <a:spLocks noTextEdit="1"/>
            </xdr:cNvSpPr>
          </xdr:nvSpPr>
          <xdr:spPr>
            <a:xfrm>
              <a:off x="13655675" y="565150"/>
              <a:ext cx="6400800" cy="3886200"/>
            </a:xfrm>
            <a:prstGeom prst="rect">
              <a:avLst/>
            </a:prstGeom>
            <a:solidFill>
              <a:prstClr val="white"/>
            </a:solidFill>
            <a:ln w="1">
              <a:solidFill>
                <a:prstClr val="green"/>
              </a:solidFill>
            </a:ln>
          </xdr:spPr>
          <xdr:txBody>
            <a:bodyPr vertOverflow="clip" horzOverflow="clip"/>
            <a:lstStyle/>
            <a:p>
              <a:r>
                <a:rPr lang="pt-PT"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twoCellAnchor>
    <xdr:from>
      <xdr:col>1</xdr:col>
      <xdr:colOff>129351</xdr:colOff>
      <xdr:row>60</xdr:row>
      <xdr:rowOff>115947</xdr:rowOff>
    </xdr:from>
    <xdr:to>
      <xdr:col>5</xdr:col>
      <xdr:colOff>385703</xdr:colOff>
      <xdr:row>76</xdr:row>
      <xdr:rowOff>36925</xdr:rowOff>
    </xdr:to>
    <xdr:graphicFrame macro="">
      <xdr:nvGraphicFramePr>
        <xdr:cNvPr id="3" name="Gráfico 1">
          <a:extLst>
            <a:ext uri="{FF2B5EF4-FFF2-40B4-BE49-F238E27FC236}">
              <a16:creationId xmlns:a16="http://schemas.microsoft.com/office/drawing/2014/main" id="{9F7EEBB3-C1E3-257A-F4FD-573BF984B9BF}"/>
            </a:ext>
            <a:ext uri="{147F2762-F138-4A5C-976F-8EAC2B608ADB}">
              <a16:predDERef xmlns:a16="http://schemas.microsoft.com/office/drawing/2014/main" pre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208189</xdr:colOff>
      <xdr:row>43</xdr:row>
      <xdr:rowOff>126546</xdr:rowOff>
    </xdr:from>
    <xdr:to>
      <xdr:col>10</xdr:col>
      <xdr:colOff>884464</xdr:colOff>
      <xdr:row>73</xdr:row>
      <xdr:rowOff>40821</xdr:rowOff>
    </xdr:to>
    <xdr:graphicFrame macro="">
      <xdr:nvGraphicFramePr>
        <xdr:cNvPr id="2" name="Chart 1">
          <a:extLst>
            <a:ext uri="{FF2B5EF4-FFF2-40B4-BE49-F238E27FC236}">
              <a16:creationId xmlns:a16="http://schemas.microsoft.com/office/drawing/2014/main" id="{2B970C78-FE9E-D18A-443E-F057966A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493486</xdr:colOff>
      <xdr:row>27</xdr:row>
      <xdr:rowOff>11794</xdr:rowOff>
    </xdr:from>
    <xdr:to>
      <xdr:col>15</xdr:col>
      <xdr:colOff>54429</xdr:colOff>
      <xdr:row>39</xdr:row>
      <xdr:rowOff>81644</xdr:rowOff>
    </xdr:to>
    <xdr:graphicFrame macro="">
      <xdr:nvGraphicFramePr>
        <xdr:cNvPr id="5" name="Chart 2">
          <a:extLst>
            <a:ext uri="{FF2B5EF4-FFF2-40B4-BE49-F238E27FC236}">
              <a16:creationId xmlns:a16="http://schemas.microsoft.com/office/drawing/2014/main" id="{7E1C6EAB-A86E-10DF-7988-04E61C398746}"/>
            </a:ext>
            <a:ext uri="{147F2762-F138-4A5C-976F-8EAC2B608ADB}">
              <a16:predDERef xmlns:a16="http://schemas.microsoft.com/office/drawing/2014/main" pred="{2B970C78-FE9E-D18A-443E-F057966A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18</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D8C9DF03-DA08-4863-A26C-FDC75B601502}"/>
            </a:ext>
          </a:extLst>
        </xdr:cNvPr>
        <xdr:cNvSpPr>
          <a:spLocks noChangeAspect="1" noChangeArrowheads="1"/>
        </xdr:cNvSpPr>
      </xdr:nvSpPr>
      <xdr:spPr bwMode="auto">
        <a:xfrm>
          <a:off x="13296900" y="136874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FF7AFE3D-6EE3-477E-BF50-626D16901589}"/>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13296900" y="115347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95C6B25A-8596-4ABD-AC75-60E41803D40C}"/>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11153775" y="167163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27CB644A-C72E-410A-A774-B414C3629665}"/>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13296900" y="136874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915E61C7-2171-488F-8F0A-761586D1E368}"/>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13296900" y="115347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C8C94D2A-7BA8-439B-9B5E-C6AF4CDB3023}"/>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11153775" y="167163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0</xdr:row>
      <xdr:rowOff>0</xdr:rowOff>
    </xdr:from>
    <xdr:to>
      <xdr:col>1</xdr:col>
      <xdr:colOff>304800</xdr:colOff>
      <xdr:row>1</xdr:row>
      <xdr:rowOff>152400</xdr:rowOff>
    </xdr:to>
    <xdr:sp macro="" textlink="">
      <xdr:nvSpPr>
        <xdr:cNvPr id="9" name="AutoShape 1" descr="Pilgrim's Pride Logo Vector Logo - Download Free SVG Icon | Worldvectorlogo">
          <a:extLst>
            <a:ext uri="{FF2B5EF4-FFF2-40B4-BE49-F238E27FC236}">
              <a16:creationId xmlns:a16="http://schemas.microsoft.com/office/drawing/2014/main" id="{FC049891-2D85-48FA-BFED-467BB4923281}"/>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0</xdr:row>
      <xdr:rowOff>0</xdr:rowOff>
    </xdr:from>
    <xdr:to>
      <xdr:col>24</xdr:col>
      <xdr:colOff>304800</xdr:colOff>
      <xdr:row>1</xdr:row>
      <xdr:rowOff>152400</xdr:rowOff>
    </xdr:to>
    <xdr:sp macro="" textlink="">
      <xdr:nvSpPr>
        <xdr:cNvPr id="10" name="AutoShape 2" descr="Pilgrim's Pride Logo Vector Logo - Download Free SVG Icon | Worldvectorlogo">
          <a:extLst>
            <a:ext uri="{FF2B5EF4-FFF2-40B4-BE49-F238E27FC236}">
              <a16:creationId xmlns:a16="http://schemas.microsoft.com/office/drawing/2014/main" id="{1DBF6760-6CA6-42F1-A073-22F220F23BDF}"/>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32432625" y="48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304800</xdr:colOff>
      <xdr:row>1</xdr:row>
      <xdr:rowOff>152400</xdr:rowOff>
    </xdr:to>
    <xdr:sp macro="" textlink="">
      <xdr:nvSpPr>
        <xdr:cNvPr id="11" name="AutoShape 1" descr="Pilgrim's Pride Logo Vector Logo - Download Free SVG Icon | Worldvectorlogo">
          <a:extLst>
            <a:ext uri="{FF2B5EF4-FFF2-40B4-BE49-F238E27FC236}">
              <a16:creationId xmlns:a16="http://schemas.microsoft.com/office/drawing/2014/main" id="{767F86A5-0936-4013-AEE3-9110DC0FC3C6}"/>
            </a:ext>
            <a:ext uri="{147F2762-F138-4A5C-976F-8EAC2B608ADB}">
              <a16:predDERef xmlns:a16="http://schemas.microsoft.com/office/drawing/2014/main" pred="{1DBF6760-6CA6-42F1-A073-22F220F23BDF}"/>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18</xdr:row>
      <xdr:rowOff>0</xdr:rowOff>
    </xdr:from>
    <xdr:ext cx="304800" cy="308437"/>
    <xdr:sp macro="" textlink="">
      <xdr:nvSpPr>
        <xdr:cNvPr id="12" name="AutoShape 231" descr="Resultado de imagen para beer consumption trend">
          <a:extLst>
            <a:ext uri="{FF2B5EF4-FFF2-40B4-BE49-F238E27FC236}">
              <a16:creationId xmlns:a16="http://schemas.microsoft.com/office/drawing/2014/main" id="{B1E619D7-412F-414B-A5D4-9A0E21BBA939}"/>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8437"/>
    <xdr:sp macro="" textlink="">
      <xdr:nvSpPr>
        <xdr:cNvPr id="13" name="AutoShape 232" descr="Resultado de imagen para beer consumption trend">
          <a:extLst>
            <a:ext uri="{FF2B5EF4-FFF2-40B4-BE49-F238E27FC236}">
              <a16:creationId xmlns:a16="http://schemas.microsoft.com/office/drawing/2014/main" id="{0B74D170-E6E8-470A-9801-3D68BC0CB5AF}"/>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5262"/>
    <xdr:sp macro="" textlink="">
      <xdr:nvSpPr>
        <xdr:cNvPr id="14" name="AutoShape 231" descr="Resultado de imagen para beer consumption trend">
          <a:extLst>
            <a:ext uri="{FF2B5EF4-FFF2-40B4-BE49-F238E27FC236}">
              <a16:creationId xmlns:a16="http://schemas.microsoft.com/office/drawing/2014/main" id="{FD744A21-B4FB-4607-A092-536B05DFCD96}"/>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111567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7C8EDBC0-F902-4BA6-98B9-9EA1A713070C}"/>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111567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6" name="AutoShape 231" descr="Resultado de imagen para beer consumption trend">
          <a:extLst>
            <a:ext uri="{FF2B5EF4-FFF2-40B4-BE49-F238E27FC236}">
              <a16:creationId xmlns:a16="http://schemas.microsoft.com/office/drawing/2014/main" id="{3E764D9C-5554-40B8-BB30-00320572AF54}"/>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7" name="AutoShape 232" descr="Resultado de imagen para beer consumption trend">
          <a:extLst>
            <a:ext uri="{FF2B5EF4-FFF2-40B4-BE49-F238E27FC236}">
              <a16:creationId xmlns:a16="http://schemas.microsoft.com/office/drawing/2014/main" id="{88156D4E-2C43-49C6-87C0-841E57088092}"/>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5262"/>
    <xdr:sp macro="" textlink="">
      <xdr:nvSpPr>
        <xdr:cNvPr id="18" name="AutoShape 231" descr="Resultado de imagen para beer consumption trend">
          <a:extLst>
            <a:ext uri="{FF2B5EF4-FFF2-40B4-BE49-F238E27FC236}">
              <a16:creationId xmlns:a16="http://schemas.microsoft.com/office/drawing/2014/main" id="{35CC89AD-BD6E-4996-8A2A-B74F4FC8B037}"/>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068550"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9071"/>
    <xdr:sp macro="" textlink="">
      <xdr:nvSpPr>
        <xdr:cNvPr id="19" name="AutoShape 232" descr="Resultado de imagen para beer consumption trend">
          <a:extLst>
            <a:ext uri="{FF2B5EF4-FFF2-40B4-BE49-F238E27FC236}">
              <a16:creationId xmlns:a16="http://schemas.microsoft.com/office/drawing/2014/main" id="{225EEE83-9DC8-4E68-BCE0-8915C5FDC753}"/>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068550"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0" name="AutoShape 231" descr="Resultado de imagen para beer consumption trend">
          <a:extLst>
            <a:ext uri="{FF2B5EF4-FFF2-40B4-BE49-F238E27FC236}">
              <a16:creationId xmlns:a16="http://schemas.microsoft.com/office/drawing/2014/main" id="{33BD7492-7FD0-49C7-B9B6-8D6416AF52EB}"/>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092A7679-008F-44AA-B377-CFF8F78C52CC}"/>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22" name="AutoShape 231" descr="Resultado de imagen para beer consumption trend">
          <a:extLst>
            <a:ext uri="{FF2B5EF4-FFF2-40B4-BE49-F238E27FC236}">
              <a16:creationId xmlns:a16="http://schemas.microsoft.com/office/drawing/2014/main" id="{F9BFD5E4-6430-4A57-BA5C-452AA1185D6E}"/>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902142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23" name="AutoShape 232" descr="Resultado de imagen para beer consumption trend">
          <a:extLst>
            <a:ext uri="{FF2B5EF4-FFF2-40B4-BE49-F238E27FC236}">
              <a16:creationId xmlns:a16="http://schemas.microsoft.com/office/drawing/2014/main" id="{1CFF9D02-18D2-4666-9D9F-EDBD513B56AD}"/>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902142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7" name="AutoShape 231" descr="Resultado de imagen para beer consumption trend">
          <a:extLst>
            <a:ext uri="{FF2B5EF4-FFF2-40B4-BE49-F238E27FC236}">
              <a16:creationId xmlns:a16="http://schemas.microsoft.com/office/drawing/2014/main" id="{D574E466-EF19-4AAA-B0F9-215A47A140FB}"/>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8" name="AutoShape 232" descr="Resultado de imagen para beer consumption trend">
          <a:extLst>
            <a:ext uri="{FF2B5EF4-FFF2-40B4-BE49-F238E27FC236}">
              <a16:creationId xmlns:a16="http://schemas.microsoft.com/office/drawing/2014/main" id="{E6AF3547-11DC-4531-8A3C-049B26E53090}"/>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5262"/>
    <xdr:sp macro="" textlink="">
      <xdr:nvSpPr>
        <xdr:cNvPr id="29" name="AutoShape 231" descr="Resultado de imagen para beer consumption trend">
          <a:extLst>
            <a:ext uri="{FF2B5EF4-FFF2-40B4-BE49-F238E27FC236}">
              <a16:creationId xmlns:a16="http://schemas.microsoft.com/office/drawing/2014/main" id="{D98E2B33-DA07-4B0E-B215-B8E03DF546B7}"/>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89916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9071"/>
    <xdr:sp macro="" textlink="">
      <xdr:nvSpPr>
        <xdr:cNvPr id="30" name="AutoShape 232" descr="Resultado de imagen para beer consumption trend">
          <a:extLst>
            <a:ext uri="{FF2B5EF4-FFF2-40B4-BE49-F238E27FC236}">
              <a16:creationId xmlns:a16="http://schemas.microsoft.com/office/drawing/2014/main" id="{67998A09-ACB4-41BD-AA83-86AB4AA6D8CB}"/>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89916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1" name="AutoShape 231" descr="Resultado de imagen para beer consumption trend">
          <a:extLst>
            <a:ext uri="{FF2B5EF4-FFF2-40B4-BE49-F238E27FC236}">
              <a16:creationId xmlns:a16="http://schemas.microsoft.com/office/drawing/2014/main" id="{2D7D8238-3BCF-4653-ACA9-5C09A0A3A469}"/>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2" name="AutoShape 232" descr="Resultado de imagen para beer consumption trend">
          <a:extLst>
            <a:ext uri="{FF2B5EF4-FFF2-40B4-BE49-F238E27FC236}">
              <a16:creationId xmlns:a16="http://schemas.microsoft.com/office/drawing/2014/main" id="{5BED5983-2082-4FB4-9D13-5C051C89595A}"/>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5262"/>
    <xdr:sp macro="" textlink="">
      <xdr:nvSpPr>
        <xdr:cNvPr id="33" name="AutoShape 231" descr="Resultado de imagen para beer consumption trend">
          <a:extLst>
            <a:ext uri="{FF2B5EF4-FFF2-40B4-BE49-F238E27FC236}">
              <a16:creationId xmlns:a16="http://schemas.microsoft.com/office/drawing/2014/main" id="{68FB8A10-3B5A-4E91-B2E4-951DFB442228}"/>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198245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9071"/>
    <xdr:sp macro="" textlink="">
      <xdr:nvSpPr>
        <xdr:cNvPr id="34" name="AutoShape 232" descr="Resultado de imagen para beer consumption trend">
          <a:extLst>
            <a:ext uri="{FF2B5EF4-FFF2-40B4-BE49-F238E27FC236}">
              <a16:creationId xmlns:a16="http://schemas.microsoft.com/office/drawing/2014/main" id="{AB4894ED-05C5-425B-BD0C-FE1769D4B92B}"/>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198245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1" name="AutoShape 231" descr="Resultado de imagen para beer consumption trend">
          <a:extLst>
            <a:ext uri="{FF2B5EF4-FFF2-40B4-BE49-F238E27FC236}">
              <a16:creationId xmlns:a16="http://schemas.microsoft.com/office/drawing/2014/main" id="{AA6CF309-B24C-4FAC-A31B-A185A0BA276A}"/>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2" name="AutoShape 232" descr="Resultado de imagen para beer consumption trend">
          <a:extLst>
            <a:ext uri="{FF2B5EF4-FFF2-40B4-BE49-F238E27FC236}">
              <a16:creationId xmlns:a16="http://schemas.microsoft.com/office/drawing/2014/main" id="{79BB585B-1768-4866-97DF-520A84C990C0}"/>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3" name="AutoShape 231" descr="Resultado de imagen para beer consumption trend">
          <a:extLst>
            <a:ext uri="{FF2B5EF4-FFF2-40B4-BE49-F238E27FC236}">
              <a16:creationId xmlns:a16="http://schemas.microsoft.com/office/drawing/2014/main" id="{A76D0278-CA0F-4F58-A7E7-4A2D0CB819BA}"/>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49733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4" name="AutoShape 232" descr="Resultado de imagen para beer consumption trend">
          <a:extLst>
            <a:ext uri="{FF2B5EF4-FFF2-40B4-BE49-F238E27FC236}">
              <a16:creationId xmlns:a16="http://schemas.microsoft.com/office/drawing/2014/main" id="{C5812F1C-0B96-452B-B188-F1BD0DD60FAF}"/>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49733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5" name="AutoShape 231" descr="Resultado de imagen para beer consumption trend">
          <a:extLst>
            <a:ext uri="{FF2B5EF4-FFF2-40B4-BE49-F238E27FC236}">
              <a16:creationId xmlns:a16="http://schemas.microsoft.com/office/drawing/2014/main" id="{3B3BB98E-453E-42AE-91A1-6910D265F1C1}"/>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6" name="AutoShape 232" descr="Resultado de imagen para beer consumption trend">
          <a:extLst>
            <a:ext uri="{FF2B5EF4-FFF2-40B4-BE49-F238E27FC236}">
              <a16:creationId xmlns:a16="http://schemas.microsoft.com/office/drawing/2014/main" id="{B762A3DC-990B-40CD-ACCD-B6E84F39EDEF}"/>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7" name="AutoShape 231" descr="Resultado de imagen para beer consumption trend">
          <a:extLst>
            <a:ext uri="{FF2B5EF4-FFF2-40B4-BE49-F238E27FC236}">
              <a16:creationId xmlns:a16="http://schemas.microsoft.com/office/drawing/2014/main" id="{1FC50CEC-9BA5-4DB9-A053-050227108D4C}"/>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8" name="AutoShape 232" descr="Resultado de imagen para beer consumption trend">
          <a:extLst>
            <a:ext uri="{FF2B5EF4-FFF2-40B4-BE49-F238E27FC236}">
              <a16:creationId xmlns:a16="http://schemas.microsoft.com/office/drawing/2014/main" id="{73A174AE-F196-43B6-B33F-AE251C210FFE}"/>
            </a:ext>
            <a:ext uri="{147F2762-F138-4A5C-976F-8EAC2B608ADB}">
              <a16:predDERef xmlns:a16="http://schemas.microsoft.com/office/drawing/2014/main" pred="{1FC50CEC-9BA5-4DB9-A053-050227108D4C}"/>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59" name="AutoShape 231" descr="Resultado de imagen para beer consumption trend">
          <a:extLst>
            <a:ext uri="{FF2B5EF4-FFF2-40B4-BE49-F238E27FC236}">
              <a16:creationId xmlns:a16="http://schemas.microsoft.com/office/drawing/2014/main" id="{02A20EF7-E9F4-4648-A9DC-B9D147176B04}"/>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60" name="AutoShape 232" descr="Resultado de imagen para beer consumption trend">
          <a:extLst>
            <a:ext uri="{FF2B5EF4-FFF2-40B4-BE49-F238E27FC236}">
              <a16:creationId xmlns:a16="http://schemas.microsoft.com/office/drawing/2014/main" id="{3ED10B6F-8A0C-44B8-9978-680E6F17FB65}"/>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61" name="AutoShape 231" descr="Resultado de imagen para beer consumption trend">
          <a:extLst>
            <a:ext uri="{FF2B5EF4-FFF2-40B4-BE49-F238E27FC236}">
              <a16:creationId xmlns:a16="http://schemas.microsoft.com/office/drawing/2014/main" id="{F004E243-F461-4E6E-8A12-4265190758FB}"/>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62" name="AutoShape 232" descr="Resultado de imagen para beer consumption trend">
          <a:extLst>
            <a:ext uri="{FF2B5EF4-FFF2-40B4-BE49-F238E27FC236}">
              <a16:creationId xmlns:a16="http://schemas.microsoft.com/office/drawing/2014/main" id="{FBF804EE-814A-4039-9909-23C5879F4D2C}"/>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3" name="AutoShape 231" descr="Resultado de imagen para beer consumption trend">
          <a:extLst>
            <a:ext uri="{FF2B5EF4-FFF2-40B4-BE49-F238E27FC236}">
              <a16:creationId xmlns:a16="http://schemas.microsoft.com/office/drawing/2014/main" id="{999F8A09-15A0-4B22-876B-694CC2485B79}"/>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4" name="AutoShape 232" descr="Resultado de imagen para beer consumption trend">
          <a:extLst>
            <a:ext uri="{FF2B5EF4-FFF2-40B4-BE49-F238E27FC236}">
              <a16:creationId xmlns:a16="http://schemas.microsoft.com/office/drawing/2014/main" id="{B3A80241-FC17-469E-9232-FCF5FFCFDE57}"/>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5262"/>
    <xdr:sp macro="" textlink="">
      <xdr:nvSpPr>
        <xdr:cNvPr id="65" name="AutoShape 231" descr="Resultado de imagen para beer consumption trend">
          <a:extLst>
            <a:ext uri="{FF2B5EF4-FFF2-40B4-BE49-F238E27FC236}">
              <a16:creationId xmlns:a16="http://schemas.microsoft.com/office/drawing/2014/main" id="{47BB418A-1085-4AE3-A2A4-C05210E1DB8B}"/>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9071"/>
    <xdr:sp macro="" textlink="">
      <xdr:nvSpPr>
        <xdr:cNvPr id="66" name="AutoShape 232" descr="Resultado de imagen para beer consumption trend">
          <a:extLst>
            <a:ext uri="{FF2B5EF4-FFF2-40B4-BE49-F238E27FC236}">
              <a16:creationId xmlns:a16="http://schemas.microsoft.com/office/drawing/2014/main" id="{450A0AAB-9C64-4D39-B37C-8A369C4F973A}"/>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3</xdr:col>
      <xdr:colOff>37884</xdr:colOff>
      <xdr:row>142</xdr:row>
      <xdr:rowOff>53416</xdr:rowOff>
    </xdr:from>
    <xdr:to>
      <xdr:col>6</xdr:col>
      <xdr:colOff>146326</xdr:colOff>
      <xdr:row>158</xdr:row>
      <xdr:rowOff>141203</xdr:rowOff>
    </xdr:to>
    <xdr:graphicFrame macro="">
      <xdr:nvGraphicFramePr>
        <xdr:cNvPr id="8" name="Gráfico 7">
          <a:extLst>
            <a:ext uri="{FF2B5EF4-FFF2-40B4-BE49-F238E27FC236}">
              <a16:creationId xmlns:a16="http://schemas.microsoft.com/office/drawing/2014/main" id="{23DE27A2-1FDF-D97F-207A-E02B76DC1DBE}"/>
            </a:ext>
            <a:ext uri="{147F2762-F138-4A5C-976F-8EAC2B608ADB}">
              <a16:predDERef xmlns:a16="http://schemas.microsoft.com/office/drawing/2014/main" pred="{450A0AAB-9C64-4D39-B37C-8A369C4F9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481211</xdr:colOff>
      <xdr:row>143</xdr:row>
      <xdr:rowOff>100806</xdr:rowOff>
    </xdr:from>
    <xdr:to>
      <xdr:col>8</xdr:col>
      <xdr:colOff>896938</xdr:colOff>
      <xdr:row>159</xdr:row>
      <xdr:rowOff>83344</xdr:rowOff>
    </xdr:to>
    <xdr:graphicFrame macro="">
      <xdr:nvGraphicFramePr>
        <xdr:cNvPr id="45" name="Gráfico 44">
          <a:extLst>
            <a:ext uri="{FF2B5EF4-FFF2-40B4-BE49-F238E27FC236}">
              <a16:creationId xmlns:a16="http://schemas.microsoft.com/office/drawing/2014/main" id="{CC4E7DC5-D1A1-2934-AFBD-16872523B430}"/>
            </a:ext>
            <a:ext uri="{147F2762-F138-4A5C-976F-8EAC2B608ADB}">
              <a16:predDERef xmlns:a16="http://schemas.microsoft.com/office/drawing/2014/main" pred="{23DE27A2-1FDF-D97F-207A-E02B76DC1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76200</xdr:colOff>
      <xdr:row>143</xdr:row>
      <xdr:rowOff>85725</xdr:rowOff>
    </xdr:from>
    <xdr:to>
      <xdr:col>15</xdr:col>
      <xdr:colOff>228600</xdr:colOff>
      <xdr:row>159</xdr:row>
      <xdr:rowOff>66675</xdr:rowOff>
    </xdr:to>
    <xdr:graphicFrame macro="">
      <xdr:nvGraphicFramePr>
        <xdr:cNvPr id="85" name="Chart 24">
          <a:extLst>
            <a:ext uri="{FF2B5EF4-FFF2-40B4-BE49-F238E27FC236}">
              <a16:creationId xmlns:a16="http://schemas.microsoft.com/office/drawing/2014/main" id="{E7FB612F-29CC-443F-A0A3-DBBD01E44BE1}"/>
            </a:ext>
            <a:ext uri="{147F2762-F138-4A5C-976F-8EAC2B608ADB}">
              <a16:predDERef xmlns:a16="http://schemas.microsoft.com/office/drawing/2014/main" pred="{CC4E7DC5-D1A1-2934-AFBD-16872523B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1257300</xdr:colOff>
      <xdr:row>143</xdr:row>
      <xdr:rowOff>104775</xdr:rowOff>
    </xdr:from>
    <xdr:to>
      <xdr:col>11</xdr:col>
      <xdr:colOff>1390650</xdr:colOff>
      <xdr:row>159</xdr:row>
      <xdr:rowOff>66675</xdr:rowOff>
    </xdr:to>
    <xdr:graphicFrame macro="">
      <xdr:nvGraphicFramePr>
        <xdr:cNvPr id="83" name="Chart 25">
          <a:extLst>
            <a:ext uri="{FF2B5EF4-FFF2-40B4-BE49-F238E27FC236}">
              <a16:creationId xmlns:a16="http://schemas.microsoft.com/office/drawing/2014/main" id="{F0238FFD-B0A0-4983-CE1C-4F91ABCEC701}"/>
            </a:ext>
            <a:ext uri="{147F2762-F138-4A5C-976F-8EAC2B608ADB}">
              <a16:predDERef xmlns:a16="http://schemas.microsoft.com/office/drawing/2014/main" pred="{E7FB612F-29CC-443F-A0A3-DBBD01E44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28</xdr:col>
      <xdr:colOff>447646</xdr:colOff>
      <xdr:row>96</xdr:row>
      <xdr:rowOff>0</xdr:rowOff>
    </xdr:from>
    <xdr:to>
      <xdr:col>31</xdr:col>
      <xdr:colOff>624117</xdr:colOff>
      <xdr:row>101</xdr:row>
      <xdr:rowOff>117205</xdr:rowOff>
    </xdr:to>
    <xdr:pic>
      <xdr:nvPicPr>
        <xdr:cNvPr id="2" name="Imagem 1">
          <a:extLst>
            <a:ext uri="{FF2B5EF4-FFF2-40B4-BE49-F238E27FC236}">
              <a16:creationId xmlns:a16="http://schemas.microsoft.com/office/drawing/2014/main" id="{86171600-BFAA-486F-896C-DEB4EC8527AC}"/>
            </a:ext>
          </a:extLst>
        </xdr:cNvPr>
        <xdr:cNvPicPr>
          <a:picLocks noChangeAspect="1"/>
        </xdr:cNvPicPr>
      </xdr:nvPicPr>
      <xdr:blipFill>
        <a:blip xmlns:r="http://schemas.openxmlformats.org/officeDocument/2006/relationships" r:embed="rId1"/>
        <a:stretch>
          <a:fillRect/>
        </a:stretch>
      </xdr:blipFill>
      <xdr:spPr>
        <a:xfrm>
          <a:off x="25974646" y="17078325"/>
          <a:ext cx="1881446" cy="925469"/>
        </a:xfrm>
        <a:prstGeom prst="rect">
          <a:avLst/>
        </a:prstGeom>
      </xdr:spPr>
    </xdr:pic>
    <xdr:clientData/>
  </xdr:twoCellAnchor>
  <xdr:twoCellAnchor>
    <xdr:from>
      <xdr:col>4</xdr:col>
      <xdr:colOff>95250</xdr:colOff>
      <xdr:row>16</xdr:row>
      <xdr:rowOff>27214</xdr:rowOff>
    </xdr:from>
    <xdr:to>
      <xdr:col>11</xdr:col>
      <xdr:colOff>854981</xdr:colOff>
      <xdr:row>30</xdr:row>
      <xdr:rowOff>95892</xdr:rowOff>
    </xdr:to>
    <xdr:graphicFrame macro="">
      <xdr:nvGraphicFramePr>
        <xdr:cNvPr id="9" name="Gráfico 2">
          <a:extLst>
            <a:ext uri="{FF2B5EF4-FFF2-40B4-BE49-F238E27FC236}">
              <a16:creationId xmlns:a16="http://schemas.microsoft.com/office/drawing/2014/main" id="{813747F1-65E3-4D83-8C5A-286DA008C844}"/>
            </a:ext>
            <a:ext uri="{147F2762-F138-4A5C-976F-8EAC2B608ADB}">
              <a16:predDERef xmlns:a16="http://schemas.microsoft.com/office/drawing/2014/main" pred="{86171600-BFAA-486F-896C-DEB4EC85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16</xdr:row>
      <xdr:rowOff>40822</xdr:rowOff>
    </xdr:from>
    <xdr:to>
      <xdr:col>15</xdr:col>
      <xdr:colOff>750206</xdr:colOff>
      <xdr:row>30</xdr:row>
      <xdr:rowOff>109500</xdr:rowOff>
    </xdr:to>
    <xdr:graphicFrame macro="">
      <xdr:nvGraphicFramePr>
        <xdr:cNvPr id="10" name="Gráfico 2">
          <a:extLst>
            <a:ext uri="{FF2B5EF4-FFF2-40B4-BE49-F238E27FC236}">
              <a16:creationId xmlns:a16="http://schemas.microsoft.com/office/drawing/2014/main" id="{C7A6B119-2FBF-41F9-87EE-A53D83641B6A}"/>
            </a:ext>
            <a:ext uri="{147F2762-F138-4A5C-976F-8EAC2B608ADB}">
              <a16:predDERef xmlns:a16="http://schemas.microsoft.com/office/drawing/2014/main" pred="{813747F1-65E3-4D83-8C5A-286DA008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707570</xdr:colOff>
      <xdr:row>16</xdr:row>
      <xdr:rowOff>81643</xdr:rowOff>
    </xdr:from>
    <xdr:to>
      <xdr:col>18</xdr:col>
      <xdr:colOff>616584</xdr:colOff>
      <xdr:row>30</xdr:row>
      <xdr:rowOff>150321</xdr:rowOff>
    </xdr:to>
    <xdr:graphicFrame macro="">
      <xdr:nvGraphicFramePr>
        <xdr:cNvPr id="11" name="Gráfico 2">
          <a:extLst>
            <a:ext uri="{FF2B5EF4-FFF2-40B4-BE49-F238E27FC236}">
              <a16:creationId xmlns:a16="http://schemas.microsoft.com/office/drawing/2014/main" id="{6A195EDE-DF04-4F4F-8F8A-ABD766638B49}"/>
            </a:ext>
            <a:ext uri="{147F2762-F138-4A5C-976F-8EAC2B608ADB}">
              <a16:predDERef xmlns:a16="http://schemas.microsoft.com/office/drawing/2014/main" pred="{C7A6B119-2FBF-41F9-87EE-A53D836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68036</xdr:colOff>
      <xdr:row>16</xdr:row>
      <xdr:rowOff>81643</xdr:rowOff>
    </xdr:from>
    <xdr:to>
      <xdr:col>21</xdr:col>
      <xdr:colOff>814580</xdr:colOff>
      <xdr:row>30</xdr:row>
      <xdr:rowOff>150321</xdr:rowOff>
    </xdr:to>
    <xdr:graphicFrame macro="">
      <xdr:nvGraphicFramePr>
        <xdr:cNvPr id="12" name="Gráfico 5">
          <a:extLst>
            <a:ext uri="{FF2B5EF4-FFF2-40B4-BE49-F238E27FC236}">
              <a16:creationId xmlns:a16="http://schemas.microsoft.com/office/drawing/2014/main" id="{F3638278-5944-4261-813D-C5BE2FF7B09C}"/>
            </a:ext>
            <a:ext uri="{147F2762-F138-4A5C-976F-8EAC2B608ADB}">
              <a16:predDERef xmlns:a16="http://schemas.microsoft.com/office/drawing/2014/main" pred="{6A195EDE-DF04-4F4F-8F8A-ABD76663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161925</xdr:colOff>
      <xdr:row>4</xdr:row>
      <xdr:rowOff>47625</xdr:rowOff>
    </xdr:from>
    <xdr:to>
      <xdr:col>19</xdr:col>
      <xdr:colOff>190500</xdr:colOff>
      <xdr:row>9</xdr:row>
      <xdr:rowOff>171450</xdr:rowOff>
    </xdr:to>
    <xdr:pic>
      <xdr:nvPicPr>
        <xdr:cNvPr id="4" name="Imagem 3">
          <a:extLst>
            <a:ext uri="{FF2B5EF4-FFF2-40B4-BE49-F238E27FC236}">
              <a16:creationId xmlns:a16="http://schemas.microsoft.com/office/drawing/2014/main" id="{CD14D4C3-7CB4-AE59-60BC-13BE82F26D0A}"/>
            </a:ext>
            <a:ext uri="{147F2762-F138-4A5C-976F-8EAC2B608ADB}">
              <a16:predDERef xmlns:a16="http://schemas.microsoft.com/office/drawing/2014/main" pred="{F3638278-5944-4261-813D-C5BE2FF7B09C}"/>
            </a:ext>
          </a:extLst>
        </xdr:cNvPr>
        <xdr:cNvPicPr>
          <a:picLocks noChangeAspect="1"/>
        </xdr:cNvPicPr>
      </xdr:nvPicPr>
      <xdr:blipFill>
        <a:blip xmlns:r="http://schemas.openxmlformats.org/officeDocument/2006/relationships" r:embed="rId6"/>
        <a:stretch>
          <a:fillRect/>
        </a:stretch>
      </xdr:blipFill>
      <xdr:spPr>
        <a:xfrm>
          <a:off x="13039725" y="819150"/>
          <a:ext cx="5438775" cy="1009650"/>
        </a:xfrm>
        <a:prstGeom prst="rect">
          <a:avLst/>
        </a:prstGeom>
      </xdr:spPr>
    </xdr:pic>
    <xdr:clientData/>
  </xdr:twoCellAnchor>
  <xdr:twoCellAnchor editAs="oneCell">
    <xdr:from>
      <xdr:col>13</xdr:col>
      <xdr:colOff>28575</xdr:colOff>
      <xdr:row>9</xdr:row>
      <xdr:rowOff>66675</xdr:rowOff>
    </xdr:from>
    <xdr:to>
      <xdr:col>19</xdr:col>
      <xdr:colOff>228600</xdr:colOff>
      <xdr:row>12</xdr:row>
      <xdr:rowOff>0</xdr:rowOff>
    </xdr:to>
    <xdr:pic>
      <xdr:nvPicPr>
        <xdr:cNvPr id="5" name="Imagem 4">
          <a:extLst>
            <a:ext uri="{FF2B5EF4-FFF2-40B4-BE49-F238E27FC236}">
              <a16:creationId xmlns:a16="http://schemas.microsoft.com/office/drawing/2014/main" id="{D3E30A25-B968-E5CB-48FA-A3FCC571B779}"/>
            </a:ext>
            <a:ext uri="{147F2762-F138-4A5C-976F-8EAC2B608ADB}">
              <a16:predDERef xmlns:a16="http://schemas.microsoft.com/office/drawing/2014/main" pred="{CD14D4C3-7CB4-AE59-60BC-13BE82F26D0A}"/>
            </a:ext>
          </a:extLst>
        </xdr:cNvPr>
        <xdr:cNvPicPr>
          <a:picLocks noChangeAspect="1"/>
        </xdr:cNvPicPr>
      </xdr:nvPicPr>
      <xdr:blipFill>
        <a:blip xmlns:r="http://schemas.openxmlformats.org/officeDocument/2006/relationships" r:embed="rId7"/>
        <a:stretch>
          <a:fillRect/>
        </a:stretch>
      </xdr:blipFill>
      <xdr:spPr>
        <a:xfrm>
          <a:off x="13230225" y="1724025"/>
          <a:ext cx="5286375" cy="6191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18</xdr:col>
      <xdr:colOff>116217</xdr:colOff>
      <xdr:row>8</xdr:row>
      <xdr:rowOff>155995</xdr:rowOff>
    </xdr:from>
    <xdr:to>
      <xdr:col>25</xdr:col>
      <xdr:colOff>75481</xdr:colOff>
      <xdr:row>24</xdr:row>
      <xdr:rowOff>167497</xdr:rowOff>
    </xdr:to>
    <xdr:graphicFrame macro="">
      <xdr:nvGraphicFramePr>
        <xdr:cNvPr id="2" name="Gráfico 1">
          <a:extLst>
            <a:ext uri="{FF2B5EF4-FFF2-40B4-BE49-F238E27FC236}">
              <a16:creationId xmlns:a16="http://schemas.microsoft.com/office/drawing/2014/main" id="{9C7349CD-060F-C019-BD0F-FC628F91C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301423</xdr:colOff>
      <xdr:row>6</xdr:row>
      <xdr:rowOff>2530</xdr:rowOff>
    </xdr:from>
    <xdr:to>
      <xdr:col>22</xdr:col>
      <xdr:colOff>602848</xdr:colOff>
      <xdr:row>29</xdr:row>
      <xdr:rowOff>156739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F0695A3-3E01-4CD9-A375-1D96DB0C5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422672</xdr:colOff>
      <xdr:row>5</xdr:row>
      <xdr:rowOff>49609</xdr:rowOff>
    </xdr:from>
    <xdr:to>
      <xdr:col>25</xdr:col>
      <xdr:colOff>377033</xdr:colOff>
      <xdr:row>31</xdr:row>
      <xdr:rowOff>148828</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7C5B17A1-3E97-7E45-8054-1FDB8FF760C9}"/>
                </a:ext>
                <a:ext uri="{147F2762-F138-4A5C-976F-8EAC2B608ADB}">
                  <a16:predDERef xmlns:a16="http://schemas.microsoft.com/office/drawing/2014/main" pred="{CF0695A3-3E01-4CD9-A375-1D96DB0C5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Raul Vasconcelos da Silva" id="{8FC7388A-B149-40B4-B48E-70DCA56CA41C}" userId="S::raul.vasconcelos@aln.iseg.ulisboa.pt::f4a05a0d-064a-4000-bf4d-254a683f4a3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9">
  <a r="1">
    <v t="i">0</v>
  </a>
  <a r="1">
    <v>20.22</v>
  </a>
  <a r="1">
    <v>24.9</v>
  </a>
  <a r="1">
    <v>23.54</v>
  </a>
  <a r="1">
    <v>59.85</v>
  </a>
  <a r="1">
    <v>34.450000000000003</v>
  </a>
  <a r="1">
    <v>51.5</v>
  </a>
  <a r="1">
    <v>36.29</v>
  </a>
  <a r="1">
    <v>49.82</v>
  </a>
  <a r="1">
    <v>46.93</v>
  </a>
  <a r="1">
    <v>20.05</v>
  </a>
  <a r="1">
    <v>35.44</v>
  </a>
  <a r="1">
    <v>51.83</v>
  </a>
  <a r="1">
    <v>37.18</v>
  </a>
  <a r="1">
    <v>49.39</v>
  </a>
  <a r="1">
    <v>36.659999999999997</v>
  </a>
  <a r="1">
    <v>26.21</v>
  </a>
  <a r="1">
    <v>50.25</v>
  </a>
  <a r="1">
    <v>46.16</v>
  </a>
  <a r="1">
    <v>138.31</v>
  </a>
  <a r="1">
    <v>170.29</v>
  </a>
  <a r="1">
    <v>690</v>
  </a>
  <a r="1">
    <v>872.27</v>
  </a>
  <a r="1">
    <v>749.49</v>
  </a>
  <a r="1">
    <v>231.98</v>
  </a>
  <a r="1">
    <v>291.17</v>
  </a>
  <a r="1">
    <v>120.63</v>
  </a>
  <a r="1">
    <v>159.16</v>
  </a>
  <a r="1">
    <v>165.2</v>
  </a>
</arrayData>
</file>

<file path=xl/richData/rdrichvalue.xml><?xml version="1.0" encoding="utf-8"?>
<rvData xmlns="http://schemas.microsoft.com/office/spreadsheetml/2017/richdata" count="43">
  <rv s="0">
    <v>https://www.bing.com/financeapi/forcetrigger?t=a1vmf2&amp;q=XNAS%3aINTC&amp;form=skydnc</v>
    <v>Learn more on Bing</v>
  </rv>
  <rv s="1">
    <v>en-US</v>
    <v>a1vmf2</v>
    <v>268435456</v>
    <v>1</v>
    <v>Powered by Refinitiv</v>
    <v>0</v>
    <v>INTEL CORPORATION (XNAS:INTC)</v>
    <v>2</v>
    <v>3</v>
    <v>Finance</v>
    <v>4</v>
    <v>31.79</v>
    <v>17.664999999999999</v>
    <v>1.266</v>
    <v>6.6150000000000002</v>
    <v>0.26566299999999998</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108900</v>
    <v>Nasdaq Stock Market</v>
    <v>XNAS</v>
    <v>XNAS</v>
    <v>2200 Mission College Blvd, Rnb-4-151, SANTA CLARA, CA, 95054 US</v>
    <v>31.79</v>
    <v>Semiconductors &amp; Semiconductor Equipment</v>
    <v>Stock</v>
    <v>45918.607074918749</v>
    <v>0</v>
    <v>30.44</v>
    <v>147183306930</v>
    <v>INTEL CORPORATION</v>
    <v>INTEL CORPORATION</v>
    <v>31.78</v>
    <v>0</v>
    <v>24.9</v>
    <v>31.515000000000001</v>
    <v>4670262000</v>
    <v>INTC</v>
    <v>INTEL CORPORATION (XNAS:INTC)</v>
    <v>234283848</v>
    <v>107784484</v>
    <v>1989</v>
  </rv>
  <rv s="2">
    <v>1</v>
  </rv>
  <rv s="0">
    <v>https://www.bing.com/financeapi/forcetrigger?t=a1yv52&amp;q=XNAS%3aNVDA&amp;form=skydnc</v>
    <v>Learn more on Bing</v>
  </rv>
  <rv s="1">
    <v>en-US</v>
    <v>a1yv52</v>
    <v>268435456</v>
    <v>1</v>
    <v>Powered by Refinitiv</v>
    <v>0</v>
    <v>NVIDIA CORPORATION (XNAS:NVDA)</v>
    <v>2</v>
    <v>3</v>
    <v>Finance</v>
    <v>4</v>
    <v>184.48</v>
    <v>86.62</v>
    <v>2.1215999999999999</v>
    <v>5.4749999999999996</v>
    <v>3.2150999999999999E-2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176.24</v>
    <v>Semiconductors &amp; Semiconductor Equipment</v>
    <v>Stock</v>
    <v>45918.607088876561</v>
    <v>3</v>
    <v>172.96</v>
    <v>4271089499999</v>
    <v>NVIDIA CORPORATION</v>
    <v>NVIDIA CORPORATION</v>
    <v>173.81</v>
    <v>50.025599999999997</v>
    <v>170.29</v>
    <v>175.76499999999999</v>
    <v>24300000000</v>
    <v>NVDA</v>
    <v>NVIDIA CORPORATION (XNAS:NVDA)</v>
    <v>65224212</v>
    <v>179563518</v>
    <v>1998</v>
  </rv>
  <rv s="2">
    <v>4</v>
  </rv>
  <rv s="0">
    <v>https://www.bing.com/financeapi/forcetrigger?t=a1ndww&amp;q=XNAS%3aAMD&amp;form=skydnc</v>
    <v>Learn more on Bing</v>
  </rv>
  <rv s="1">
    <v>en-US</v>
    <v>a1ndww</v>
    <v>268435456</v>
    <v>1</v>
    <v>Powered by Refinitiv</v>
    <v>0</v>
    <v>ADVANCED MICRO DEVICES, INC. (XNAS:AMD)</v>
    <v>2</v>
    <v>3</v>
    <v>Finance</v>
    <v>4</v>
    <v>186.65</v>
    <v>76.48</v>
    <v>1.9023000000000001</v>
    <v>-4.3650000000000002</v>
    <v>-2.7425000000000001E-2</v>
    <v>USD</v>
    <v>Advanced Micro Devices, Inc. is a global semiconductor company. The Company is focused on high-performance computing, graphics and visualization technologies. Its segments include Data Center, Client and Gaming, and Embedded. Data Center segment includes artificial intelligence (AI) accelerators, microprocessors (CPUs) for servers, graphics processing units (GPUs), accelerated processing units (APUs), data processing units (DPUs), Field Programmable Gate Arrays (FPGAs), smart network interface Cards (SmartNICs) and Adaptive system-on-Chip (SoC) products for data centers. Client and Gaming segment includes CPUs, APUs, chipsets for desktops and notebooks, discrete GPUs, and semi-custom SoC products and development services. Embedded segment includes embedded CPUs, GPUs, APUs, FPGAs, system on modules (SOMs), and Adaptive SoC products. It markets and sells its products under the AMD trademark. Its products include AMD EPYC, AMD Ryzen, AMD Ryzen PRO, Virtex UltraScale+, and others.</v>
    <v>28000</v>
    <v>Nasdaq Stock Market</v>
    <v>XNAS</v>
    <v>XNAS</v>
    <v>2485 Augustine Drive, SANTA CLARA, CA, 95054 US</v>
    <v>154.95099999999999</v>
    <v>Semiconductors &amp; Semiconductor Equipment</v>
    <v>Stock</v>
    <v>45918.607082001559</v>
    <v>6</v>
    <v>149.85</v>
    <v>251208136979</v>
    <v>ADVANCED MICRO DEVICES, INC.</v>
    <v>ADVANCED MICRO DEVICES, INC.</v>
    <v>150.66999999999999</v>
    <v>92.497799999999998</v>
    <v>159.16</v>
    <v>154.79499999999999</v>
    <v>1622844000</v>
    <v>AMD</v>
    <v>ADVANCED MICRO DEVICES, INC. (XNAS:AMD)</v>
    <v>38749584</v>
    <v>47291314</v>
    <v>1969</v>
  </rv>
  <rv s="2">
    <v>7</v>
  </rv>
  <rv s="0">
    <v>https://www.bing.com/financeapi/forcetrigger?t=a1nz8m&amp;q=XNAS%3aAVGO&amp;form=skydnc</v>
    <v>Learn more on Bing</v>
  </rv>
  <rv s="1">
    <v>en-US</v>
    <v>a1nz8m</v>
    <v>268435456</v>
    <v>1</v>
    <v>Powered by Refinitiv</v>
    <v>0</v>
    <v>BROADCOM INC. (XNAS:AVGO)</v>
    <v>2</v>
    <v>3</v>
    <v>Finance</v>
    <v>4</v>
    <v>374.23</v>
    <v>138.1</v>
    <v>1.2089000000000001</v>
    <v>0.745</v>
    <v>2.1519999999999998E-3</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37000</v>
    <v>Nasdaq Stock Market</v>
    <v>XNAS</v>
    <v>XNAS</v>
    <v>3421 Hillview Avenue, PALO ALTO, CA, 94304 US</v>
    <v>350.69</v>
    <v>Semiconductors &amp; Semiconductor Equipment</v>
    <v>Stock</v>
    <v>45918.607093703125</v>
    <v>9</v>
    <v>343.81</v>
    <v>1638259253975</v>
    <v>BROADCOM INC.</v>
    <v>BROADCOM INC.</v>
    <v>350</v>
    <v>88.9298</v>
    <v>346.17</v>
    <v>346.91500000000002</v>
    <v>4722365000</v>
    <v>AVGO</v>
    <v>BROADCOM INC. (XNAS:AVGO)</v>
    <v>5972833</v>
    <v>26395846</v>
    <v>2018</v>
  </rv>
  <rv s="2">
    <v>10</v>
  </rv>
  <rv s="0">
    <v>https://www.bing.com/financeapi/forcetrigger?t=a1ntlh&amp;q=XNAS%3aASML&amp;form=skydnc</v>
    <v>Learn more on Bing</v>
  </rv>
  <rv s="1">
    <v>en-US</v>
    <v>a1ntlh</v>
    <v>268435456</v>
    <v>1</v>
    <v>Powered by Refinitiv</v>
    <v>0</v>
    <v>ASML Holding NV (XNAS:ASML)</v>
    <v>2</v>
    <v>3</v>
    <v>Finance</v>
    <v>4</v>
    <v>937.21</v>
    <v>578.51</v>
    <v>1.8327</v>
    <v>63.73</v>
    <v>7.3062000000000002E-2</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44000</v>
    <v>Nasdaq Stock Market</v>
    <v>XNAS</v>
    <v>XNAS</v>
    <v>De Run 6501, VELDHOVEN, NOORD-BRABANT, 5504 DR NL</v>
    <v>937.21</v>
    <v>Semiconductors &amp; Semiconductor Equipment</v>
    <v>Stock</v>
    <v>45918.607076550783</v>
    <v>12</v>
    <v>916.03</v>
    <v>344416100000</v>
    <v>ASML Holding NV</v>
    <v>ASML Holding NV</v>
    <v>928.67</v>
    <v>31.9344</v>
    <v>872.27</v>
    <v>936</v>
    <v>393830700</v>
    <v>ASML</v>
    <v>ASML Holding NV (XNAS:ASML)</v>
    <v>1248420</v>
    <v>1420410</v>
    <v>1994</v>
  </rv>
  <rv s="2">
    <v>13</v>
  </rv>
  <rv s="3">
    <v>5</v>
    <v>INTC</v>
    <v>Daily</v>
    <v>45659</v>
    <v>45659</v>
    <v>0</v>
    <v>1</v>
    <v>638713728000000000,638781224624696772,0</v>
    <v>0</v>
    <v>a1vmf2</v>
    <v>XNAS:INTC</v>
    <v>1</v>
  </rv>
  <rv s="3">
    <v>5</v>
    <v>INTC</v>
    <v>Daily</v>
    <v>45917</v>
    <v>45917</v>
    <v>0</v>
    <v>1</v>
    <v>638936640000000000,638938019515802720,0</v>
    <v>0</v>
    <v>a1vmf2</v>
    <v>XNAS:INTC</v>
    <v>2</v>
  </rv>
  <rv s="3">
    <v>5</v>
    <v>INTC</v>
    <v>Daily</v>
    <v>45889</v>
    <v>45889</v>
    <v>0</v>
    <v>1</v>
    <v>638912448000000000,638938019516042018,0</v>
    <v>0</v>
    <v>a1vmf2</v>
    <v>XNAS:INTC</v>
    <v>3</v>
  </rv>
  <rv s="3">
    <v>5</v>
    <v>a1vmf2</v>
    <v>Daily</v>
    <v>43830</v>
    <v>43830</v>
    <v>0</v>
    <v>1</v>
    <v>637133472000000000,638804416847967217,0</v>
    <v>0</v>
    <v>a1vmf2</v>
    <v>XNAS:INTC</v>
    <v>4</v>
  </rv>
  <rv s="3">
    <v>5</v>
    <v>a1vmf2</v>
    <v>Daily</v>
    <v>42369</v>
    <v>42369</v>
    <v>0</v>
    <v>1</v>
    <v>635871168000000000,638804416850410761,0</v>
    <v>0</v>
    <v>a1vmf2</v>
    <v>XNAS:INTC</v>
    <v>5</v>
  </rv>
  <rv s="3">
    <v>5</v>
    <v>a1vmf2</v>
    <v>Daily</v>
    <v>44561</v>
    <v>44561</v>
    <v>0</v>
    <v>1</v>
    <v>637765056000000000,638804416847852746,0</v>
    <v>0</v>
    <v>a1vmf2</v>
    <v>XNAS:INTC</v>
    <v>6</v>
  </rv>
  <rv s="3">
    <v>5</v>
    <v>a1vmf2</v>
    <v>Daily</v>
    <v>42004</v>
    <v>42004</v>
    <v>0</v>
    <v>1</v>
    <v>635555808000000000,638804416851565355,0</v>
    <v>0</v>
    <v>a1vmf2</v>
    <v>XNAS:INTC</v>
    <v>7</v>
  </rv>
  <rv s="3">
    <v>5</v>
    <v>a1vmf2</v>
    <v>Daily</v>
    <v>44196</v>
    <v>44196</v>
    <v>0</v>
    <v>1</v>
    <v>637449696000000000,638804416847930772,0</v>
    <v>0</v>
    <v>a1vmf2</v>
    <v>XNAS:INTC</v>
    <v>8</v>
  </rv>
  <rv s="3">
    <v>5</v>
    <v>a1vmf2</v>
    <v>Daily</v>
    <v>43465</v>
    <v>43465</v>
    <v>0</v>
    <v>1</v>
    <v>636818112000000000,638804416848337903,0</v>
    <v>0</v>
    <v>a1vmf2</v>
    <v>XNAS:INTC</v>
    <v>9</v>
  </rv>
  <rv s="3">
    <v>5</v>
    <v>a1vmf2</v>
    <v>Daily</v>
    <v>45657</v>
    <v>45657</v>
    <v>0</v>
    <v>1</v>
    <v>638712000000000000,638804416865535055,0</v>
    <v>0</v>
    <v>a1vmf2</v>
    <v>XNAS:INTC</v>
    <v>10</v>
  </rv>
  <rv s="3">
    <v>5</v>
    <v>a1vmf2</v>
    <v>Daily</v>
    <v>42367</v>
    <v>42367</v>
    <v>0</v>
    <v>1</v>
    <v>635869440000000000,638804416851170924,0</v>
    <v>0</v>
    <v>a1vmf2</v>
    <v>XNAS:INTC</v>
    <v>11</v>
  </rv>
  <rv s="3">
    <v>5</v>
    <v>a1vmf2</v>
    <v>Daily</v>
    <v>44559</v>
    <v>44559</v>
    <v>0</v>
    <v>1</v>
    <v>637763328000000000,638804416847892655,0</v>
    <v>0</v>
    <v>a1vmf2</v>
    <v>XNAS:INTC</v>
    <v>12</v>
  </rv>
  <rv s="3">
    <v>5</v>
    <v>a1vmf2</v>
    <v>Daily</v>
    <v>42002</v>
    <v>42002</v>
    <v>0</v>
    <v>1</v>
    <v>635554080000000000,638804416852315524,0</v>
    <v>0</v>
    <v>a1vmf2</v>
    <v>XNAS:INTC</v>
    <v>13</v>
  </rv>
  <rv s="3">
    <v>5</v>
    <v>a1vmf2</v>
    <v>Daily</v>
    <v>44194</v>
    <v>44194</v>
    <v>0</v>
    <v>1</v>
    <v>637447968000000000,638804416847830135,0</v>
    <v>0</v>
    <v>a1vmf2</v>
    <v>XNAS:INTC</v>
    <v>14</v>
  </rv>
  <rv s="3">
    <v>5</v>
    <v>a1vmf2</v>
    <v>Daily</v>
    <v>42733</v>
    <v>42733</v>
    <v>0</v>
    <v>1</v>
    <v>636185664000000000,638805313145441831,0</v>
    <v>0</v>
    <v>a1vmf2</v>
    <v>XNAS:INTC</v>
    <v>15</v>
  </rv>
  <rv s="3">
    <v>5</v>
    <v>a1vmf2</v>
    <v>Daily</v>
    <v>44924</v>
    <v>44924</v>
    <v>0</v>
    <v>1</v>
    <v>638078688000000000,638805313151799185,0</v>
    <v>0</v>
    <v>a1vmf2</v>
    <v>XNAS:INTC</v>
    <v>16</v>
  </rv>
  <rv s="3">
    <v>5</v>
    <v>a1vmf2</v>
    <v>Daily</v>
    <v>45289</v>
    <v>45289</v>
    <v>0</v>
    <v>1</v>
    <v>638394048000000000,638805313150258844,0</v>
    <v>0</v>
    <v>a1vmf2</v>
    <v>XNAS:INTC</v>
    <v>17</v>
  </rv>
  <rv s="3">
    <v>5</v>
    <v>a1vmf2</v>
    <v>Daily</v>
    <v>43098</v>
    <v>43098</v>
    <v>0</v>
    <v>1</v>
    <v>636501024000000000,638805313145372137,0</v>
    <v>0</v>
    <v>a1vmf2</v>
    <v>XNAS:INTC</v>
    <v>18</v>
  </rv>
  <rv s="3">
    <v>5</v>
    <v>NVDA</v>
    <v>Daily</v>
    <v>45659</v>
    <v>45659</v>
    <v>0</v>
    <v>1</v>
    <v>638713728000000000,638802284598213561,0</v>
    <v>0</v>
    <v>a1yv52</v>
    <v>XNAS:NVDA</v>
    <v>19</v>
  </rv>
  <rv s="3">
    <v>5</v>
    <v>NVDA</v>
    <v>Daily</v>
    <v>45917</v>
    <v>45917</v>
    <v>0</v>
    <v>1</v>
    <v>638936640000000000,638938019515086221,0</v>
    <v>0</v>
    <v>a1yv52</v>
    <v>XNAS:NVDA</v>
    <v>20</v>
  </rv>
  <rv s="3">
    <v>6</v>
    <v>ASML</v>
    <v>Daily</v>
    <v>45659</v>
    <v>45659</v>
    <v>0</v>
    <v>1</v>
    <v>638713728000000000,638805034635585541,0</v>
    <v>0</v>
    <v>alnz5r</v>
    <v>XAMS:ASML</v>
    <v>21</v>
  </rv>
  <rv s="3">
    <v>5</v>
    <v>ASML</v>
    <v>Daily</v>
    <v>45917</v>
    <v>45917</v>
    <v>0</v>
    <v>1</v>
    <v>638936640000000000,638938019516280969,0</v>
    <v>0</v>
    <v>a1ntlh</v>
    <v>XNAS:ASML</v>
    <v>22</v>
  </rv>
  <rv s="3">
    <v>5</v>
    <v>ASML</v>
    <v>Daily</v>
    <v>45889</v>
    <v>45889</v>
    <v>0</v>
    <v>1</v>
    <v>638912448000000000,638938019516738937,0</v>
    <v>0</v>
    <v>a1ntlh</v>
    <v>XNAS:ASML</v>
    <v>23</v>
  </rv>
  <rv s="3">
    <v>5</v>
    <v>AVGO</v>
    <v>Daily</v>
    <v>45659</v>
    <v>45659</v>
    <v>0</v>
    <v>1</v>
    <v>638713728000000000,638805247827282111,0</v>
    <v>0</v>
    <v>a1nz8m</v>
    <v>XNAS:AVGO</v>
    <v>24</v>
  </rv>
  <rv s="3">
    <v>5</v>
    <v>AVGO</v>
    <v>Daily</v>
    <v>45889</v>
    <v>45889</v>
    <v>0</v>
    <v>1</v>
    <v>638912448000000000,638938019515000721,0</v>
    <v>0</v>
    <v>a1nz8m</v>
    <v>XNAS:AVGO</v>
    <v>25</v>
  </rv>
  <rv s="3">
    <v>5</v>
    <v>AMD</v>
    <v>Daily</v>
    <v>45659</v>
    <v>45659</v>
    <v>0</v>
    <v>1</v>
    <v>638713728000000000,638805247827379311,0</v>
    <v>0</v>
    <v>a1ndww</v>
    <v>XNAS:AMD</v>
    <v>26</v>
  </rv>
  <rv s="3">
    <v>5</v>
    <v>AMD</v>
    <v>Daily</v>
    <v>45917</v>
    <v>45917</v>
    <v>0</v>
    <v>1</v>
    <v>638936640000000000,638938019515323002,0</v>
    <v>0</v>
    <v>a1ndww</v>
    <v>XNAS:AMD</v>
    <v>27</v>
  </rv>
  <rv s="3">
    <v>5</v>
    <v>AMD</v>
    <v>Daily</v>
    <v>45889</v>
    <v>45889</v>
    <v>0</v>
    <v>1</v>
    <v>638912448000000000,638938019515564682,0</v>
    <v>0</v>
    <v>a1ndww</v>
    <v>XNAS:AMD</v>
    <v>28</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7">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10</v>
      <v>1</v>
    </spb>
    <spb s="5">
      <v>10</v>
      <v>11</v>
    </spb>
  </spbData>
</supportingPropertyBags>
</file>

<file path=xl/richData/rdsupportingpropertybagstructure.xml><?xml version="1.0" encoding="utf-8"?>
<spbStructures xmlns="http://schemas.microsoft.com/office/spreadsheetml/2017/richdata2" count="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19" formatCode="dd/mm/yyyy"/>
    </x:dxf>
    <x:dxf>
      <x:numFmt numFmtId="2" formatCode="0.00"/>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0">
      <rpv i="0">_([$$-en-US]* #,##0.00_);_([$$-en-US]* (#,##0.00);_([$$-en-US]* "-"??_);_(@_)</rpv>
    </rSty>
    <rSty dxfid="6">
      <rpv i="0">#,##0.00</rpv>
    </rSty>
    <rSty>
      <rpv i="1">1</rpv>
    </rSty>
    <rSty dxfid="5">
      <rpv i="0">#,##0</rpv>
    </rSty>
    <rSty dxfid="4"/>
    <rSty dxfid="0">
      <rpv i="0">_([$$-en-US]* #,##0_);_([$$-en-US]* (#,##0);_([$$-en-US]* "-"_);_(@_)</rpv>
    </rSty>
    <rSty dxfid="3"/>
    <rSty dxfid="7">
      <rpv i="0">0</rpv>
    </rSty>
    <rSty dxfid="2">
      <rpv i="0">0.00</rpv>
    </rSty>
    <rSty dxfid="1"/>
    <rSty dxfid="0">
      <rpv i="0">_([$€-x-euro2] * #,##0.00_);_([$€-x-euro2] * (#,##0.00);_([$€-x-euro2] * "-"??_);_(@_)</rpv>
    </rSty>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56" dT="2025-02-26T17:14:37.81" personId="{8FC7388A-B149-40B4-B48E-70DCA56CA41C}" id="{E2CDF95A-7B2F-4661-BCB3-C007122C6CFD}">
    <text>Payment for Right of Use Assets are recognized as occupancy costs under SG&amp;A expenses.</text>
  </threadedComment>
  <threadedComment ref="B159" dT="2025-02-26T17:14:37.81" personId="{8FC7388A-B149-40B4-B48E-70DCA56CA41C}" id="{CD092673-94DE-4108-B6AF-FC73424C056A}">
    <text>Payment for Right of Use Assets are recognized as occupancy costs under SG&amp;A expenses.</text>
  </threadedComment>
  <threadedComment ref="B161" dT="2025-02-26T17:14:37.81" personId="{8FC7388A-B149-40B4-B48E-70DCA56CA41C}" id="{62E50C66-BA1C-4031-B660-F25771E0B7AB}">
    <text>Payment for Right of Use Assets are recognized as occupancy costs under SG&amp;A expenses.</text>
  </threadedComment>
  <threadedComment ref="B168" dT="2025-02-26T17:14:37.81" personId="{8FC7388A-B149-40B4-B48E-70DCA56CA41C}" id="{9EF6C6D7-5E70-49FE-A672-ED08A0372EC5}">
    <text>Payment for Right of Use Assets are recognized as occupancy costs under SG&amp;A expenses.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l61624@aln.iseg.ulisboa.pt" TargetMode="External"/><Relationship Id="rId2" Type="http://schemas.openxmlformats.org/officeDocument/2006/relationships/hyperlink" Target="mailto:l63853@aln.iseg.ulisboa.pt" TargetMode="External"/><Relationship Id="rId1" Type="http://schemas.openxmlformats.org/officeDocument/2006/relationships/hyperlink" Target="mailto:mafaldajbento@aln.iseg.ulisboa.pt" TargetMode="External"/><Relationship Id="rId5" Type="http://schemas.openxmlformats.org/officeDocument/2006/relationships/drawing" Target="../drawings/drawing1.xml"/><Relationship Id="rId4" Type="http://schemas.openxmlformats.org/officeDocument/2006/relationships/hyperlink" Target="mailto:l62144@aln.iseg.ulisboa.p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marketresearchfuture.com/reports/us-intelligent-network-market-15455" TargetMode="External"/><Relationship Id="rId2" Type="http://schemas.openxmlformats.org/officeDocument/2006/relationships/hyperlink" Target="https://www.edge-ai-vision.com/2025/04/ai-chips-for-data-centers-and-cloud-2025-2035-technologies-market-forecasts/" TargetMode="External"/><Relationship Id="rId1" Type="http://schemas.openxmlformats.org/officeDocument/2006/relationships/hyperlink" Target="https://www.marketresearchfuture.com/reports/client-computing-market-16110" TargetMode="Externa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intel.com/content/www/us/en/employee/documents/retiree-benefits-enrollment-guide.html" TargetMode="External"/><Relationship Id="rId2" Type="http://schemas.openxmlformats.org/officeDocument/2006/relationships/hyperlink" Target="https://d1io3yog0oux5.cloudfront.net/_7836e22efae1ffbd5e36f11a2d4b09f6/intel/db/888/9121/file/2025+Proxy+Statement+Final.pdf" TargetMode="External"/><Relationship Id="rId1" Type="http://schemas.openxmlformats.org/officeDocument/2006/relationships/hyperlink" Target="https://d1io3yog0oux5.cloudfront.net/_7836e22efae1ffbd5e36f11a2d4b09f6/intel/db/888/9122/file/2024+ARS+Form+10-K+after+filing.pdf" TargetMode="External"/><Relationship Id="rId6" Type="http://schemas.openxmlformats.org/officeDocument/2006/relationships/drawing" Target="../drawings/drawing5.xml"/><Relationship Id="rId5" Type="http://schemas.openxmlformats.org/officeDocument/2006/relationships/printerSettings" Target="../printerSettings/printerSettings4.bin"/><Relationship Id="rId4" Type="http://schemas.openxmlformats.org/officeDocument/2006/relationships/hyperlink" Target="https://csrreportbuilder.intel.com/pdfbuilder/pdfs/CSR-2023-24-Full-Report.pdf"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314"/>
  </sheetPr>
  <dimension ref="A1:AI1048576"/>
  <sheetViews>
    <sheetView showGridLines="0" zoomScale="59" zoomScaleNormal="85" workbookViewId="0">
      <selection activeCell="U6" sqref="U6"/>
    </sheetView>
  </sheetViews>
  <sheetFormatPr defaultColWidth="15.625" defaultRowHeight="14.1"/>
  <cols>
    <col min="1" max="1" width="11.625" style="565" customWidth="1"/>
    <col min="2" max="2" width="0.625" style="563" customWidth="1"/>
    <col min="3" max="3" width="2.5" style="561" customWidth="1"/>
    <col min="4" max="4" width="11.875" style="561" customWidth="1"/>
    <col min="5" max="5" width="13.375" style="561" customWidth="1"/>
    <col min="6" max="9" width="12.625" style="561" customWidth="1"/>
    <col min="10" max="10" width="4" style="561" customWidth="1"/>
    <col min="11" max="12" width="12.625" style="561" customWidth="1"/>
    <col min="13" max="13" width="3.625" style="561" customWidth="1"/>
    <col min="14" max="18" width="12.625" style="561" customWidth="1"/>
    <col min="19" max="19" width="3.875" style="615" customWidth="1"/>
    <col min="20" max="20" width="4" style="561" customWidth="1"/>
    <col min="21" max="21" width="27.125" style="561" customWidth="1"/>
    <col min="22" max="22" width="9.875" style="561" customWidth="1"/>
    <col min="23" max="16384" width="15.625" style="561"/>
  </cols>
  <sheetData>
    <row r="1" spans="1:22" ht="24.75" customHeight="1">
      <c r="A1" s="689"/>
      <c r="B1" s="690"/>
      <c r="C1" s="445"/>
      <c r="D1" s="445"/>
      <c r="E1" s="445"/>
      <c r="F1" s="445"/>
      <c r="G1" s="445"/>
      <c r="H1" s="445"/>
      <c r="I1" s="445"/>
      <c r="J1" s="445"/>
      <c r="K1" s="445"/>
      <c r="L1" s="445"/>
      <c r="M1" s="445"/>
      <c r="N1" s="445"/>
      <c r="O1" s="445"/>
      <c r="P1" s="445"/>
      <c r="Q1" s="445"/>
      <c r="R1" s="445"/>
      <c r="S1" s="445"/>
      <c r="T1" s="445"/>
      <c r="U1" s="445"/>
      <c r="V1" s="445"/>
    </row>
    <row r="2" spans="1:22" ht="24" customHeight="1">
      <c r="A2" s="689"/>
      <c r="B2" s="690"/>
      <c r="C2" s="445"/>
      <c r="D2" s="445"/>
      <c r="E2" s="723" t="s">
        <v>0</v>
      </c>
      <c r="F2" s="445"/>
      <c r="G2" s="445"/>
      <c r="H2" s="445"/>
      <c r="I2" s="445"/>
      <c r="J2" s="445"/>
      <c r="K2" s="445"/>
      <c r="L2" s="445"/>
      <c r="M2" s="445"/>
      <c r="N2" s="445"/>
      <c r="O2" s="445"/>
      <c r="P2" s="445"/>
      <c r="Q2" s="445"/>
      <c r="R2" s="445"/>
      <c r="S2" s="445"/>
      <c r="T2" s="445"/>
      <c r="U2" s="635" t="s">
        <v>1</v>
      </c>
      <c r="V2" s="445"/>
    </row>
    <row r="3" spans="1:22">
      <c r="A3" s="689"/>
      <c r="B3" s="690"/>
      <c r="C3" s="445"/>
      <c r="D3" s="445"/>
      <c r="E3" s="445"/>
      <c r="F3" s="445"/>
      <c r="G3" s="445"/>
      <c r="H3" s="445"/>
      <c r="I3" s="445"/>
      <c r="J3" s="445"/>
      <c r="K3" s="445"/>
      <c r="L3" s="445"/>
      <c r="M3" s="445"/>
      <c r="N3" s="445"/>
      <c r="O3" s="445"/>
      <c r="P3" s="445"/>
      <c r="Q3" s="445"/>
      <c r="R3" s="445"/>
      <c r="S3" s="445"/>
      <c r="T3" s="445"/>
      <c r="U3" s="621" t="s">
        <v>2</v>
      </c>
      <c r="V3" s="445"/>
    </row>
    <row r="4" spans="1:22">
      <c r="A4" s="689"/>
      <c r="B4" s="690"/>
      <c r="C4" s="445"/>
      <c r="D4" s="445"/>
      <c r="E4" s="445"/>
      <c r="F4" s="445"/>
      <c r="G4" s="445"/>
      <c r="H4" s="445"/>
      <c r="I4" s="445"/>
      <c r="J4" s="445"/>
      <c r="K4" s="445"/>
      <c r="L4" s="445"/>
      <c r="M4" s="445"/>
      <c r="N4" s="445"/>
      <c r="O4" s="445"/>
      <c r="P4" s="445"/>
      <c r="Q4" s="445"/>
      <c r="R4" s="445"/>
      <c r="S4" s="445"/>
      <c r="T4" s="445"/>
      <c r="U4" s="621"/>
      <c r="V4" s="445"/>
    </row>
    <row r="5" spans="1:22">
      <c r="A5" s="689"/>
      <c r="B5" s="690"/>
      <c r="C5" s="445"/>
      <c r="D5" s="445"/>
      <c r="E5" s="445"/>
      <c r="F5" s="445"/>
      <c r="G5" s="445"/>
      <c r="H5" s="445"/>
      <c r="I5"/>
      <c r="J5" s="445"/>
      <c r="K5" s="445"/>
      <c r="L5" s="445"/>
      <c r="M5" s="445"/>
      <c r="N5" s="445"/>
      <c r="O5" s="445"/>
      <c r="P5" s="445"/>
      <c r="Q5" s="445"/>
      <c r="R5" s="445"/>
      <c r="S5" s="445"/>
      <c r="T5" s="445"/>
      <c r="U5" s="445"/>
      <c r="V5" s="445"/>
    </row>
    <row r="6" spans="1:22" s="562" customFormat="1" ht="15.95" customHeight="1">
      <c r="A6" s="566"/>
      <c r="B6" s="567"/>
      <c r="D6" s="569" t="str" cm="1">
        <f t="array" aca="1" ref="D6" ca="1">+_FV(DCF!R4,"Name")</f>
        <v>INTEL CORPORATION</v>
      </c>
      <c r="S6" s="691"/>
      <c r="U6" s="620" t="s">
        <v>3</v>
      </c>
    </row>
    <row r="7" spans="1:22" ht="3.75" customHeight="1">
      <c r="A7" s="689"/>
      <c r="B7" s="690"/>
      <c r="C7" s="445"/>
      <c r="D7" s="445"/>
      <c r="E7" s="445"/>
      <c r="F7" s="445"/>
      <c r="G7" s="445"/>
      <c r="H7" s="445"/>
      <c r="I7" s="445"/>
      <c r="J7" s="445"/>
      <c r="K7" s="445"/>
      <c r="L7" s="445"/>
      <c r="M7" s="445"/>
      <c r="N7" s="445"/>
      <c r="O7" s="445"/>
      <c r="P7" s="445"/>
      <c r="Q7" s="445"/>
      <c r="R7" s="445"/>
      <c r="S7" s="691"/>
      <c r="T7" s="445"/>
      <c r="U7" s="562"/>
      <c r="V7" s="445"/>
    </row>
    <row r="8" spans="1:22" ht="14.25" customHeight="1">
      <c r="A8" s="689"/>
      <c r="B8" s="690"/>
      <c r="C8" s="445"/>
      <c r="D8" s="812" t="s">
        <v>4</v>
      </c>
      <c r="E8" s="812"/>
      <c r="F8" s="812"/>
      <c r="G8" s="812"/>
      <c r="H8" s="812"/>
      <c r="I8" s="812"/>
      <c r="J8" s="812"/>
      <c r="K8" s="812"/>
      <c r="L8" s="812"/>
      <c r="M8" s="812"/>
      <c r="N8" s="812"/>
      <c r="O8" s="812"/>
      <c r="P8" s="812"/>
      <c r="Q8" s="812"/>
      <c r="R8" s="812"/>
      <c r="S8" s="692"/>
      <c r="T8" s="445"/>
      <c r="U8" s="693" t="s">
        <v>5</v>
      </c>
      <c r="V8" s="445"/>
    </row>
    <row r="9" spans="1:22" ht="14.25" customHeight="1">
      <c r="A9" s="689"/>
      <c r="B9" s="690"/>
      <c r="C9" s="445"/>
      <c r="D9" s="812"/>
      <c r="E9" s="812"/>
      <c r="F9" s="812"/>
      <c r="G9" s="812"/>
      <c r="H9" s="812"/>
      <c r="I9" s="812"/>
      <c r="J9" s="812"/>
      <c r="K9" s="812"/>
      <c r="L9" s="812"/>
      <c r="M9" s="812"/>
      <c r="N9" s="812"/>
      <c r="O9" s="812"/>
      <c r="P9" s="812"/>
      <c r="Q9" s="812"/>
      <c r="R9" s="812"/>
      <c r="S9" s="692"/>
      <c r="T9" s="445"/>
      <c r="U9" s="568" t="str" cm="1">
        <f t="array" aca="1" ref="U9" ca="1">+"Price (7 Mar 25): $"&amp;_FV(DCF!$R$4,"Price")</f>
        <v>Price (7 Mar 25): $31,515</v>
      </c>
      <c r="V9" s="445"/>
    </row>
    <row r="10" spans="1:22" ht="20.100000000000001" customHeight="1">
      <c r="A10" s="689"/>
      <c r="B10" s="690"/>
      <c r="C10" s="445"/>
      <c r="D10" s="569" t="s">
        <v>6</v>
      </c>
      <c r="E10" s="694"/>
      <c r="F10" s="694"/>
      <c r="G10" s="694"/>
      <c r="H10" s="694"/>
      <c r="I10" s="694"/>
      <c r="J10" s="694"/>
      <c r="K10" s="694"/>
      <c r="L10" s="694"/>
      <c r="M10" s="694"/>
      <c r="N10" s="694"/>
      <c r="O10" s="694"/>
      <c r="P10" s="694"/>
      <c r="Q10" s="694"/>
      <c r="R10" s="694"/>
      <c r="S10" s="695"/>
      <c r="T10" s="445"/>
      <c r="U10" s="1" t="str">
        <f ca="1">"Price Target: $" &amp; ROUND(IF(Summary!G25="FCFF",DCF!Q211,IF(Summary!G25="FCFE",DCF!Q254,IF(Summary!G25="Tax Shield",DCF!Q227,DCF!Q270))),2) &amp;" "&amp;IF(Summary!G25="FCFF","(FCFF)",IF(Summary!G25="FCFE","(FCFE)",IF(Summary!G25="Tax Shield","(APV)","(DDM)")))</f>
        <v>Price Target: $6,33 (FCFF)</v>
      </c>
      <c r="V10" s="445"/>
    </row>
    <row r="11" spans="1:22" ht="14.25" customHeight="1">
      <c r="A11" s="689"/>
      <c r="B11" s="690"/>
      <c r="C11" s="445"/>
      <c r="D11" s="812" t="s">
        <v>7</v>
      </c>
      <c r="E11" s="812"/>
      <c r="F11" s="812"/>
      <c r="G11" s="812"/>
      <c r="H11" s="812"/>
      <c r="I11" s="812"/>
      <c r="J11" s="812"/>
      <c r="K11" s="812"/>
      <c r="L11" s="812"/>
      <c r="M11" s="812"/>
      <c r="N11" s="812"/>
      <c r="O11" s="812"/>
      <c r="P11" s="812"/>
      <c r="Q11" s="812"/>
      <c r="R11" s="812"/>
      <c r="S11" s="692"/>
      <c r="T11" s="445"/>
      <c r="U11" s="568" t="str">
        <f ca="1">+"Upside (Downside): "&amp;ROUND((DCF!$Q$214*100),2)&amp;"%"</f>
        <v>Upside (Downside): -79,9%</v>
      </c>
      <c r="V11" s="445"/>
    </row>
    <row r="12" spans="1:22" ht="3.75" customHeight="1">
      <c r="A12" s="689"/>
      <c r="B12" s="690"/>
      <c r="C12" s="445"/>
      <c r="D12" s="812"/>
      <c r="E12" s="812"/>
      <c r="F12" s="812"/>
      <c r="G12" s="812"/>
      <c r="H12" s="812"/>
      <c r="I12" s="812"/>
      <c r="J12" s="812"/>
      <c r="K12" s="812"/>
      <c r="L12" s="812"/>
      <c r="M12" s="812"/>
      <c r="N12" s="812"/>
      <c r="O12" s="812"/>
      <c r="P12" s="812"/>
      <c r="Q12" s="812"/>
      <c r="R12" s="812"/>
      <c r="S12" s="692"/>
      <c r="T12" s="445"/>
      <c r="U12" s="445"/>
      <c r="V12" s="445"/>
    </row>
    <row r="13" spans="1:22" ht="17.25" customHeight="1">
      <c r="A13" s="689"/>
      <c r="B13" s="690"/>
      <c r="C13" s="445"/>
      <c r="D13" s="812"/>
      <c r="E13" s="812"/>
      <c r="F13" s="812"/>
      <c r="G13" s="812"/>
      <c r="H13" s="812"/>
      <c r="I13" s="812"/>
      <c r="J13" s="812"/>
      <c r="K13" s="812"/>
      <c r="L13" s="812"/>
      <c r="M13" s="812"/>
      <c r="N13" s="812"/>
      <c r="O13" s="812"/>
      <c r="P13" s="812"/>
      <c r="Q13" s="812"/>
      <c r="R13" s="812"/>
      <c r="S13" s="692"/>
      <c r="T13" s="445"/>
      <c r="U13" s="445"/>
      <c r="V13" s="445"/>
    </row>
    <row r="14" spans="1:22" ht="15" customHeight="1">
      <c r="A14" s="689"/>
      <c r="B14" s="690"/>
      <c r="C14" s="445"/>
      <c r="D14" s="812"/>
      <c r="E14" s="812"/>
      <c r="F14" s="812"/>
      <c r="G14" s="812"/>
      <c r="H14" s="812"/>
      <c r="I14" s="812"/>
      <c r="J14" s="812"/>
      <c r="K14" s="812"/>
      <c r="L14" s="812"/>
      <c r="M14" s="812"/>
      <c r="N14" s="812"/>
      <c r="O14" s="812"/>
      <c r="P14" s="812"/>
      <c r="Q14" s="812"/>
      <c r="R14" s="812"/>
      <c r="S14" s="692"/>
      <c r="T14" s="445"/>
      <c r="U14" s="696" t="str">
        <f>+Industry!E28&amp;", "&amp;ESG!C9</f>
        <v>USA, Information Technology</v>
      </c>
      <c r="V14" s="690"/>
    </row>
    <row r="15" spans="1:22" ht="15" customHeight="1">
      <c r="A15" s="689"/>
      <c r="B15" s="690"/>
      <c r="C15" s="445"/>
      <c r="D15" s="812"/>
      <c r="E15" s="812"/>
      <c r="F15" s="812"/>
      <c r="G15" s="812"/>
      <c r="H15" s="812"/>
      <c r="I15" s="812"/>
      <c r="J15" s="812"/>
      <c r="K15" s="812"/>
      <c r="L15" s="812"/>
      <c r="M15" s="812"/>
      <c r="N15" s="812"/>
      <c r="O15" s="812"/>
      <c r="P15" s="812"/>
      <c r="Q15" s="812"/>
      <c r="R15" s="812"/>
      <c r="S15" s="692"/>
      <c r="T15" s="445"/>
      <c r="U15" s="696" t="str">
        <f>+ESG!C10</f>
        <v>Semiconductors &amp; Semiconductor Equipment</v>
      </c>
      <c r="V15" s="690"/>
    </row>
    <row r="16" spans="1:22" ht="3.75" customHeight="1">
      <c r="A16" s="689"/>
      <c r="B16" s="690"/>
      <c r="C16" s="445"/>
      <c r="D16" s="445"/>
      <c r="E16" s="1"/>
      <c r="F16" s="445"/>
      <c r="G16" s="445"/>
      <c r="H16" s="445"/>
      <c r="I16" s="445"/>
      <c r="J16" s="445"/>
      <c r="K16" s="445"/>
      <c r="L16" s="445"/>
      <c r="M16" s="445"/>
      <c r="N16" s="445"/>
      <c r="O16" s="445"/>
      <c r="P16" s="445"/>
      <c r="Q16" s="445"/>
      <c r="R16" s="445"/>
      <c r="S16" s="691"/>
      <c r="T16" s="445"/>
      <c r="U16" s="697"/>
      <c r="V16" s="445"/>
    </row>
    <row r="17" spans="4:22" ht="14.25" customHeight="1">
      <c r="D17" s="2" t="s">
        <v>8</v>
      </c>
      <c r="E17" s="3"/>
      <c r="F17" s="4">
        <v>2023</v>
      </c>
      <c r="G17" s="9">
        <f>+F17+1</f>
        <v>2024</v>
      </c>
      <c r="H17" s="5">
        <f>+G17+1</f>
        <v>2025</v>
      </c>
      <c r="I17" s="5">
        <f>+H17+1</f>
        <v>2026</v>
      </c>
      <c r="J17" s="445"/>
      <c r="K17" s="7" t="s">
        <v>9</v>
      </c>
      <c r="L17" s="4"/>
      <c r="M17" s="4"/>
      <c r="N17" s="4">
        <v>2022</v>
      </c>
      <c r="O17" s="4">
        <f>+N17+1</f>
        <v>2023</v>
      </c>
      <c r="P17" s="349">
        <f>+O17+1</f>
        <v>2024</v>
      </c>
      <c r="Q17" s="5">
        <f>+P17+1</f>
        <v>2025</v>
      </c>
      <c r="R17" s="5">
        <f>+Q17+1</f>
        <v>2026</v>
      </c>
      <c r="S17" s="616"/>
      <c r="T17" s="445"/>
      <c r="U17" s="698" t="s">
        <v>10</v>
      </c>
      <c r="V17" s="445"/>
    </row>
    <row r="18" spans="4:22" ht="15.6">
      <c r="D18" s="10" t="str">
        <f>DCF!B17</f>
        <v>CCD</v>
      </c>
      <c r="E18" s="11"/>
      <c r="F18" s="744">
        <f>DCF!F17</f>
        <v>29258</v>
      </c>
      <c r="G18" s="12">
        <f>DCF!G17</f>
        <v>30290</v>
      </c>
      <c r="H18" s="13">
        <f>DCF!H17</f>
        <v>31804.5</v>
      </c>
      <c r="I18" s="13">
        <f>DCF!I17</f>
        <v>34030.815000000002</v>
      </c>
      <c r="J18" s="445"/>
      <c r="K18" s="14" t="s">
        <v>11</v>
      </c>
      <c r="L18"/>
      <c r="M18"/>
      <c r="N18" s="372">
        <f ca="1">IFERROR(_xlfn.XLOOKUP($K18,Multiples!$B:$B,Multiples!N:N),"")</f>
        <v>1.9543990864972882</v>
      </c>
      <c r="O18" s="372">
        <f ca="1">IFERROR(_xlfn.XLOOKUP($K18,Multiples!$B:$B,Multiples!O:O),"")</f>
        <v>4.3759220328981341</v>
      </c>
      <c r="P18" s="350">
        <f ca="1">IFERROR(_xlfn.XLOOKUP($K18,Multiples!$B:$B,Multiples!P:P),"")</f>
        <v>2.1893373006158074</v>
      </c>
      <c r="Q18" s="357">
        <f ca="1">IFERROR(_xlfn.XLOOKUP($K18,Multiples!$B:$B,Multiples!Q:Q),"")</f>
        <v>3.0084901821451376E-2</v>
      </c>
      <c r="R18" s="357">
        <f ca="1">IFERROR(_xlfn.XLOOKUP($K18,Multiples!$B:$B,Multiples!R:R),"")</f>
        <v>2.8802171414184067E-2</v>
      </c>
      <c r="S18" s="617"/>
      <c r="T18" s="445"/>
      <c r="U18" s="751" t="s">
        <v>12</v>
      </c>
      <c r="V18" s="445"/>
    </row>
    <row r="19" spans="4:22" ht="15.6">
      <c r="D19" s="10" t="str">
        <f>DCF!B20</f>
        <v>DCAI</v>
      </c>
      <c r="E19" s="11"/>
      <c r="F19" s="744">
        <f>DCF!F20</f>
        <v>12635</v>
      </c>
      <c r="G19" s="12">
        <f>DCF!G20</f>
        <v>12817</v>
      </c>
      <c r="H19" s="13">
        <f>DCF!H20</f>
        <v>11535.300000000001</v>
      </c>
      <c r="I19" s="13">
        <f>DCF!I20</f>
        <v>10958.535</v>
      </c>
      <c r="J19" s="445"/>
      <c r="K19" s="17" t="s">
        <v>13</v>
      </c>
      <c r="L19"/>
      <c r="M19"/>
      <c r="N19" s="372">
        <f ca="1">IFERROR(_xlfn.XLOOKUP($K19,Multiples!$B:$B,Multiples!N:N),"")</f>
        <v>1.7075947600469441</v>
      </c>
      <c r="O19" s="372">
        <f ca="1">IFERROR(_xlfn.XLOOKUP($K19,Multiples!$B:$B,Multiples!O:O),"")</f>
        <v>3.8826344323965478</v>
      </c>
      <c r="P19" s="350">
        <f ca="1">IFERROR(_xlfn.XLOOKUP($K19,Multiples!$B:$B,Multiples!P:P),"")</f>
        <v>1.616052428391179</v>
      </c>
      <c r="Q19" s="357">
        <f ca="1">IFERROR(_xlfn.XLOOKUP($K19,Multiples!$B:$B,Multiples!Q:Q),"")</f>
        <v>0</v>
      </c>
      <c r="R19" s="357">
        <f ca="1">IFERROR(_xlfn.XLOOKUP($K19,Multiples!$B:$B,Multiples!R:R),"")</f>
        <v>0</v>
      </c>
      <c r="S19" s="617"/>
      <c r="T19" s="445"/>
      <c r="U19" s="608" t="s">
        <v>14</v>
      </c>
      <c r="V19" s="445"/>
    </row>
    <row r="20" spans="4:22" ht="14.25" customHeight="1">
      <c r="D20" s="10" t="str">
        <f>DCF!B23</f>
        <v>NEX</v>
      </c>
      <c r="E20" s="11"/>
      <c r="F20" s="744">
        <f>DCF!F23</f>
        <v>5774</v>
      </c>
      <c r="G20" s="12">
        <f>DCF!G23</f>
        <v>5842</v>
      </c>
      <c r="H20" s="13">
        <f>DCF!H23</f>
        <v>5900.42</v>
      </c>
      <c r="I20" s="13">
        <f>DCF!I23</f>
        <v>6018.4283999999998</v>
      </c>
      <c r="J20" s="445"/>
      <c r="K20" s="18" t="s">
        <v>15</v>
      </c>
      <c r="L20"/>
      <c r="M20"/>
      <c r="N20" s="372">
        <f ca="1">IFERROR(_xlfn.XLOOKUP($K20,Multiples!$B:$B,Multiples!N:N),"")</f>
        <v>8.5524797001873836</v>
      </c>
      <c r="O20" s="372">
        <f ca="1">IFERROR(_xlfn.XLOOKUP($K20,Multiples!$B:$B,Multiples!O:O),"")</f>
        <v>25.031381856540083</v>
      </c>
      <c r="P20" s="350">
        <f ca="1">IFERROR(_xlfn.XLOOKUP($K20,Multiples!$B:$B,Multiples!P:P),"")</f>
        <v>19.52241813602015</v>
      </c>
      <c r="Q20" s="357">
        <f ca="1">IFERROR(_xlfn.XLOOKUP($K20,Multiples!$B:$B,Multiples!Q:Q),"")</f>
        <v>-0.2611494722571201</v>
      </c>
      <c r="R20" s="357">
        <f ca="1">IFERROR(_xlfn.XLOOKUP($K20,Multiples!$B:$B,Multiples!R:R),"")</f>
        <v>-0.90451114775785657</v>
      </c>
      <c r="S20" s="617"/>
      <c r="T20" s="445"/>
      <c r="U20" s="19" t="s">
        <v>16</v>
      </c>
      <c r="V20" s="445"/>
    </row>
    <row r="21" spans="4:22" ht="15.6">
      <c r="D21" s="10" t="str">
        <f>DCF!B26</f>
        <v>Intel Foundry</v>
      </c>
      <c r="E21" s="11"/>
      <c r="F21" s="744">
        <f>DCF!F26</f>
        <v>18910</v>
      </c>
      <c r="G21" s="12">
        <f>DCF!G26</f>
        <v>17543</v>
      </c>
      <c r="H21" s="13">
        <f>DCF!H26</f>
        <v>18069.29</v>
      </c>
      <c r="I21" s="13">
        <f>DCF!I26</f>
        <v>19334.140300000003</v>
      </c>
      <c r="J21" s="445"/>
      <c r="K21" s="18" t="s">
        <v>17</v>
      </c>
      <c r="L21"/>
      <c r="M21"/>
      <c r="N21" s="372">
        <f ca="1">IFERROR(_xlfn.XLOOKUP($K21,Multiples!$B:$B,Multiples!N:N),"")</f>
        <v>89.688995633187773</v>
      </c>
      <c r="O21" s="372">
        <f ca="1">IFERROR(_xlfn.XLOOKUP($K21,Multiples!$B:$B,Multiples!O:O),"")</f>
        <v>-1945.061475409836</v>
      </c>
      <c r="P21" s="350">
        <f ca="1">IFERROR(_xlfn.XLOOKUP($K21,Multiples!$B:$B,Multiples!P:P),"")</f>
        <v>-21.43362831858407</v>
      </c>
      <c r="Q21" s="357">
        <f ca="1">IFERROR(_xlfn.XLOOKUP($K21,Multiples!$B:$B,Multiples!Q:Q),"")</f>
        <v>-0.2611494722571201</v>
      </c>
      <c r="R21" s="357">
        <f ca="1">IFERROR(_xlfn.XLOOKUP($K21,Multiples!$B:$B,Multiples!R:R),"")</f>
        <v>-0.90451114775785657</v>
      </c>
      <c r="S21" s="617"/>
      <c r="T21" s="445"/>
      <c r="U21" s="751" t="s">
        <v>18</v>
      </c>
      <c r="V21" s="445"/>
    </row>
    <row r="22" spans="4:22" ht="15.6">
      <c r="D22" s="10"/>
      <c r="E22" s="11"/>
      <c r="F22" s="794"/>
      <c r="G22" s="12"/>
      <c r="H22" s="13"/>
      <c r="I22" s="13"/>
      <c r="J22" s="445"/>
      <c r="K22" s="17" t="s">
        <v>19</v>
      </c>
      <c r="L22"/>
      <c r="M22"/>
      <c r="N22" s="372">
        <f ca="1">IFERROR(_xlfn.XLOOKUP($K22,Multiples!$B:$B,Multiples!N:N),"")</f>
        <v>38.412657866571536</v>
      </c>
      <c r="O22" s="372">
        <f ca="1">IFERROR(_xlfn.XLOOKUP($K22,Multiples!$B:$B,Multiples!O:O),"")</f>
        <v>110.98972061149183</v>
      </c>
      <c r="P22" s="350">
        <f ca="1">IFERROR(_xlfn.XLOOKUP($K22,Multiples!$B:$B,Multiples!P:P),"")</f>
        <v>-6.6081934390882493</v>
      </c>
      <c r="Q22" s="357">
        <f ca="1">IFERROR(_xlfn.XLOOKUP($K22,Multiples!$B:$B,Multiples!Q:Q),"")</f>
        <v>0</v>
      </c>
      <c r="R22" s="357">
        <f ca="1">IFERROR(_xlfn.XLOOKUP($K22,Multiples!$B:$B,Multiples!R:R),"")</f>
        <v>0</v>
      </c>
      <c r="S22" s="617"/>
      <c r="T22" s="445"/>
      <c r="U22" s="608" t="s">
        <v>20</v>
      </c>
      <c r="V22" s="445"/>
    </row>
    <row r="23" spans="4:22" ht="14.25" customHeight="1">
      <c r="D23" s="10"/>
      <c r="E23" s="11"/>
      <c r="F23" s="794"/>
      <c r="G23" s="12"/>
      <c r="H23" s="13"/>
      <c r="I23" s="13"/>
      <c r="J23" s="445"/>
      <c r="K23" s="18" t="s">
        <v>21</v>
      </c>
      <c r="L23"/>
      <c r="M23"/>
      <c r="N23" s="372">
        <f ca="1">IFERROR(_xlfn.XLOOKUP($K23,Multiples!$B:$B,Multiples!N:N),"")</f>
        <v>1.0424518327750132</v>
      </c>
      <c r="O23" s="372">
        <f ca="1">IFERROR(_xlfn.XLOOKUP($K23,Multiples!$B:$B,Multiples!O:O),"")</f>
        <v>1.9146773973537035</v>
      </c>
      <c r="P23" s="350">
        <f ca="1">IFERROR(_xlfn.XLOOKUP($K23,Multiples!$B:$B,Multiples!P:P),"")</f>
        <v>0.81702719171300175</v>
      </c>
      <c r="Q23" s="357">
        <f ca="1">IFERROR(_xlfn.XLOOKUP($K23,Multiples!$B:$B,Multiples!Q:Q),"")</f>
        <v>0</v>
      </c>
      <c r="R23" s="357">
        <f ca="1">IFERROR(_xlfn.XLOOKUP($K23,Multiples!$B:$B,Multiples!R:R),"")</f>
        <v>0</v>
      </c>
      <c r="S23" s="617"/>
      <c r="T23" s="445"/>
      <c r="U23" s="19" t="s">
        <v>22</v>
      </c>
      <c r="V23" s="445"/>
    </row>
    <row r="24" spans="4:22" ht="15.6">
      <c r="D24"/>
      <c r="E24"/>
      <c r="F24"/>
      <c r="G24"/>
      <c r="H24"/>
      <c r="I24"/>
      <c r="J24"/>
      <c r="K24" s="18"/>
      <c r="L24"/>
      <c r="M24"/>
      <c r="N24"/>
      <c r="O24"/>
      <c r="P24"/>
      <c r="Q24"/>
      <c r="R24"/>
      <c r="S24" s="618"/>
      <c r="T24" s="445"/>
      <c r="U24" s="751" t="s">
        <v>23</v>
      </c>
      <c r="V24" s="445"/>
    </row>
    <row r="25" spans="4:22" ht="14.25" customHeight="1">
      <c r="D25" s="24" t="s">
        <v>24</v>
      </c>
      <c r="E25" s="570" t="s">
        <v>25</v>
      </c>
      <c r="F25" s="571" t="s">
        <v>26</v>
      </c>
      <c r="G25" s="571" t="s">
        <v>27</v>
      </c>
      <c r="H25" s="571" t="str">
        <f>+IF(Summary!$G$25="FCFF",DCF!AB6,IF(Summary!$G$25="FCFE",DCF!AC6,DCF!AD6))</f>
        <v>NOPAT</v>
      </c>
      <c r="I25" s="572" t="s">
        <v>28</v>
      </c>
      <c r="J25" s="445"/>
      <c r="K25" s="7" t="s">
        <v>29</v>
      </c>
      <c r="L25" s="4"/>
      <c r="M25" s="4"/>
      <c r="N25" s="4">
        <v>2022</v>
      </c>
      <c r="O25" s="4">
        <f>+N25+1</f>
        <v>2023</v>
      </c>
      <c r="P25" s="349">
        <f>+O25+1</f>
        <v>2024</v>
      </c>
      <c r="Q25" s="5">
        <f>+P25+1</f>
        <v>2025</v>
      </c>
      <c r="R25" s="5">
        <f>+Q25+1</f>
        <v>2026</v>
      </c>
      <c r="S25" s="616"/>
      <c r="T25" s="445"/>
      <c r="U25" s="608" t="s">
        <v>30</v>
      </c>
      <c r="V25" s="445"/>
    </row>
    <row r="26" spans="4:22" ht="15.6">
      <c r="D26" s="25">
        <v>2022</v>
      </c>
      <c r="E26" s="573">
        <f>+DCF!E32</f>
        <v>63054</v>
      </c>
      <c r="F26" s="574">
        <f>+DCF!E62</f>
        <v>2.1790845941573888E-2</v>
      </c>
      <c r="G26" s="575">
        <f ca="1">+INDEX(DCF!X7:AA7,MATCH(Summary!$G$25,{"FCFF","FCFE","Tax Shield","Total Payout"},0))</f>
        <v>-10609.043069694597</v>
      </c>
      <c r="H26" s="575">
        <f>+IF(Summary!$G$25="FCFF",DCF!AB7,IF(Summary!$G$25="FCFE",DCF!AC7,DCF!AD7))</f>
        <v>1507.9569303054034</v>
      </c>
      <c r="I26" s="576">
        <f>+DCF!E136</f>
        <v>-25050</v>
      </c>
      <c r="J26" s="445"/>
      <c r="K26" s="18" t="s">
        <v>31</v>
      </c>
      <c r="L26"/>
      <c r="M26"/>
      <c r="N26" s="372">
        <f>IFERROR(_xlfn.XLOOKUP($K26,Multiples!$B:$B,Multiples!N:N),"")</f>
        <v>1.5392387824472963E-2</v>
      </c>
      <c r="O26" s="372">
        <f>IFERROR(_xlfn.XLOOKUP($K26,Multiples!$B:$B,Multiples!O:O),"")</f>
        <v>9.9022821706721241E-3</v>
      </c>
      <c r="P26" s="350">
        <f>IFERROR(_xlfn.XLOOKUP($K26,Multiples!$B:$B,Multiples!P:P),"")</f>
        <v>-6.609155915209812E-2</v>
      </c>
      <c r="Q26" s="357">
        <f ca="1">IFERROR(_xlfn.XLOOKUP($K26,Multiples!$B:$B,Multiples!Q:Q),"")</f>
        <v>-5.6875013093713525E-2</v>
      </c>
      <c r="R26" s="357">
        <f ca="1">IFERROR(_xlfn.XLOOKUP($K26,Multiples!$B:$B,Multiples!R:R),"")</f>
        <v>-1.4451172432094267E-2</v>
      </c>
      <c r="S26" s="617"/>
      <c r="T26" s="445"/>
      <c r="U26" s="19" t="s">
        <v>32</v>
      </c>
      <c r="V26" s="445"/>
    </row>
    <row r="27" spans="4:22" ht="14.25" customHeight="1">
      <c r="D27" s="25">
        <f t="shared" ref="D27:D33" si="0">+D26+1</f>
        <v>2023</v>
      </c>
      <c r="E27" s="577">
        <f>+DCF!F32</f>
        <v>54228</v>
      </c>
      <c r="F27" s="578">
        <f>+DCF!F62</f>
        <v>-2.249760271446485E-3</v>
      </c>
      <c r="G27" s="579">
        <f ca="1">+INDEX(DCF!X8:AA8,MATCH(Summary!$G$25,{"FCFF","FCFE","Tax Shield","Total Payout"},0))</f>
        <v>-15272.197154471545</v>
      </c>
      <c r="H27" s="580">
        <f>+IF(Summary!$G$25="FCFF",DCF!AB8,IF(Summary!$G$25="FCFE",DCF!AC8,DCF!AD8))</f>
        <v>-235.19715447154471</v>
      </c>
      <c r="I27" s="576">
        <f>+DCF!F136</f>
        <v>-25750</v>
      </c>
      <c r="J27" s="445"/>
      <c r="K27" s="18" t="s">
        <v>33</v>
      </c>
      <c r="L27"/>
      <c r="M27"/>
      <c r="N27" s="372">
        <f>IFERROR(_xlfn.XLOOKUP($K27,Multiples!$B:$B,Multiples!N:N),"")</f>
        <v>2.7138237515248919E-2</v>
      </c>
      <c r="O27" s="372">
        <f>IFERROR(_xlfn.XLOOKUP($K27,Multiples!$B:$B,Multiples!O:O),"")</f>
        <v>1.7250943482017004E-2</v>
      </c>
      <c r="P27" s="350">
        <f>IFERROR(_xlfn.XLOOKUP($K27,Multiples!$B:$B,Multiples!P:P),"")</f>
        <v>-0.12363851016832965</v>
      </c>
      <c r="Q27" s="357">
        <f ca="1">IFERROR(_xlfn.XLOOKUP($K27,Multiples!$B:$B,Multiples!Q:Q),"")</f>
        <v>3.5872929550420331E-15</v>
      </c>
      <c r="R27" s="357">
        <f ca="1">IFERROR(_xlfn.XLOOKUP($K27,Multiples!$B:$B,Multiples!R:R),"")</f>
        <v>9.1148267469110108E-16</v>
      </c>
      <c r="S27" s="617"/>
      <c r="T27" s="445"/>
      <c r="U27" s="751" t="s">
        <v>34</v>
      </c>
      <c r="V27" s="445"/>
    </row>
    <row r="28" spans="4:22" ht="15.6">
      <c r="D28" s="396">
        <f t="shared" si="0"/>
        <v>2024</v>
      </c>
      <c r="E28" s="581">
        <f>+DCF!G32</f>
        <v>53101</v>
      </c>
      <c r="F28" s="582">
        <f>+DCF!G62</f>
        <v>-0.10214496902129903</v>
      </c>
      <c r="G28" s="583">
        <f ca="1">+INDEX(DCF!X9:AA9,MATCH(Summary!$G$25,{"FCFF","FCFE","Tax Shield","Total Payout"},0))</f>
        <v>-24467.235341527303</v>
      </c>
      <c r="H28" s="584">
        <f>+IF(Summary!$G$25="FCFF",DCF!AB9,IF(Summary!$G$25="FCFE",DCF!AC9,DCF!AD9))</f>
        <v>-14192.235341527301</v>
      </c>
      <c r="I28" s="610">
        <f>+DCF!G136</f>
        <v>-23944</v>
      </c>
      <c r="J28" s="445"/>
      <c r="K28" s="122" t="s">
        <v>35</v>
      </c>
      <c r="L28"/>
      <c r="M28"/>
      <c r="N28" s="372">
        <f>IFERROR(_xlfn.XLOOKUP($K28,Multiples!$B:$B,Multiples!N:N),"")</f>
        <v>1.0376588222823665E-2</v>
      </c>
      <c r="O28" s="372">
        <f>IFERROR(_xlfn.XLOOKUP($K28,Multiples!$B:$B,Multiples!O:O),"")</f>
        <v>-1.494510875186147E-3</v>
      </c>
      <c r="P28" s="350">
        <f>IFERROR(_xlfn.XLOOKUP($K28,Multiples!$B:$B,Multiples!P:P),"")</f>
        <v>-9.3509002474253172E-2</v>
      </c>
      <c r="Q28" s="357">
        <f ca="1">IFERROR(_xlfn.XLOOKUP($K28,Multiples!$B:$B,Multiples!Q:Q),"")</f>
        <v>2.1696912779099467E-15</v>
      </c>
      <c r="R28" s="357">
        <f ca="1">IFERROR(_xlfn.XLOOKUP($K28,Multiples!$B:$B,Multiples!R:R),"")</f>
        <v>6.267402484123742E-16</v>
      </c>
      <c r="S28" s="617"/>
      <c r="T28" s="445"/>
      <c r="U28" s="750" t="s">
        <v>36</v>
      </c>
      <c r="V28" s="699"/>
    </row>
    <row r="29" spans="4:22" ht="15.6">
      <c r="D29" s="26">
        <f t="shared" si="0"/>
        <v>2025</v>
      </c>
      <c r="E29" s="585">
        <f>+DCF!H32</f>
        <v>67309.510000000009</v>
      </c>
      <c r="F29" s="586">
        <f>+DCF!H62</f>
        <v>-0.11520184805057031</v>
      </c>
      <c r="G29" s="587">
        <f ca="1">+INDEX(DCF!X10:AA10,MATCH(Summary!$G$25,{"FCFF","FCFE","Tax Shield","Total Payout"},0))</f>
        <v>10069.535523323939</v>
      </c>
      <c r="H29" s="585">
        <f ca="1">+IF(Summary!$G$25="FCFF",DCF!AB10,IF(Summary!$G$25="FCFE",DCF!AC10,DCF!AD10))</f>
        <v>-7754.1799433783435</v>
      </c>
      <c r="I29" s="730">
        <f>+DCF!H136</f>
        <v>-3112.7200000000003</v>
      </c>
      <c r="J29" s="445"/>
      <c r="K29" s="27" t="s">
        <v>37</v>
      </c>
      <c r="L29"/>
      <c r="M29"/>
      <c r="N29" s="372">
        <f>IFERROR(_xlfn.XLOOKUP($K29,Multiples!$B:$B,Multiples!N:N),"")</f>
        <v>0.22851841278903798</v>
      </c>
      <c r="O29" s="372">
        <f>IFERROR(_xlfn.XLOOKUP($K29,Multiples!$B:$B,Multiples!O:O),"")</f>
        <v>0.17481743748616951</v>
      </c>
      <c r="P29" s="350">
        <f>IFERROR(_xlfn.XLOOKUP($K29,Multiples!$B:$B,Multiples!P:P),"")</f>
        <v>0.11214478070092843</v>
      </c>
      <c r="Q29" s="357">
        <f ca="1">IFERROR(_xlfn.XLOOKUP($K29,Multiples!$B:$B,Multiples!Q:Q),"")</f>
        <v>-0.11520184805057031</v>
      </c>
      <c r="R29" s="357">
        <f ca="1">IFERROR(_xlfn.XLOOKUP($K29,Multiples!$B:$B,Multiples!R:R),"")</f>
        <v>-3.1842804243574226E-2</v>
      </c>
      <c r="S29" s="617"/>
      <c r="T29" s="445"/>
      <c r="U29" s="445"/>
      <c r="V29" s="445"/>
    </row>
    <row r="30" spans="4:22" ht="15.6">
      <c r="D30" s="26">
        <f t="shared" si="0"/>
        <v>2026</v>
      </c>
      <c r="E30" s="585">
        <f>+DCF!I32</f>
        <v>70341.918700000009</v>
      </c>
      <c r="F30" s="586">
        <f>+DCF!I62</f>
        <v>-3.1842804243574226E-2</v>
      </c>
      <c r="G30" s="587">
        <f ca="1">+INDEX(DCF!X11:AA11,MATCH(Summary!$G$25,{"FCFF","FCFE","Tax Shield","Total Payout"},0))</f>
        <v>6728.373909198518</v>
      </c>
      <c r="H30" s="585">
        <f ca="1">+IF(Summary!$G$25="FCFF",DCF!AB11,IF(Summary!$G$25="FCFE",DCF!AC11,DCF!AD11))</f>
        <v>-2239.8839472815134</v>
      </c>
      <c r="I30" s="730">
        <f>+DCF!I136</f>
        <v>-3423.9920000000006</v>
      </c>
      <c r="J30" s="445"/>
      <c r="K30" s="17" t="s">
        <v>26</v>
      </c>
      <c r="L30"/>
      <c r="M30"/>
      <c r="N30" s="372">
        <f>IFERROR(_xlfn.XLOOKUP($K30,Multiples!$B:$B,Multiples!N:N),"")</f>
        <v>2.1790845941573888E-2</v>
      </c>
      <c r="O30" s="372">
        <f>IFERROR(_xlfn.XLOOKUP($K30,Multiples!$B:$B,Multiples!O:O),"")</f>
        <v>-2.249760271446485E-3</v>
      </c>
      <c r="P30" s="350">
        <f>IFERROR(_xlfn.XLOOKUP($K30,Multiples!$B:$B,Multiples!P:P),"")</f>
        <v>-0.10214496902129903</v>
      </c>
      <c r="Q30" s="357">
        <f ca="1">IFERROR(_xlfn.XLOOKUP($K30,Multiples!$B:$B,Multiples!Q:Q),"")</f>
        <v>-0.11520184805057031</v>
      </c>
      <c r="R30" s="357">
        <f ca="1">IFERROR(_xlfn.XLOOKUP($K30,Multiples!$B:$B,Multiples!R:R),"")</f>
        <v>-3.1842804243574226E-2</v>
      </c>
      <c r="S30" s="617"/>
      <c r="T30" s="445"/>
      <c r="U30" s="722" t="s">
        <v>38</v>
      </c>
      <c r="V30" s="690"/>
    </row>
    <row r="31" spans="4:22" ht="14.25" customHeight="1">
      <c r="D31" s="26">
        <f t="shared" si="0"/>
        <v>2027</v>
      </c>
      <c r="E31" s="585">
        <f>+DCF!J32</f>
        <v>73263.224583000003</v>
      </c>
      <c r="F31" s="586">
        <f>+DCF!J62</f>
        <v>-1.3478679744376556E-2</v>
      </c>
      <c r="G31" s="587">
        <f ca="1">+INDEX(DCF!X12:AA12,MATCH(Summary!$G$25,{"FCFF","FCFE","Tax Shield","Total Payout"},0))</f>
        <v>12111.31534655888</v>
      </c>
      <c r="H31" s="585">
        <f ca="1">+IF(Summary!$G$25="FCFF",DCF!AB12,IF(Summary!$G$25="FCFE",DCF!AC12,DCF!AD12))</f>
        <v>-2185.2784110614912</v>
      </c>
      <c r="I31" s="730">
        <f>+DCF!J136</f>
        <v>-3595.191600000001</v>
      </c>
      <c r="J31" s="445"/>
      <c r="K31" s="17" t="s">
        <v>39</v>
      </c>
      <c r="L31"/>
      <c r="M31"/>
      <c r="N31" s="372">
        <f>IFERROR(_xlfn.XLOOKUP($K31,Multiples!$B:$B,Multiples!N:N),"")</f>
        <v>0.42607923367272499</v>
      </c>
      <c r="O31" s="372">
        <f>IFERROR(_xlfn.XLOOKUP($K31,Multiples!$B:$B,Multiples!O:O),"")</f>
        <v>0.40036512502766097</v>
      </c>
      <c r="P31" s="350">
        <f>IFERROR(_xlfn.XLOOKUP($K31,Multiples!$B:$B,Multiples!P:P),"")</f>
        <v>0.32664168283083184</v>
      </c>
      <c r="Q31" s="357">
        <f ca="1">IFERROR(_xlfn.XLOOKUP($K31,Multiples!$B:$B,Multiples!Q:Q),"")</f>
        <v>0.35</v>
      </c>
      <c r="R31" s="357">
        <f ca="1">IFERROR(_xlfn.XLOOKUP($K31,Multiples!$B:$B,Multiples!R:R),"")</f>
        <v>0.38</v>
      </c>
      <c r="S31" s="617"/>
      <c r="T31" s="445"/>
      <c r="U31" s="21" t="s">
        <v>40</v>
      </c>
      <c r="V31" s="30">
        <f ca="1">Peers!D74</f>
        <v>1.266</v>
      </c>
    </row>
    <row r="32" spans="4:22" ht="14.25" customHeight="1">
      <c r="D32" s="26">
        <f t="shared" si="0"/>
        <v>2028</v>
      </c>
      <c r="E32" s="585">
        <f>+DCF!K32</f>
        <v>76429.420519110005</v>
      </c>
      <c r="F32" s="586">
        <f>+DCF!K62</f>
        <v>-5.308830771727955E-2</v>
      </c>
      <c r="G32" s="587">
        <f ca="1">+INDEX(DCF!X13:AA13,MATCH(Summary!$G$25,{"FCFF","FCFE","Tax Shield","Total Payout"},0))</f>
        <v>6742.7190070678971</v>
      </c>
      <c r="H32" s="585">
        <f ca="1">+IF(Summary!$G$25="FCFF",DCF!AB13,IF(Summary!$G$25="FCFE",DCF!AC13,DCF!AD13))</f>
        <v>-8433.2258320122328</v>
      </c>
      <c r="I32" s="730">
        <f>+DCF!K136</f>
        <v>-3774.9511800000014</v>
      </c>
      <c r="J32" s="445"/>
      <c r="K32" s="17" t="s">
        <v>41</v>
      </c>
      <c r="L32"/>
      <c r="M32"/>
      <c r="N32" s="372">
        <f>IFERROR(_xlfn.XLOOKUP($K32,Multiples!$B:$B,Multiples!N:N),"")</f>
        <v>0.11104767342278048</v>
      </c>
      <c r="O32" s="372">
        <f>IFERROR(_xlfn.XLOOKUP($K32,Multiples!$B:$B,Multiples!O:O),"")</f>
        <v>0.10389466696171719</v>
      </c>
      <c r="P32" s="350">
        <f>IFERROR(_xlfn.XLOOKUP($K32,Multiples!$B:$B,Multiples!P:P),"")</f>
        <v>0.10370802809739929</v>
      </c>
      <c r="Q32" s="357">
        <f ca="1">IFERROR(_xlfn.XLOOKUP($K32,Multiples!$B:$B,Multiples!Q:Q),"")</f>
        <v>0.10621678949396567</v>
      </c>
      <c r="R32" s="357">
        <f ca="1">IFERROR(_xlfn.XLOOKUP($K32,Multiples!$B:$B,Multiples!R:R),"")</f>
        <v>0.1046064948510274</v>
      </c>
      <c r="S32" s="617"/>
      <c r="T32" s="445"/>
      <c r="U32" s="31" t="s">
        <v>42</v>
      </c>
      <c r="V32" s="28">
        <f>+Peers!D73</f>
        <v>0.99082568807339444</v>
      </c>
    </row>
    <row r="33" spans="4:30" ht="14.25" customHeight="1">
      <c r="D33" s="26">
        <f t="shared" si="0"/>
        <v>2029</v>
      </c>
      <c r="E33" s="585">
        <f>+DCF!L32</f>
        <v>79853.274175964703</v>
      </c>
      <c r="F33" s="586">
        <f>+DCF!L62</f>
        <v>-5.2452368214457756E-2</v>
      </c>
      <c r="G33" s="587">
        <f ca="1">+INDEX(DCF!X14:AA14,MATCH(Summary!$G$25,{"FCFF","FCFE","Tax Shield","Total Payout"},0))</f>
        <v>4999.684435582978</v>
      </c>
      <c r="H33" s="585">
        <f ca="1">+IF(Summary!$G$25="FCFF",DCF!AB14,IF(Summary!$G$25="FCFE",DCF!AC14,DCF!AD14))</f>
        <v>-8981.6159079741919</v>
      </c>
      <c r="I33" s="730">
        <f>+DCF!L136</f>
        <v>-3963.6987390000018</v>
      </c>
      <c r="J33" s="445"/>
      <c r="K33" s="17" t="s">
        <v>43</v>
      </c>
      <c r="L33"/>
      <c r="M33"/>
      <c r="N33" s="372">
        <f>IFERROR(_xlfn.XLOOKUP($K33,Multiples!$B:$B,Multiples!N:N),"")</f>
        <v>4.4453960097694041E-2</v>
      </c>
      <c r="O33" s="372">
        <f>IFERROR(_xlfn.XLOOKUP($K33,Multiples!$B:$B,Multiples!O:O),"")</f>
        <v>3.498192815519658E-2</v>
      </c>
      <c r="P33" s="350">
        <f>IFERROR(_xlfn.XLOOKUP($K33,Multiples!$B:$B,Multiples!P:P),"")</f>
        <v>-0.2445528332799759</v>
      </c>
      <c r="Q33" s="357">
        <f ca="1">IFERROR(_xlfn.XLOOKUP($K33,Multiples!$B:$B,Multiples!Q:Q),"")</f>
        <v>-0.19047077440332214</v>
      </c>
      <c r="R33" s="357">
        <f ca="1">IFERROR(_xlfn.XLOOKUP($K33,Multiples!$B:$B,Multiples!R:R),"")</f>
        <v>-4.6309718348424497E-2</v>
      </c>
      <c r="S33" s="617"/>
      <c r="T33" s="445"/>
      <c r="U33" s="21" t="s">
        <v>44</v>
      </c>
      <c r="V33" s="28">
        <f>+Peers!D76</f>
        <v>8.0000000000000004E-4</v>
      </c>
      <c r="W33" s="445"/>
      <c r="X33" s="445"/>
      <c r="Y33" s="445"/>
      <c r="Z33" s="445"/>
      <c r="AA33" s="445"/>
      <c r="AB33" s="445"/>
      <c r="AC33" s="445"/>
      <c r="AD33" s="445"/>
    </row>
    <row r="34" spans="4:30" ht="14.25" customHeight="1">
      <c r="D34" s="445"/>
      <c r="E34" s="445"/>
      <c r="F34" s="445"/>
      <c r="G34" s="445"/>
      <c r="H34" s="445"/>
      <c r="I34" s="445"/>
      <c r="J34" s="445"/>
      <c r="K34" s="445"/>
      <c r="L34" s="445"/>
      <c r="M34" s="445"/>
      <c r="N34" s="445"/>
      <c r="O34" s="445"/>
      <c r="P34" s="445"/>
      <c r="Q34" s="445"/>
      <c r="R34" s="445"/>
      <c r="S34" s="691"/>
      <c r="T34" s="445"/>
      <c r="U34" s="21" t="s">
        <v>45</v>
      </c>
      <c r="V34" s="28">
        <f>+Peers!D77</f>
        <v>0.66059999999999997</v>
      </c>
      <c r="W34" s="445"/>
      <c r="X34" s="445"/>
      <c r="Y34" s="445"/>
      <c r="Z34" s="445"/>
      <c r="AA34" s="445"/>
      <c r="AB34" s="445"/>
      <c r="AC34" s="445"/>
      <c r="AD34" s="445"/>
    </row>
    <row r="35" spans="4:30" ht="14.25" customHeight="1">
      <c r="D35" s="7" t="s">
        <v>46</v>
      </c>
      <c r="E35" s="4"/>
      <c r="F35" s="4"/>
      <c r="G35" s="4"/>
      <c r="H35" s="4"/>
      <c r="I35" s="4"/>
      <c r="J35" s="445"/>
      <c r="K35" s="7" t="s">
        <v>47</v>
      </c>
      <c r="L35" s="4"/>
      <c r="M35" s="4"/>
      <c r="N35" s="4">
        <v>2022</v>
      </c>
      <c r="O35" s="4">
        <f>+N35+1</f>
        <v>2023</v>
      </c>
      <c r="P35" s="349">
        <f>+O35+1</f>
        <v>2024</v>
      </c>
      <c r="Q35" s="5">
        <f>+P35+1</f>
        <v>2025</v>
      </c>
      <c r="R35" s="5">
        <f>+Q35+1</f>
        <v>2026</v>
      </c>
      <c r="S35" s="616"/>
      <c r="T35" s="445"/>
      <c r="U35" s="32" t="s">
        <v>48</v>
      </c>
      <c r="V35" s="593">
        <f>+Peers!D78</f>
        <v>2.6100000000000002E-2</v>
      </c>
      <c r="W35" s="445"/>
      <c r="X35" s="445"/>
      <c r="Y35" s="445"/>
      <c r="Z35" s="445"/>
      <c r="AA35" s="445"/>
      <c r="AB35" s="445"/>
      <c r="AC35" s="445"/>
      <c r="AD35" s="445"/>
    </row>
    <row r="36" spans="4:30" ht="14.25" customHeight="1">
      <c r="D36" s="589" t="s">
        <v>49</v>
      </c>
      <c r="E36" s="589"/>
      <c r="F36" s="590"/>
      <c r="G36" s="589" t="s">
        <v>50</v>
      </c>
      <c r="H36" s="589"/>
      <c r="I36" s="589"/>
      <c r="J36" s="445"/>
      <c r="K36" s="29" t="s">
        <v>51</v>
      </c>
      <c r="L36"/>
      <c r="M36"/>
      <c r="N36" s="372">
        <f>IFERROR(_xlfn.XLOOKUP($K36,Multiples!$B:$B,Multiples!N:N),"")</f>
        <v>0.3465712952884466</v>
      </c>
      <c r="O36" s="372">
        <f>IFERROR(_xlfn.XLOOKUP($K36,Multiples!$B:$B,Multiples!O:O),"")</f>
        <v>0.25234377784907142</v>
      </c>
      <c r="P36" s="350">
        <f>IFERROR(_xlfn.XLOOKUP($K36,Multiples!$B:$B,Multiples!P:P),"")</f>
        <v>0.23128469691022263</v>
      </c>
      <c r="Q36" s="357">
        <f ca="1">IFERROR(_xlfn.XLOOKUP($K36,Multiples!$B:$B,Multiples!Q:Q),"")</f>
        <v>1.0419216161137068</v>
      </c>
      <c r="R36" s="357">
        <f ca="1">IFERROR(_xlfn.XLOOKUP($K36,Multiples!$B:$B,Multiples!R:R),"")</f>
        <v>1.6221182704938022</v>
      </c>
      <c r="S36" s="617"/>
      <c r="T36" s="445"/>
      <c r="U36" s="445"/>
      <c r="V36" s="445"/>
      <c r="W36" s="594">
        <v>120.87</v>
      </c>
      <c r="X36" s="445"/>
      <c r="Y36" s="445"/>
      <c r="Z36" s="445"/>
      <c r="AA36" s="445"/>
      <c r="AB36" s="445"/>
      <c r="AC36" s="445"/>
      <c r="AD36" s="445"/>
    </row>
    <row r="37" spans="4:30" ht="15.75" customHeight="1">
      <c r="D37" s="806" t="s">
        <v>52</v>
      </c>
      <c r="E37" s="806"/>
      <c r="F37" s="807"/>
      <c r="G37" s="810" t="s">
        <v>53</v>
      </c>
      <c r="H37" s="806"/>
      <c r="I37" s="806"/>
      <c r="J37" s="445"/>
      <c r="K37" s="17" t="s">
        <v>54</v>
      </c>
      <c r="L37"/>
      <c r="M37"/>
      <c r="N37" s="372">
        <f>IFERROR(_xlfn.XLOOKUP($K37,Multiples!$B:$B,Multiples!N:N),"")</f>
        <v>1.0098273985383299</v>
      </c>
      <c r="O37" s="372">
        <f>IFERROR(_xlfn.XLOOKUP($K37,Multiples!$B:$B,Multiples!O:O),"")</f>
        <v>1.0136527287634121</v>
      </c>
      <c r="P37" s="350">
        <f>IFERROR(_xlfn.XLOOKUP($K37,Multiples!$B:$B,Multiples!P:P),"")</f>
        <v>0.71608815118039593</v>
      </c>
      <c r="Q37" s="357">
        <f ca="1">IFERROR(_xlfn.XLOOKUP($K37,Multiples!$B:$B,Multiples!Q:Q),"")</f>
        <v>1.4841003996880737</v>
      </c>
      <c r="R37" s="357">
        <f ca="1">IFERROR(_xlfn.XLOOKUP($K37,Multiples!$B:$B,Multiples!R:R),"")</f>
        <v>2.0674538740234989</v>
      </c>
      <c r="S37" s="617"/>
      <c r="T37" s="445"/>
      <c r="U37" s="722" t="s">
        <v>55</v>
      </c>
      <c r="V37" s="690"/>
      <c r="W37" s="594">
        <v>113.63</v>
      </c>
      <c r="X37" s="445"/>
      <c r="Y37" s="445"/>
      <c r="Z37" s="445"/>
      <c r="AA37" s="445"/>
      <c r="AB37" s="445"/>
      <c r="AC37" s="445"/>
      <c r="AD37" s="445"/>
    </row>
    <row r="38" spans="4:30" ht="15.75" customHeight="1">
      <c r="D38" s="808"/>
      <c r="E38" s="808"/>
      <c r="F38" s="809"/>
      <c r="G38" s="811"/>
      <c r="H38" s="808"/>
      <c r="I38" s="808"/>
      <c r="J38" s="445"/>
      <c r="K38" s="17" t="s">
        <v>56</v>
      </c>
      <c r="L38"/>
      <c r="M38"/>
      <c r="N38" s="372">
        <f>IFERROR(_xlfn.XLOOKUP($K38,Multiples!$B:$B,Multiples!N:N),"")</f>
        <v>1.5676255636759446</v>
      </c>
      <c r="O38" s="372">
        <f>IFERROR(_xlfn.XLOOKUP($K38,Multiples!$B:$B,Multiples!O:O),"")</f>
        <v>1.5424018821516416</v>
      </c>
      <c r="P38" s="350">
        <f>IFERROR(_xlfn.XLOOKUP($K38,Multiples!$B:$B,Multiples!P:P),"")</f>
        <v>1.3268659227275277</v>
      </c>
      <c r="Q38" s="357">
        <f ca="1">IFERROR(_xlfn.XLOOKUP($K38,Multiples!$B:$B,Multiples!Q:Q),"")</f>
        <v>2.0178624795170736</v>
      </c>
      <c r="R38" s="357">
        <f ca="1">IFERROR(_xlfn.XLOOKUP($K38,Multiples!$B:$B,Multiples!R:R),"")</f>
        <v>2.0178624795170736</v>
      </c>
      <c r="S38" s="617"/>
      <c r="T38" s="445"/>
      <c r="U38" s="21" t="s">
        <v>57</v>
      </c>
      <c r="V38" s="16">
        <v>8.9099999999999999E-2</v>
      </c>
      <c r="W38" s="594"/>
      <c r="X38" s="445"/>
      <c r="Y38" s="445"/>
      <c r="Z38" s="445"/>
      <c r="AA38" s="445"/>
      <c r="AB38" s="445"/>
      <c r="AC38" s="445"/>
      <c r="AD38" s="445"/>
    </row>
    <row r="39" spans="4:30" ht="15.75" customHeight="1">
      <c r="D39" s="808"/>
      <c r="E39" s="808"/>
      <c r="F39" s="809"/>
      <c r="G39" s="811"/>
      <c r="H39" s="808"/>
      <c r="I39" s="808"/>
      <c r="J39" s="445"/>
      <c r="K39"/>
      <c r="L39"/>
      <c r="M39"/>
      <c r="N39"/>
      <c r="O39"/>
      <c r="P39"/>
      <c r="Q39"/>
      <c r="R39"/>
      <c r="S39" s="618"/>
      <c r="T39" s="445"/>
      <c r="U39" s="21" t="s">
        <v>58</v>
      </c>
      <c r="V39" s="16">
        <v>8.4599999999999995E-2</v>
      </c>
      <c r="W39" s="594"/>
      <c r="X39" s="445"/>
      <c r="Y39" s="445"/>
      <c r="Z39" s="445"/>
      <c r="AA39" s="445"/>
      <c r="AB39" s="445"/>
      <c r="AC39" s="445"/>
      <c r="AD39" s="445"/>
    </row>
    <row r="40" spans="4:30" ht="14.25" customHeight="1">
      <c r="D40" s="589" t="s">
        <v>59</v>
      </c>
      <c r="E40" s="589"/>
      <c r="F40" s="590"/>
      <c r="G40" s="589" t="s">
        <v>60</v>
      </c>
      <c r="H40" s="589"/>
      <c r="I40" s="589"/>
      <c r="J40" s="445"/>
      <c r="K40" s="7" t="s">
        <v>61</v>
      </c>
      <c r="L40" s="4"/>
      <c r="M40" s="4"/>
      <c r="N40" s="4">
        <v>2022</v>
      </c>
      <c r="O40" s="4">
        <f>+N40+1</f>
        <v>2023</v>
      </c>
      <c r="P40" s="349">
        <f>+O40+1</f>
        <v>2024</v>
      </c>
      <c r="Q40" s="5">
        <f>+P40+1</f>
        <v>2025</v>
      </c>
      <c r="R40" s="5">
        <f>+Q40+1</f>
        <v>2026</v>
      </c>
      <c r="S40" s="616"/>
      <c r="T40" s="445"/>
      <c r="U40" s="21" t="s">
        <v>62</v>
      </c>
      <c r="V40" s="16">
        <v>4.5699999999999998E-2</v>
      </c>
      <c r="W40" s="594"/>
      <c r="X40" s="445"/>
      <c r="Y40" s="445"/>
      <c r="Z40" s="445"/>
      <c r="AA40" s="445"/>
      <c r="AB40" s="445"/>
      <c r="AC40" s="445"/>
      <c r="AD40" s="445"/>
    </row>
    <row r="41" spans="4:30" ht="14.25" customHeight="1">
      <c r="D41" s="806" t="s">
        <v>63</v>
      </c>
      <c r="E41" s="806"/>
      <c r="F41" s="807"/>
      <c r="G41" s="810" t="s">
        <v>64</v>
      </c>
      <c r="H41" s="806"/>
      <c r="I41" s="806"/>
      <c r="J41" s="445"/>
      <c r="K41" s="18" t="s">
        <v>65</v>
      </c>
      <c r="L41"/>
      <c r="M41"/>
      <c r="N41" s="372">
        <f>IFERROR(_xlfn.XLOOKUP($K41,Multiples!$B:$B,Multiples!N:N),"")</f>
        <v>101.76230636196955</v>
      </c>
      <c r="O41" s="372">
        <f>IFERROR(_xlfn.XLOOKUP($K41,Multiples!$B:$B,Multiples!O:O),"")</f>
        <v>90.060608568049275</v>
      </c>
      <c r="P41" s="350">
        <f>IFERROR(_xlfn.XLOOKUP($K41,Multiples!$B:$B,Multiples!P:P),"")</f>
        <v>62.118732990532408</v>
      </c>
      <c r="Q41" s="357">
        <f ca="1">IFERROR(_xlfn.XLOOKUP($K41,Multiples!$B:$B,Multiples!Q:Q),"")</f>
        <v>19.966554511798279</v>
      </c>
      <c r="R41" s="357">
        <f ca="1">IFERROR(_xlfn.XLOOKUP($K41,Multiples!$B:$B,Multiples!R:R),"")</f>
        <v>30.481230529873528</v>
      </c>
      <c r="S41" s="617"/>
      <c r="T41" s="445"/>
      <c r="U41" s="21" t="s">
        <v>66</v>
      </c>
      <c r="V41" s="16">
        <v>2.4199999999999999E-2</v>
      </c>
      <c r="W41" s="594"/>
      <c r="X41" s="445"/>
      <c r="Y41" s="445"/>
      <c r="Z41" s="445"/>
      <c r="AA41" s="445"/>
      <c r="AB41" s="445"/>
      <c r="AC41" s="445"/>
      <c r="AD41" s="445"/>
    </row>
    <row r="42" spans="4:30" ht="15.75" customHeight="1">
      <c r="D42" s="808"/>
      <c r="E42" s="808"/>
      <c r="F42" s="809"/>
      <c r="G42" s="811"/>
      <c r="H42" s="808"/>
      <c r="I42" s="808"/>
      <c r="J42" s="445"/>
      <c r="K42" s="17" t="s">
        <v>67</v>
      </c>
      <c r="L42"/>
      <c r="M42"/>
      <c r="N42" s="372">
        <f>IFERROR(_xlfn.XLOOKUP($K42,Multiples!$B:$B,Multiples!N:N),"")</f>
        <v>0.18162379317047883</v>
      </c>
      <c r="O42" s="372">
        <f>IFERROR(_xlfn.XLOOKUP($K42,Multiples!$B:$B,Multiples!O:O),"")</f>
        <v>0.16537355069305204</v>
      </c>
      <c r="P42" s="350">
        <f>IFERROR(_xlfn.XLOOKUP($K42,Multiples!$B:$B,Multiples!P:P),"")</f>
        <v>-1.5668436293436294</v>
      </c>
      <c r="Q42" s="357">
        <f ca="1">IFERROR(_xlfn.XLOOKUP($K42,Multiples!$B:$B,Multiples!Q:Q),"")</f>
        <v>-1.1959457860639087</v>
      </c>
      <c r="R42" s="357">
        <f ca="1">IFERROR(_xlfn.XLOOKUP($K42,Multiples!$B:$B,Multiples!R:R),"")</f>
        <v>-0.26496173154785885</v>
      </c>
      <c r="S42" s="617"/>
      <c r="T42" s="445"/>
      <c r="U42" s="21" t="s">
        <v>68</v>
      </c>
      <c r="V42" s="16">
        <v>2.1899999999999999E-2</v>
      </c>
      <c r="W42" s="594"/>
      <c r="X42" s="700"/>
      <c r="Y42" s="445"/>
      <c r="Z42" s="445"/>
      <c r="AA42" s="445"/>
      <c r="AB42" s="445"/>
      <c r="AC42" s="445"/>
      <c r="AD42" s="445"/>
    </row>
    <row r="43" spans="4:30" ht="15.75" customHeight="1">
      <c r="D43" s="808"/>
      <c r="E43" s="808"/>
      <c r="F43" s="809"/>
      <c r="G43" s="811"/>
      <c r="H43" s="808"/>
      <c r="I43" s="808"/>
      <c r="J43" s="445"/>
      <c r="K43" s="29" t="s">
        <v>69</v>
      </c>
      <c r="L43"/>
      <c r="M43"/>
      <c r="N43" s="372">
        <f>IFERROR(_xlfn.XLOOKUP($K43,Multiples!$B:$B,Multiples!N:N),"")</f>
        <v>0.40931769584656258</v>
      </c>
      <c r="O43" s="372">
        <f>IFERROR(_xlfn.XLOOKUP($K43,Multiples!$B:$B,Multiples!O:O),"")</f>
        <v>-0.35437189434225436</v>
      </c>
      <c r="P43" s="350">
        <f>IFERROR(_xlfn.XLOOKUP($K43,Multiples!$B:$B,Multiples!P:P),"")</f>
        <v>0.14116795366795368</v>
      </c>
      <c r="Q43" s="357">
        <f ca="1">IFERROR(_xlfn.XLOOKUP($K43,Multiples!$B:$B,Multiples!Q:Q),"")</f>
        <v>3.2384186911117778</v>
      </c>
      <c r="R43" s="357">
        <f ca="1">IFERROR(_xlfn.XLOOKUP($K43,Multiples!$B:$B,Multiples!R:R),"")</f>
        <v>1.9460278234226434</v>
      </c>
      <c r="S43" s="617"/>
      <c r="T43" s="445"/>
      <c r="U43" s="21" t="s">
        <v>70</v>
      </c>
      <c r="V43" s="16">
        <v>1.77E-2</v>
      </c>
      <c r="W43" s="594"/>
      <c r="X43" s="445"/>
      <c r="Y43" s="445"/>
      <c r="Z43" s="445"/>
      <c r="AA43" s="445"/>
      <c r="AB43" s="445"/>
      <c r="AC43" s="445"/>
      <c r="AD43" s="445"/>
    </row>
    <row r="44" spans="4:30" ht="15.75" customHeight="1">
      <c r="D44" s="445"/>
      <c r="E44" s="701"/>
      <c r="F44" s="445"/>
      <c r="G44" s="702"/>
      <c r="H44" s="445"/>
      <c r="I44" s="445"/>
      <c r="J44" s="445"/>
      <c r="K44"/>
      <c r="L44"/>
      <c r="M44"/>
      <c r="N44"/>
      <c r="O44"/>
      <c r="P44"/>
      <c r="Q44"/>
      <c r="R44"/>
      <c r="S44" s="618"/>
      <c r="T44" s="445"/>
      <c r="U44" s="21" t="s">
        <v>71</v>
      </c>
      <c r="V44" s="16">
        <v>1.4500000000000001E-2</v>
      </c>
      <c r="W44" s="594"/>
      <c r="X44" s="445"/>
      <c r="Y44" s="445"/>
      <c r="Z44" s="445"/>
      <c r="AA44" s="445"/>
      <c r="AB44" s="445"/>
      <c r="AC44" s="445"/>
      <c r="AD44" s="445"/>
    </row>
    <row r="45" spans="4:30" ht="14.25" customHeight="1">
      <c r="D45" s="591" t="s">
        <v>72</v>
      </c>
      <c r="E45" s="4"/>
      <c r="F45" s="4"/>
      <c r="G45" s="4" t="s">
        <v>73</v>
      </c>
      <c r="H45" s="4"/>
      <c r="I45" s="4"/>
      <c r="J45" s="445"/>
      <c r="K45" s="7" t="s">
        <v>74</v>
      </c>
      <c r="L45" s="4"/>
      <c r="M45" s="4"/>
      <c r="N45" s="4">
        <v>2022</v>
      </c>
      <c r="O45" s="4">
        <f>+N45+1</f>
        <v>2023</v>
      </c>
      <c r="P45" s="349">
        <f>+O45+1</f>
        <v>2024</v>
      </c>
      <c r="Q45" s="5">
        <f>+P45+1</f>
        <v>2025</v>
      </c>
      <c r="R45" s="5">
        <f>+Q45+1</f>
        <v>2026</v>
      </c>
      <c r="S45" s="616"/>
      <c r="T45" s="445"/>
      <c r="U45" s="21" t="s">
        <v>75</v>
      </c>
      <c r="V45" s="16">
        <v>1.43E-2</v>
      </c>
      <c r="W45" s="594"/>
      <c r="X45" s="445"/>
      <c r="Y45" s="445"/>
      <c r="Z45" s="445"/>
      <c r="AA45" s="445"/>
      <c r="AB45" s="445"/>
      <c r="AC45" s="445"/>
      <c r="AD45" s="445"/>
    </row>
    <row r="46" spans="4:30" ht="14.25" customHeight="1">
      <c r="D46" s="445"/>
      <c r="E46" s="703"/>
      <c r="F46" s="445"/>
      <c r="G46" s="702"/>
      <c r="H46" s="445"/>
      <c r="I46" s="445"/>
      <c r="J46" s="445"/>
      <c r="K46" s="17" t="s">
        <v>76</v>
      </c>
      <c r="L46"/>
      <c r="M46"/>
      <c r="N46" s="372">
        <f>IFERROR(_xlfn.XLOOKUP($K46,Multiples!$B:$B,Multiples!N:N),"")</f>
        <v>406.99610789458399</v>
      </c>
      <c r="O46" s="372">
        <f>IFERROR(_xlfn.XLOOKUP($K46,Multiples!$B:$B,Multiples!O:O),"")</f>
        <v>431.12808620924841</v>
      </c>
      <c r="P46" s="350">
        <f>IFERROR(_xlfn.XLOOKUP($K46,Multiples!$B:$B,Multiples!P:P),"")</f>
        <v>445.02627770584201</v>
      </c>
      <c r="Q46" s="357">
        <f ca="1">IFERROR(_xlfn.XLOOKUP($K46,Multiples!$B:$B,Multiples!Q:Q),"")</f>
        <v>-1.30788439851294E-14</v>
      </c>
      <c r="R46" s="357">
        <f ca="1">IFERROR(_xlfn.XLOOKUP($K46,Multiples!$B:$B,Multiples!R:R),"")</f>
        <v>-1.8149291080703726E-14</v>
      </c>
      <c r="S46" s="617"/>
      <c r="T46" s="445"/>
      <c r="U46" s="21" t="s">
        <v>77</v>
      </c>
      <c r="V46" s="16">
        <v>1.0500000000000001E-2</v>
      </c>
      <c r="W46" s="445"/>
      <c r="X46" s="445"/>
      <c r="Y46"/>
      <c r="Z46" s="445"/>
      <c r="AA46" s="445"/>
      <c r="AB46" s="445"/>
      <c r="AC46" s="445"/>
      <c r="AD46"/>
    </row>
    <row r="47" spans="4:30" ht="15" customHeight="1">
      <c r="D47" s="445"/>
      <c r="E47" s="703"/>
      <c r="F47" s="445"/>
      <c r="G47" s="702"/>
      <c r="H47" s="445"/>
      <c r="I47" s="445"/>
      <c r="J47" s="445"/>
      <c r="K47" s="244" t="s">
        <v>78</v>
      </c>
      <c r="L47" s="445"/>
      <c r="M47" s="445"/>
      <c r="N47" s="372">
        <f>IFERROR(_xlfn.XLOOKUP($K47,Multiples!$B:$B,Multiples!N:N),"")</f>
        <v>0.99754899622655624</v>
      </c>
      <c r="O47" s="372">
        <f>IFERROR(_xlfn.XLOOKUP($K47,Multiples!$B:$B,Multiples!O:O),"")</f>
        <v>0.99768587131474773</v>
      </c>
      <c r="P47" s="350">
        <f>IFERROR(_xlfn.XLOOKUP($K47,Multiples!$B:$B,Multiples!P:P),"")</f>
        <v>0.99775797963038515</v>
      </c>
      <c r="Q47" s="357">
        <f ca="1">IFERROR(_xlfn.XLOOKUP($K47,Multiples!$B:$B,Multiples!Q:Q),"")</f>
        <v>-1.3078843985129571E-14</v>
      </c>
      <c r="R47" s="357">
        <f ca="1">IFERROR(_xlfn.XLOOKUP($K47,Multiples!$B:$B,Multiples!R:R),"")</f>
        <v>-1.8149291080704054E-14</v>
      </c>
      <c r="S47" s="617"/>
      <c r="T47" s="445"/>
      <c r="U47" s="32" t="s">
        <v>79</v>
      </c>
      <c r="V47" s="607">
        <v>9.9000000000000008E-3</v>
      </c>
      <c r="W47" s="592"/>
      <c r="X47" s="592"/>
      <c r="Y47" s="592"/>
      <c r="Z47" s="592"/>
      <c r="AA47" s="592"/>
      <c r="AB47" s="592"/>
      <c r="AC47" s="445"/>
      <c r="AD47"/>
    </row>
    <row r="48" spans="4:30" ht="14.25" customHeight="1">
      <c r="D48" s="445"/>
      <c r="E48" s="703"/>
      <c r="F48" s="445"/>
      <c r="G48" s="702"/>
      <c r="H48" s="445"/>
      <c r="I48" s="445"/>
      <c r="J48" s="445"/>
      <c r="K48" s="18" t="s">
        <v>80</v>
      </c>
      <c r="L48"/>
      <c r="M48"/>
      <c r="N48" s="372">
        <f>IFERROR(_xlfn.XLOOKUP($K48,Multiples!$B:$B,Multiples!N:N),"")</f>
        <v>0.43281549452782214</v>
      </c>
      <c r="O48" s="372">
        <f>IFERROR(_xlfn.XLOOKUP($K48,Multiples!$B:$B,Multiples!O:O),"")</f>
        <v>0.42598605224145492</v>
      </c>
      <c r="P48" s="350">
        <f>IFERROR(_xlfn.XLOOKUP($K48,Multiples!$B:$B,Multiples!P:P),"")</f>
        <v>0.46544519937908746</v>
      </c>
      <c r="Q48" s="357">
        <f ca="1">IFERROR(_xlfn.XLOOKUP($K48,Multiples!$B:$B,Multiples!Q:Q),"")</f>
        <v>-3.7846661223110855E-15</v>
      </c>
      <c r="R48" s="357">
        <f ca="1">IFERROR(_xlfn.XLOOKUP($K48,Multiples!$B:$B,Multiples!R:R),"")</f>
        <v>-5.2519173082270415E-15</v>
      </c>
      <c r="S48" s="617"/>
      <c r="T48" s="445"/>
      <c r="U48" s="445"/>
      <c r="V48" s="445"/>
      <c r="W48" s="592"/>
      <c r="X48" s="592"/>
      <c r="Y48" s="592"/>
      <c r="Z48" s="592"/>
      <c r="AA48" s="592"/>
      <c r="AB48" s="592"/>
      <c r="AC48" s="445"/>
      <c r="AD48"/>
    </row>
    <row r="49" spans="4:35" ht="14.25" customHeight="1">
      <c r="D49" s="445"/>
      <c r="E49" s="445"/>
      <c r="F49" s="445"/>
      <c r="G49" s="445"/>
      <c r="H49" s="445"/>
      <c r="I49" s="445"/>
      <c r="J49" s="445"/>
      <c r="K49" s="17" t="s">
        <v>81</v>
      </c>
      <c r="L49"/>
      <c r="M49"/>
      <c r="N49" s="372">
        <f>IFERROR(_xlfn.XLOOKUP($K49,Multiples!$B:$B,Multiples!N:N),"")</f>
        <v>2.9174127281560138</v>
      </c>
      <c r="O49" s="372">
        <f>IFERROR(_xlfn.XLOOKUP($K49,Multiples!$B:$B,Multiples!O:O),"")</f>
        <v>5.0009493670886078</v>
      </c>
      <c r="P49" s="350">
        <f>IFERROR(_xlfn.XLOOKUP($K49,Multiples!$B:$B,Multiples!P:P),"")</f>
        <v>7.8492023509655748</v>
      </c>
      <c r="Q49" s="357">
        <f ca="1">IFERROR(_xlfn.XLOOKUP($K49,Multiples!$B:$B,Multiples!Q:Q),"")</f>
        <v>-6.0279746332060782</v>
      </c>
      <c r="R49" s="357">
        <f ca="1">IFERROR(_xlfn.XLOOKUP($K49,Multiples!$B:$B,Multiples!R:R),"")</f>
        <v>-28.958234494559523</v>
      </c>
      <c r="S49" s="617"/>
      <c r="T49" s="445"/>
      <c r="U49" s="722" t="s">
        <v>82</v>
      </c>
      <c r="V49" s="690"/>
      <c r="W49" s="592"/>
      <c r="X49" s="592"/>
      <c r="Y49" s="592"/>
      <c r="Z49" s="592"/>
      <c r="AA49" s="592"/>
      <c r="AB49" s="592"/>
      <c r="AC49" s="445"/>
      <c r="AD49"/>
      <c r="AE49" s="445"/>
      <c r="AF49" s="445"/>
      <c r="AG49" s="445"/>
      <c r="AH49" s="445"/>
      <c r="AI49" s="445"/>
    </row>
    <row r="50" spans="4:35" ht="14.25" customHeight="1">
      <c r="D50" s="445"/>
      <c r="E50" s="445"/>
      <c r="F50" s="445"/>
      <c r="G50" s="445"/>
      <c r="H50" s="445"/>
      <c r="I50" s="445"/>
      <c r="J50" s="445"/>
      <c r="K50" s="17" t="s">
        <v>83</v>
      </c>
      <c r="L50" s="445"/>
      <c r="M50" s="445"/>
      <c r="N50" s="372">
        <f>IFERROR(_xlfn.XLOOKUP($K50,Multiples!$B:$B,Multiples!N:N),"")</f>
        <v>-3.9504745794568179</v>
      </c>
      <c r="O50" s="372">
        <f>IFERROR(_xlfn.XLOOKUP($K50,Multiples!$B:$B,Multiples!O:O),"")</f>
        <v>-2.9138905961893053</v>
      </c>
      <c r="P50" s="350">
        <f>IFERROR(_xlfn.XLOOKUP($K50,Multiples!$B:$B,Multiples!P:P),"")</f>
        <v>-2.5983656679081659</v>
      </c>
      <c r="Q50" s="357">
        <f ca="1">IFERROR(_xlfn.XLOOKUP($K50,Multiples!$B:$B,Multiples!Q:Q),"")</f>
        <v>-4.3013187057530473</v>
      </c>
      <c r="R50" s="357">
        <f ca="1">IFERROR(_xlfn.XLOOKUP($K50,Multiples!$B:$B,Multiples!R:R),"")</f>
        <v>-11.452066604161757</v>
      </c>
      <c r="S50" s="617"/>
      <c r="T50" s="445"/>
      <c r="U50" s="803" t="s">
        <v>84</v>
      </c>
      <c r="V50" s="804"/>
      <c r="W50" s="592"/>
      <c r="X50" s="592"/>
      <c r="Y50" s="592"/>
      <c r="Z50" s="592"/>
      <c r="AA50" s="592"/>
      <c r="AB50" s="592"/>
      <c r="AC50" s="445"/>
      <c r="AD50"/>
      <c r="AE50" s="445"/>
      <c r="AF50" s="445"/>
      <c r="AG50" s="445"/>
      <c r="AH50" s="445"/>
      <c r="AI50" s="445"/>
    </row>
    <row r="51" spans="4:35" ht="14.25" customHeight="1">
      <c r="D51" s="445"/>
      <c r="E51" s="445"/>
      <c r="F51" s="445"/>
      <c r="G51" s="445"/>
      <c r="H51" s="445"/>
      <c r="I51" s="564"/>
      <c r="J51" s="445"/>
      <c r="K51" t="s">
        <v>85</v>
      </c>
      <c r="L51"/>
      <c r="M51"/>
      <c r="N51" s="372">
        <f>IFERROR(_xlfn.XLOOKUP($K50,Multiples!$B:$B,Multiples!N:N),"")</f>
        <v>-3.9504745794568179</v>
      </c>
      <c r="O51" s="372">
        <f>IFERROR(_xlfn.XLOOKUP($K50,Multiples!$B:$B,Multiples!O:O),"")</f>
        <v>-2.9138905961893053</v>
      </c>
      <c r="P51" s="350">
        <f>IFERROR(_xlfn.XLOOKUP($K50,Multiples!$B:$B,Multiples!P:P),"")</f>
        <v>-2.5983656679081659</v>
      </c>
      <c r="Q51" s="357">
        <f ca="1">IFERROR(_xlfn.XLOOKUP($K50,Multiples!$B:$B,Multiples!Q:Q),"")</f>
        <v>-4.3013187057530473</v>
      </c>
      <c r="R51" s="357">
        <f ca="1">IFERROR(_xlfn.XLOOKUP($K50,Multiples!$B:$B,Multiples!R:R),"")</f>
        <v>-11.452066604161757</v>
      </c>
      <c r="S51" s="617"/>
      <c r="T51" s="445"/>
      <c r="U51" s="804"/>
      <c r="V51" s="804"/>
      <c r="W51" s="592"/>
      <c r="X51" s="592"/>
      <c r="Y51" s="592"/>
      <c r="Z51" s="592"/>
      <c r="AA51" s="592"/>
      <c r="AB51" s="592"/>
      <c r="AC51" s="445"/>
      <c r="AD51"/>
      <c r="AE51" s="445"/>
      <c r="AF51" s="445"/>
      <c r="AG51" s="445"/>
      <c r="AH51" s="445"/>
      <c r="AI51" s="445"/>
    </row>
    <row r="52" spans="4:35">
      <c r="D52" s="445"/>
      <c r="E52" s="445"/>
      <c r="F52" s="445"/>
      <c r="G52" s="445"/>
      <c r="H52" s="445"/>
      <c r="I52" s="1"/>
      <c r="J52" s="445"/>
      <c r="K52" s="445"/>
      <c r="L52" s="445"/>
      <c r="M52" s="445"/>
      <c r="N52" s="445"/>
      <c r="O52" s="445"/>
      <c r="P52" s="445"/>
      <c r="Q52" s="445"/>
      <c r="R52" s="445"/>
      <c r="S52" s="691"/>
      <c r="T52" s="445"/>
      <c r="U52" s="804"/>
      <c r="V52" s="804"/>
      <c r="W52" s="592"/>
      <c r="X52" s="592"/>
      <c r="Y52" s="592"/>
      <c r="Z52" s="592"/>
      <c r="AA52" s="592"/>
      <c r="AB52" s="592"/>
      <c r="AC52" s="445"/>
      <c r="AD52"/>
      <c r="AE52" s="445"/>
      <c r="AF52" s="445"/>
      <c r="AG52" s="445"/>
      <c r="AH52" s="445"/>
      <c r="AI52" s="445"/>
    </row>
    <row r="53" spans="4:35" ht="15.6">
      <c r="D53" s="445"/>
      <c r="E53" s="445"/>
      <c r="F53" s="445"/>
      <c r="G53" s="445"/>
      <c r="H53" s="445"/>
      <c r="I53" s="703"/>
      <c r="J53" s="445"/>
      <c r="K53" s="7" t="s">
        <v>86</v>
      </c>
      <c r="L53" s="4"/>
      <c r="M53" s="4"/>
      <c r="N53" s="4">
        <v>2022</v>
      </c>
      <c r="O53" s="4">
        <f>+N53+1</f>
        <v>2023</v>
      </c>
      <c r="P53" s="349">
        <f>+O53+1</f>
        <v>2024</v>
      </c>
      <c r="Q53" s="5">
        <f>+P53+1</f>
        <v>2025</v>
      </c>
      <c r="R53" s="5">
        <f>+Q53+1</f>
        <v>2026</v>
      </c>
      <c r="S53" s="616"/>
      <c r="T53" s="704"/>
      <c r="U53" s="804"/>
      <c r="V53" s="804"/>
      <c r="W53" s="445"/>
      <c r="X53" s="445"/>
      <c r="Y53"/>
      <c r="Z53" s="445"/>
      <c r="AA53" s="445"/>
      <c r="AB53" s="445"/>
      <c r="AC53" s="445"/>
      <c r="AD53"/>
      <c r="AE53" s="445"/>
      <c r="AF53" s="445"/>
      <c r="AG53" s="445"/>
      <c r="AH53" s="445"/>
      <c r="AI53" s="445"/>
    </row>
    <row r="54" spans="4:35" ht="15.6">
      <c r="D54" s="445"/>
      <c r="E54" s="445"/>
      <c r="F54" s="445"/>
      <c r="G54" s="445"/>
      <c r="H54" s="445"/>
      <c r="I54" s="705"/>
      <c r="J54" s="706"/>
      <c r="K54" s="18" t="s">
        <v>87</v>
      </c>
      <c r="L54"/>
      <c r="M54"/>
      <c r="N54" s="372">
        <f>IFERROR(_xlfn.XLOOKUP($K54,Multiples!$B:$B,Multiples!N:N),"")</f>
        <v>2.7701612903225805</v>
      </c>
      <c r="O54" s="372">
        <f>IFERROR(_xlfn.XLOOKUP($K54,Multiples!$B:$B,Multiples!O:O),"")</f>
        <v>-0.13895216400911162</v>
      </c>
      <c r="P54" s="350">
        <f>IFERROR(_xlfn.XLOOKUP($K54,Multiples!$B:$B,Multiples!P:P),"")</f>
        <v>-5.2456479690522242</v>
      </c>
      <c r="Q54" s="357" t="str">
        <f ca="1">IFERROR(_xlfn.XLOOKUP($K54,Multiples!$B:$B,Multiples!Q:Q),"")</f>
        <v>N/A</v>
      </c>
      <c r="R54" s="357" t="str">
        <f ca="1">IFERROR(_xlfn.XLOOKUP($K54,Multiples!$B:$B,Multiples!R:R),"")</f>
        <v>N/A</v>
      </c>
      <c r="S54" s="617"/>
      <c r="T54" s="707"/>
      <c r="U54" s="804"/>
      <c r="V54" s="804"/>
      <c r="W54" s="445"/>
      <c r="X54" s="445"/>
      <c r="Y54"/>
      <c r="Z54" s="445"/>
      <c r="AA54" s="445"/>
      <c r="AB54" s="445"/>
      <c r="AC54" s="445"/>
      <c r="AD54"/>
      <c r="AE54" s="445"/>
      <c r="AF54" s="445"/>
      <c r="AG54" s="445"/>
      <c r="AH54" s="445"/>
      <c r="AI54" s="445"/>
    </row>
    <row r="55" spans="4:35" ht="15.6">
      <c r="D55" s="445"/>
      <c r="E55" s="445"/>
      <c r="F55" s="445"/>
      <c r="G55" s="445"/>
      <c r="H55" s="445"/>
      <c r="I55" s="708"/>
      <c r="J55" s="445"/>
      <c r="K55" s="17" t="s">
        <v>88</v>
      </c>
      <c r="L55" s="445"/>
      <c r="M55" s="445"/>
      <c r="N55" s="372">
        <f>IFERROR(_xlfn.XLOOKUP($K55,Multiples!$B:$B,Multiples!N:N),"")</f>
        <v>29.050403225806452</v>
      </c>
      <c r="O55" s="372">
        <f>IFERROR(_xlfn.XLOOKUP($K55,Multiples!$B:$B,Multiples!O:O),"")</f>
        <v>10.797266514806378</v>
      </c>
      <c r="P55" s="350">
        <f>IFERROR(_xlfn.XLOOKUP($K55,Multiples!$B:$B,Multiples!P:P),"")</f>
        <v>5.7591876208897483</v>
      </c>
      <c r="Q55" s="357" t="str">
        <f ca="1">IFERROR(_xlfn.XLOOKUP($K55,Multiples!$B:$B,Multiples!Q:Q),"")</f>
        <v>N/A</v>
      </c>
      <c r="R55" s="357" t="str">
        <f ca="1">IFERROR(_xlfn.XLOOKUP($K55,Multiples!$B:$B,Multiples!R:R),"")</f>
        <v>N/A</v>
      </c>
      <c r="S55" s="617"/>
      <c r="T55" s="445"/>
      <c r="U55" s="804"/>
      <c r="V55" s="804"/>
      <c r="W55" s="445"/>
      <c r="X55" s="445"/>
      <c r="Y55"/>
      <c r="Z55" s="445"/>
      <c r="AA55" s="445"/>
      <c r="AB55" s="445"/>
      <c r="AC55" s="445"/>
      <c r="AD55"/>
      <c r="AE55" s="445"/>
      <c r="AF55" s="445"/>
      <c r="AG55" s="445"/>
      <c r="AH55" s="445"/>
      <c r="AI55" s="141"/>
    </row>
    <row r="56" spans="4:35" ht="15" customHeight="1">
      <c r="D56" s="445"/>
      <c r="E56" s="445"/>
      <c r="F56" s="445"/>
      <c r="G56" s="445"/>
      <c r="H56" s="445"/>
      <c r="I56" s="708"/>
      <c r="J56" s="445"/>
      <c r="K56" s="17" t="s">
        <v>89</v>
      </c>
      <c r="L56"/>
      <c r="M56"/>
      <c r="N56" s="372">
        <f>IFERROR(_xlfn.XLOOKUP($K56,Multiples!$B:$B,Multiples!N:N),"")</f>
        <v>79.554435483870961</v>
      </c>
      <c r="O56" s="372">
        <f>IFERROR(_xlfn.XLOOKUP($K56,Multiples!$B:$B,Multiples!O:O),"")</f>
        <v>40.125284738041003</v>
      </c>
      <c r="P56" s="350">
        <f>IFERROR(_xlfn.XLOOKUP($K56,Multiples!$B:$B,Multiples!P:P),"")</f>
        <v>28.915860735009669</v>
      </c>
      <c r="Q56" s="357" t="str">
        <f ca="1">IFERROR(_xlfn.XLOOKUP($K56,Multiples!$B:$B,Multiples!Q:Q),"")</f>
        <v>N/A</v>
      </c>
      <c r="R56" s="357" t="str">
        <f ca="1">IFERROR(_xlfn.XLOOKUP($K56,Multiples!$B:$B,Multiples!R:R),"")</f>
        <v>N/A</v>
      </c>
      <c r="S56" s="617"/>
      <c r="T56" s="445"/>
      <c r="U56" s="804"/>
      <c r="V56" s="804"/>
      <c r="W56" s="445"/>
      <c r="X56" s="445"/>
      <c r="Y56" s="445"/>
      <c r="Z56" s="445"/>
      <c r="AA56" s="445"/>
      <c r="AB56" s="445"/>
      <c r="AC56" s="445"/>
      <c r="AD56" s="445"/>
      <c r="AE56" s="445"/>
      <c r="AF56" s="445"/>
      <c r="AG56" s="445"/>
      <c r="AH56" s="445"/>
      <c r="AI56" s="709"/>
    </row>
    <row r="57" spans="4:35" ht="14.25" customHeight="1">
      <c r="D57" s="445"/>
      <c r="E57" s="445"/>
      <c r="F57" s="445"/>
      <c r="G57" s="445"/>
      <c r="H57" s="445"/>
      <c r="I57" s="708"/>
      <c r="J57" s="445"/>
      <c r="K57" s="445"/>
      <c r="L57" s="445"/>
      <c r="M57" s="445"/>
      <c r="N57" s="445"/>
      <c r="O57" s="445"/>
      <c r="P57" s="445"/>
      <c r="Q57" s="445"/>
      <c r="R57" s="445"/>
      <c r="S57" s="691"/>
      <c r="T57" s="445"/>
      <c r="U57" s="804"/>
      <c r="V57" s="804"/>
      <c r="W57" s="445"/>
      <c r="X57" s="445"/>
      <c r="Y57" s="445"/>
      <c r="Z57" s="445"/>
      <c r="AA57" s="445"/>
      <c r="AB57" s="445"/>
      <c r="AC57" s="445"/>
      <c r="AD57" s="445"/>
      <c r="AE57" s="445"/>
      <c r="AF57" s="445"/>
      <c r="AG57" s="445"/>
      <c r="AH57" s="445"/>
      <c r="AI57" s="445"/>
    </row>
    <row r="58" spans="4:35" ht="14.25" customHeight="1">
      <c r="D58" s="591" t="s">
        <v>90</v>
      </c>
      <c r="E58" s="4"/>
      <c r="F58" s="4"/>
      <c r="G58" s="4"/>
      <c r="H58" s="4"/>
      <c r="I58" s="4"/>
      <c r="J58" s="445"/>
      <c r="K58" s="591" t="s">
        <v>91</v>
      </c>
      <c r="L58" s="4"/>
      <c r="M58" s="4"/>
      <c r="N58" s="4"/>
      <c r="O58" s="4"/>
      <c r="P58" s="4"/>
      <c r="Q58" s="4"/>
      <c r="R58" s="4"/>
      <c r="S58" s="619"/>
      <c r="T58" s="445"/>
      <c r="U58" s="805"/>
      <c r="V58" s="805"/>
      <c r="W58" s="445"/>
      <c r="X58" s="445"/>
      <c r="Y58" s="445"/>
      <c r="Z58" s="445"/>
      <c r="AA58" s="445"/>
      <c r="AB58" s="445"/>
      <c r="AC58" s="445"/>
      <c r="AD58" s="445"/>
      <c r="AE58" s="445"/>
      <c r="AF58" s="445"/>
      <c r="AG58" s="445"/>
      <c r="AH58" s="445"/>
      <c r="AI58" s="445"/>
    </row>
    <row r="59" spans="4:35" ht="14.25" customHeight="1">
      <c r="D59" s="445"/>
      <c r="E59" s="445"/>
      <c r="F59" s="445"/>
      <c r="G59" s="445"/>
      <c r="H59" s="445"/>
      <c r="I59" s="708"/>
      <c r="J59" s="445"/>
      <c r="K59" s="445"/>
      <c r="L59" s="445"/>
      <c r="M59" s="445"/>
      <c r="N59" s="445"/>
      <c r="O59" s="445"/>
      <c r="P59" s="445"/>
      <c r="Q59" s="445"/>
      <c r="R59" s="445"/>
      <c r="S59" s="691"/>
      <c r="T59" s="445"/>
      <c r="U59" s="445"/>
      <c r="V59" s="445"/>
      <c r="W59" s="445"/>
      <c r="X59" s="445"/>
      <c r="Y59" s="445"/>
      <c r="Z59" s="445"/>
      <c r="AA59" s="445"/>
      <c r="AB59" s="445"/>
      <c r="AC59" s="445"/>
      <c r="AD59" s="445"/>
      <c r="AE59" s="445"/>
      <c r="AF59" s="445"/>
      <c r="AG59" s="445"/>
      <c r="AH59" s="445"/>
      <c r="AI59" s="445"/>
    </row>
    <row r="60" spans="4:35" ht="14.25" customHeight="1" thickBot="1">
      <c r="D60" s="445"/>
      <c r="E60" s="445"/>
      <c r="F60" s="445"/>
      <c r="G60" s="445"/>
      <c r="H60" s="445"/>
      <c r="I60" s="708"/>
      <c r="J60" s="445"/>
      <c r="K60" s="445"/>
      <c r="L60" s="445"/>
      <c r="M60" s="445"/>
      <c r="N60" s="445"/>
      <c r="O60" s="445"/>
      <c r="P60" s="445"/>
      <c r="Q60" s="445"/>
      <c r="R60" s="445"/>
      <c r="S60" s="691"/>
      <c r="T60" s="445"/>
      <c r="U60" s="696" t="s">
        <v>92</v>
      </c>
      <c r="V60" s="690"/>
      <c r="W60" s="445"/>
      <c r="X60" s="445"/>
      <c r="Y60" s="445"/>
      <c r="Z60" s="445"/>
      <c r="AA60" s="445"/>
      <c r="AB60" s="445"/>
      <c r="AC60" s="445"/>
      <c r="AD60" s="445"/>
      <c r="AE60" s="445"/>
      <c r="AF60" s="445"/>
      <c r="AG60" s="445"/>
      <c r="AH60" s="445"/>
      <c r="AI60" s="445"/>
    </row>
    <row r="61" spans="4:35" ht="14.25" customHeight="1" thickTop="1">
      <c r="D61" s="445"/>
      <c r="E61" s="445"/>
      <c r="F61" s="445"/>
      <c r="G61" s="445"/>
      <c r="H61" s="445"/>
      <c r="I61" s="708"/>
      <c r="J61" s="445"/>
      <c r="K61" s="445"/>
      <c r="L61" s="445"/>
      <c r="M61" s="445"/>
      <c r="N61" s="445"/>
      <c r="O61" s="445"/>
      <c r="P61" s="445"/>
      <c r="Q61" s="445"/>
      <c r="R61" s="445"/>
      <c r="S61" s="691"/>
      <c r="T61" s="445"/>
      <c r="U61" s="43" t="s">
        <v>93</v>
      </c>
      <c r="V61" s="712">
        <f>ESG!C14</f>
        <v>88</v>
      </c>
      <c r="W61" s="445"/>
      <c r="X61" s="445"/>
      <c r="Y61" s="445"/>
      <c r="Z61" s="445"/>
      <c r="AA61" s="445"/>
      <c r="AB61" s="445"/>
      <c r="AC61" s="445"/>
      <c r="AD61" s="445"/>
      <c r="AE61" s="445"/>
      <c r="AF61" s="445"/>
      <c r="AG61" s="445"/>
      <c r="AH61" s="445"/>
      <c r="AI61" s="445"/>
    </row>
    <row r="62" spans="4:35" ht="14.25" customHeight="1">
      <c r="D62" s="445"/>
      <c r="E62" s="445"/>
      <c r="F62" s="445"/>
      <c r="G62" s="445"/>
      <c r="H62" s="445"/>
      <c r="I62" s="708"/>
      <c r="J62" s="445"/>
      <c r="K62" s="445"/>
      <c r="L62" s="445"/>
      <c r="M62" s="445"/>
      <c r="N62" s="445"/>
      <c r="O62" s="445"/>
      <c r="P62" s="445"/>
      <c r="Q62" s="445"/>
      <c r="R62" s="445"/>
      <c r="S62" s="691"/>
      <c r="T62" s="445"/>
      <c r="U62" s="21" t="s">
        <v>94</v>
      </c>
      <c r="V62" s="711">
        <f>ESG!C15</f>
        <v>89</v>
      </c>
      <c r="W62" s="445"/>
      <c r="X62" s="445"/>
      <c r="Y62" s="445"/>
      <c r="Z62" s="445"/>
      <c r="AA62" s="445"/>
      <c r="AB62" s="445"/>
      <c r="AC62" s="445"/>
      <c r="AD62" s="445"/>
      <c r="AE62" s="445"/>
      <c r="AF62" s="445"/>
      <c r="AG62" s="445"/>
      <c r="AH62" s="445"/>
      <c r="AI62" s="445"/>
    </row>
    <row r="63" spans="4:35">
      <c r="D63" s="445"/>
      <c r="E63" s="445"/>
      <c r="F63" s="445"/>
      <c r="G63" s="445"/>
      <c r="H63" s="445"/>
      <c r="I63" s="445"/>
      <c r="J63" s="445"/>
      <c r="K63" s="445"/>
      <c r="L63" s="445"/>
      <c r="M63" s="445"/>
      <c r="N63" s="445"/>
      <c r="O63" s="445"/>
      <c r="P63" s="445"/>
      <c r="Q63" s="445"/>
      <c r="R63" s="445"/>
      <c r="S63" s="691"/>
      <c r="T63" s="445"/>
      <c r="U63" s="21" t="s">
        <v>95</v>
      </c>
      <c r="V63" s="711">
        <f>ESG!C16</f>
        <v>88</v>
      </c>
      <c r="W63" s="445"/>
      <c r="X63" s="445"/>
      <c r="Y63" s="445"/>
      <c r="Z63" s="445"/>
      <c r="AA63" s="445"/>
      <c r="AB63" s="445"/>
      <c r="AC63" s="445"/>
      <c r="AD63" s="445"/>
      <c r="AE63" s="445"/>
      <c r="AF63" s="445"/>
      <c r="AG63" s="445"/>
      <c r="AH63" s="445"/>
      <c r="AI63" s="445"/>
    </row>
    <row r="64" spans="4:35">
      <c r="D64" s="445"/>
      <c r="E64" s="445"/>
      <c r="F64" s="445"/>
      <c r="G64" s="445"/>
      <c r="H64" s="445"/>
      <c r="I64" s="445"/>
      <c r="J64" s="445"/>
      <c r="K64" s="445"/>
      <c r="L64" s="445"/>
      <c r="M64" s="445"/>
      <c r="N64" s="445"/>
      <c r="O64" s="445"/>
      <c r="P64" s="445"/>
      <c r="Q64" s="445"/>
      <c r="R64" s="445"/>
      <c r="S64" s="691"/>
      <c r="T64" s="445"/>
      <c r="U64" s="21" t="s">
        <v>96</v>
      </c>
      <c r="V64" s="711">
        <f>ESG!C17</f>
        <v>88</v>
      </c>
      <c r="W64" s="445"/>
      <c r="X64" s="445"/>
      <c r="Y64" s="445"/>
      <c r="Z64" s="445"/>
      <c r="AA64" s="445"/>
      <c r="AB64" s="445"/>
      <c r="AC64" s="445"/>
      <c r="AD64" s="445"/>
      <c r="AE64" s="445"/>
      <c r="AF64" s="445"/>
      <c r="AG64" s="445"/>
      <c r="AH64" s="445"/>
      <c r="AI64" s="445"/>
    </row>
    <row r="65" spans="4:22">
      <c r="D65" s="445"/>
      <c r="E65" s="445"/>
      <c r="F65" s="445"/>
      <c r="G65" s="445"/>
      <c r="H65" s="445"/>
      <c r="I65" s="445"/>
      <c r="J65" s="445"/>
      <c r="K65" s="445"/>
      <c r="L65" s="445"/>
      <c r="M65" s="445"/>
      <c r="N65" s="445"/>
      <c r="O65" s="445"/>
      <c r="P65" s="445"/>
      <c r="Q65" s="445"/>
      <c r="R65" s="445"/>
      <c r="S65" s="691"/>
      <c r="T65" s="445"/>
      <c r="U65" s="19" t="s">
        <v>97</v>
      </c>
      <c r="V65" s="713">
        <f>ESG!C18</f>
        <v>60</v>
      </c>
    </row>
    <row r="66" spans="4:22">
      <c r="D66" s="445"/>
      <c r="E66" s="445"/>
      <c r="F66" s="445"/>
      <c r="G66" s="445"/>
      <c r="H66" s="445"/>
      <c r="I66" s="445"/>
      <c r="J66" s="445"/>
      <c r="K66" s="445"/>
      <c r="L66" s="445"/>
      <c r="M66" s="445"/>
      <c r="N66" s="445"/>
      <c r="O66" s="445"/>
      <c r="P66" s="445"/>
      <c r="Q66" s="445"/>
      <c r="R66" s="445"/>
      <c r="S66" s="691"/>
      <c r="T66" s="445"/>
      <c r="U66" s="21" t="s">
        <v>98</v>
      </c>
      <c r="V66" s="40">
        <f>ESG!C19</f>
        <v>61</v>
      </c>
    </row>
    <row r="67" spans="4:22">
      <c r="D67" s="445"/>
      <c r="E67" s="445"/>
      <c r="F67" s="445"/>
      <c r="G67" s="445"/>
      <c r="H67" s="445"/>
      <c r="I67" s="445"/>
      <c r="J67" s="445"/>
      <c r="K67" s="445"/>
      <c r="L67" s="445"/>
      <c r="M67" s="445"/>
      <c r="N67" s="445"/>
      <c r="O67" s="445"/>
      <c r="P67" s="445"/>
      <c r="Q67" s="445"/>
      <c r="R67" s="445"/>
      <c r="S67" s="691"/>
      <c r="T67" s="445"/>
      <c r="U67" s="21" t="s">
        <v>99</v>
      </c>
      <c r="V67" s="40">
        <f>ESG!C20</f>
        <v>59</v>
      </c>
    </row>
    <row r="68" spans="4:22">
      <c r="D68" s="445"/>
      <c r="E68" s="445"/>
      <c r="F68" s="445"/>
      <c r="G68" s="445"/>
      <c r="H68" s="445"/>
      <c r="I68" s="445"/>
      <c r="J68" s="445"/>
      <c r="K68" s="445"/>
      <c r="L68" s="445"/>
      <c r="M68" s="445"/>
      <c r="N68" s="445"/>
      <c r="O68" s="445"/>
      <c r="P68" s="445"/>
      <c r="Q68" s="445"/>
      <c r="R68" s="445"/>
      <c r="S68" s="691"/>
      <c r="T68" s="445"/>
      <c r="U68" s="21" t="s">
        <v>100</v>
      </c>
      <c r="V68" s="40">
        <f>ESG!C21</f>
        <v>60</v>
      </c>
    </row>
    <row r="69" spans="4:22">
      <c r="D69" s="445"/>
      <c r="E69" s="445"/>
      <c r="F69" s="445"/>
      <c r="G69" s="445"/>
      <c r="H69" s="445"/>
      <c r="I69" s="445"/>
      <c r="J69" s="445"/>
      <c r="K69" s="445"/>
      <c r="L69" s="445"/>
      <c r="M69" s="445"/>
      <c r="N69" s="445"/>
      <c r="O69" s="445"/>
      <c r="P69" s="445"/>
      <c r="Q69" s="445"/>
      <c r="R69" s="445"/>
      <c r="S69" s="691"/>
      <c r="T69" s="445"/>
      <c r="U69" s="19" t="s">
        <v>101</v>
      </c>
      <c r="V69" s="45">
        <f>ESG!C22</f>
        <v>19.2</v>
      </c>
    </row>
    <row r="70" spans="4:22">
      <c r="D70" s="445"/>
      <c r="E70" s="445"/>
      <c r="F70" s="445"/>
      <c r="G70" s="445"/>
      <c r="H70" s="445"/>
      <c r="I70" s="445"/>
      <c r="J70" s="445"/>
      <c r="K70" s="445"/>
      <c r="L70" s="445"/>
      <c r="M70" s="445"/>
      <c r="N70" s="445"/>
      <c r="O70" s="445"/>
      <c r="P70" s="445"/>
      <c r="Q70" s="445"/>
      <c r="R70" s="445"/>
      <c r="S70" s="691"/>
      <c r="T70" s="445"/>
      <c r="U70" s="19" t="s">
        <v>102</v>
      </c>
      <c r="V70" s="46" t="str">
        <f>ESG!C23</f>
        <v>?</v>
      </c>
    </row>
    <row r="71" spans="4:22">
      <c r="D71" s="445"/>
      <c r="E71" s="445"/>
      <c r="F71" s="445"/>
      <c r="G71" s="445"/>
      <c r="H71" s="445"/>
      <c r="I71" s="445"/>
      <c r="J71" s="445"/>
      <c r="K71" s="445"/>
      <c r="L71" s="445"/>
      <c r="M71" s="445"/>
      <c r="N71" s="445"/>
      <c r="O71" s="445"/>
      <c r="P71" s="445"/>
      <c r="Q71" s="445"/>
      <c r="R71" s="445"/>
      <c r="S71" s="691"/>
      <c r="T71" s="445"/>
      <c r="U71" s="21" t="s">
        <v>103</v>
      </c>
      <c r="V71" s="40" t="str">
        <f>ESG!C24</f>
        <v>?</v>
      </c>
    </row>
    <row r="72" spans="4:22">
      <c r="D72" s="445"/>
      <c r="E72" s="445"/>
      <c r="F72" s="445"/>
      <c r="G72" s="445"/>
      <c r="H72" s="445"/>
      <c r="I72" s="445"/>
      <c r="J72" s="445"/>
      <c r="K72" s="445"/>
      <c r="L72" s="445"/>
      <c r="M72" s="445"/>
      <c r="N72" s="445"/>
      <c r="O72" s="445"/>
      <c r="P72" s="445"/>
      <c r="Q72" s="445"/>
      <c r="R72" s="445"/>
      <c r="S72" s="691"/>
      <c r="T72" s="445"/>
      <c r="U72" s="21" t="s">
        <v>104</v>
      </c>
      <c r="V72" s="39" t="str">
        <f>ESG!C25</f>
        <v>?</v>
      </c>
    </row>
    <row r="73" spans="4:22">
      <c r="D73" s="445"/>
      <c r="E73" s="445"/>
      <c r="F73" s="445"/>
      <c r="G73" s="445"/>
      <c r="H73" s="445"/>
      <c r="I73" s="445"/>
      <c r="J73" s="445"/>
      <c r="K73" s="445"/>
      <c r="L73" s="445"/>
      <c r="M73" s="445"/>
      <c r="N73" s="445"/>
      <c r="O73" s="445"/>
      <c r="P73" s="445"/>
      <c r="Q73" s="445"/>
      <c r="R73" s="445"/>
      <c r="S73" s="691"/>
      <c r="T73" s="445"/>
      <c r="U73" s="19" t="s">
        <v>105</v>
      </c>
      <c r="V73" s="47" t="str">
        <f>ESG!C26</f>
        <v>AA</v>
      </c>
    </row>
    <row r="75" spans="4:22">
      <c r="D75" s="445"/>
      <c r="E75" s="445"/>
      <c r="F75" s="445"/>
      <c r="G75" s="445"/>
      <c r="H75" s="445"/>
      <c r="I75" s="445"/>
      <c r="J75" s="445"/>
      <c r="K75" s="445"/>
      <c r="L75" s="445"/>
      <c r="M75" s="445"/>
      <c r="N75" s="445"/>
      <c r="O75" s="445"/>
      <c r="P75" s="445"/>
      <c r="Q75" s="445"/>
      <c r="R75" s="445"/>
      <c r="S75" s="691"/>
      <c r="T75" s="445"/>
      <c r="U75" s="802" t="s">
        <v>106</v>
      </c>
      <c r="V75" s="802"/>
    </row>
    <row r="76" spans="4:22">
      <c r="D76" s="445"/>
      <c r="E76" s="445"/>
      <c r="F76" s="445"/>
      <c r="G76" s="445"/>
      <c r="H76" s="445"/>
      <c r="I76" s="445"/>
      <c r="J76" s="445"/>
      <c r="K76" s="445"/>
      <c r="L76" s="445"/>
      <c r="M76" s="445"/>
      <c r="N76" s="445"/>
      <c r="O76" s="445"/>
      <c r="P76" s="445"/>
      <c r="Q76" s="445"/>
      <c r="R76" s="445"/>
      <c r="S76" s="691"/>
      <c r="T76" s="445"/>
      <c r="U76" s="802"/>
      <c r="V76" s="802"/>
    </row>
    <row r="77" spans="4:22">
      <c r="D77" s="445"/>
      <c r="E77" s="445"/>
      <c r="F77" s="445"/>
      <c r="G77" s="445"/>
      <c r="H77" s="445"/>
      <c r="I77" s="445"/>
      <c r="J77" s="445"/>
      <c r="K77" s="445"/>
      <c r="L77" s="445"/>
      <c r="M77" s="445"/>
      <c r="N77" s="445"/>
      <c r="O77" s="445"/>
      <c r="P77" s="445"/>
      <c r="Q77" s="445"/>
      <c r="R77" s="445"/>
      <c r="S77" s="691"/>
      <c r="T77" s="445"/>
      <c r="U77" s="802"/>
      <c r="V77" s="802"/>
    </row>
    <row r="78" spans="4:22">
      <c r="D78" s="445"/>
      <c r="E78" s="445"/>
      <c r="F78" s="445"/>
      <c r="G78" s="445"/>
      <c r="H78" s="445"/>
      <c r="I78" s="445"/>
      <c r="J78" s="445"/>
      <c r="K78" s="445"/>
      <c r="L78" s="445"/>
      <c r="M78" s="445"/>
      <c r="N78" s="445"/>
      <c r="O78" s="445"/>
      <c r="P78" s="445"/>
      <c r="Q78" s="445"/>
      <c r="R78" s="445"/>
      <c r="S78" s="691"/>
      <c r="T78" s="445"/>
      <c r="U78" s="802"/>
      <c r="V78" s="802"/>
    </row>
    <row r="79" spans="4:22">
      <c r="D79" s="445"/>
      <c r="E79" s="445"/>
      <c r="F79" s="445"/>
      <c r="G79" s="445"/>
      <c r="H79" s="445"/>
      <c r="I79" s="445"/>
      <c r="J79" s="445"/>
      <c r="K79" s="445"/>
      <c r="L79" s="445"/>
      <c r="M79" s="445"/>
      <c r="N79" s="445"/>
      <c r="O79" s="445"/>
      <c r="P79" s="445"/>
      <c r="Q79" s="445"/>
      <c r="R79" s="445"/>
      <c r="S79" s="691"/>
      <c r="T79" s="445"/>
      <c r="U79" s="802"/>
      <c r="V79" s="802"/>
    </row>
    <row r="80" spans="4:22" ht="14.25" customHeight="1">
      <c r="D80" s="725" t="s">
        <v>107</v>
      </c>
      <c r="E80" s="66"/>
      <c r="F80" s="65"/>
      <c r="G80" s="65"/>
      <c r="H80" s="65"/>
      <c r="I80" s="65"/>
      <c r="J80" s="65"/>
      <c r="K80" s="65"/>
      <c r="L80" s="65"/>
      <c r="M80" s="65"/>
      <c r="N80" s="65"/>
      <c r="O80" s="65"/>
      <c r="P80" s="65"/>
      <c r="Q80" s="65"/>
      <c r="R80" s="65"/>
      <c r="S80" s="691"/>
      <c r="T80" s="445"/>
      <c r="U80" s="802"/>
      <c r="V80" s="802"/>
    </row>
    <row r="81" spans="4:22" ht="3.95" customHeight="1">
      <c r="D81" s="67"/>
      <c r="E81" s="67"/>
      <c r="F81" s="67"/>
      <c r="G81" s="67"/>
      <c r="H81" s="67"/>
      <c r="I81" s="67"/>
      <c r="J81" s="67"/>
      <c r="K81" s="67"/>
      <c r="L81" s="67"/>
      <c r="M81" s="67"/>
      <c r="N81" s="67"/>
      <c r="O81" s="67"/>
      <c r="P81" s="67"/>
      <c r="Q81" s="67"/>
      <c r="R81" s="67"/>
      <c r="S81" s="691"/>
      <c r="T81" s="445"/>
      <c r="U81" s="802"/>
      <c r="V81" s="802"/>
    </row>
    <row r="82" spans="4:22">
      <c r="D82" s="813"/>
      <c r="E82" s="813"/>
      <c r="F82" s="813"/>
      <c r="G82" s="813"/>
      <c r="H82" s="813"/>
      <c r="I82" s="813"/>
      <c r="J82" s="813"/>
      <c r="K82" s="813"/>
      <c r="L82" s="813"/>
      <c r="M82" s="813"/>
      <c r="N82" s="813"/>
      <c r="O82" s="813"/>
      <c r="P82" s="813"/>
      <c r="Q82" s="813"/>
      <c r="R82" s="813"/>
      <c r="S82" s="691"/>
      <c r="T82" s="445"/>
      <c r="U82" s="802"/>
      <c r="V82" s="802"/>
    </row>
    <row r="83" spans="4:22">
      <c r="D83" s="813"/>
      <c r="E83" s="813"/>
      <c r="F83" s="813"/>
      <c r="G83" s="813"/>
      <c r="H83" s="813"/>
      <c r="I83" s="813"/>
      <c r="J83" s="813"/>
      <c r="K83" s="813"/>
      <c r="L83" s="813"/>
      <c r="M83" s="813"/>
      <c r="N83" s="813"/>
      <c r="O83" s="813"/>
      <c r="P83" s="813"/>
      <c r="Q83" s="813"/>
      <c r="R83" s="813"/>
      <c r="S83" s="691"/>
      <c r="T83" s="445"/>
      <c r="U83" s="802"/>
      <c r="V83" s="802"/>
    </row>
    <row r="84" spans="4:22">
      <c r="D84" s="813"/>
      <c r="E84" s="813"/>
      <c r="F84" s="813"/>
      <c r="G84" s="813"/>
      <c r="H84" s="813"/>
      <c r="I84" s="813"/>
      <c r="J84" s="813"/>
      <c r="K84" s="813"/>
      <c r="L84" s="813"/>
      <c r="M84" s="813"/>
      <c r="N84" s="813"/>
      <c r="O84" s="813"/>
      <c r="P84" s="813"/>
      <c r="Q84" s="813"/>
      <c r="R84" s="813"/>
      <c r="S84" s="691"/>
      <c r="T84" s="445"/>
      <c r="U84" s="802"/>
      <c r="V84" s="802"/>
    </row>
    <row r="85" spans="4:22">
      <c r="D85" s="813"/>
      <c r="E85" s="813"/>
      <c r="F85" s="813"/>
      <c r="G85" s="813"/>
      <c r="H85" s="813"/>
      <c r="I85" s="813"/>
      <c r="J85" s="813"/>
      <c r="K85" s="813"/>
      <c r="L85" s="813"/>
      <c r="M85" s="813"/>
      <c r="N85" s="813"/>
      <c r="O85" s="813"/>
      <c r="P85" s="813"/>
      <c r="Q85" s="813"/>
      <c r="R85" s="813"/>
      <c r="S85" s="691"/>
      <c r="T85" s="445"/>
      <c r="U85" s="802"/>
      <c r="V85" s="802"/>
    </row>
    <row r="86" spans="4:22">
      <c r="D86" s="813"/>
      <c r="E86" s="813"/>
      <c r="F86" s="813"/>
      <c r="G86" s="813"/>
      <c r="H86" s="813"/>
      <c r="I86" s="813"/>
      <c r="J86" s="813"/>
      <c r="K86" s="813"/>
      <c r="L86" s="813"/>
      <c r="M86" s="813"/>
      <c r="N86" s="813"/>
      <c r="O86" s="813"/>
      <c r="P86" s="813"/>
      <c r="Q86" s="813"/>
      <c r="R86" s="813"/>
      <c r="S86" s="691"/>
      <c r="T86" s="445"/>
      <c r="U86" s="802"/>
      <c r="V86" s="802"/>
    </row>
    <row r="87" spans="4:22">
      <c r="D87" s="814"/>
      <c r="E87" s="814"/>
      <c r="F87" s="814"/>
      <c r="G87" s="814"/>
      <c r="H87" s="814"/>
      <c r="I87" s="814"/>
      <c r="J87" s="814"/>
      <c r="K87" s="814"/>
      <c r="L87" s="814"/>
      <c r="M87" s="814"/>
      <c r="N87" s="814"/>
      <c r="O87" s="814"/>
      <c r="P87" s="814"/>
      <c r="Q87" s="814"/>
      <c r="R87" s="814"/>
      <c r="S87" s="691"/>
      <c r="T87" s="445"/>
      <c r="U87" s="802"/>
      <c r="V87" s="802"/>
    </row>
    <row r="88" spans="4:22">
      <c r="D88" s="814"/>
      <c r="E88" s="814"/>
      <c r="F88" s="814"/>
      <c r="G88" s="814"/>
      <c r="H88" s="814"/>
      <c r="I88" s="814"/>
      <c r="J88" s="814"/>
      <c r="K88" s="814"/>
      <c r="L88" s="814"/>
      <c r="M88" s="814"/>
      <c r="N88" s="814"/>
      <c r="O88" s="814"/>
      <c r="P88" s="814"/>
      <c r="Q88" s="814"/>
      <c r="R88" s="814"/>
      <c r="S88" s="691"/>
      <c r="T88" s="445"/>
      <c r="U88" s="802"/>
      <c r="V88" s="802"/>
    </row>
    <row r="89" spans="4:22">
      <c r="D89" s="445"/>
      <c r="E89" s="445"/>
      <c r="F89" s="445"/>
      <c r="G89" s="445"/>
      <c r="H89" s="445"/>
      <c r="I89" s="445"/>
      <c r="J89" s="445"/>
      <c r="K89" s="445"/>
      <c r="L89" s="445"/>
      <c r="M89" s="445"/>
      <c r="N89" s="445"/>
      <c r="O89" s="445"/>
      <c r="P89" s="445"/>
      <c r="Q89" s="445"/>
      <c r="R89" s="445"/>
      <c r="S89" s="691"/>
      <c r="T89" s="445"/>
      <c r="U89" s="802"/>
      <c r="V89" s="802"/>
    </row>
    <row r="90" spans="4:22">
      <c r="D90" s="445"/>
      <c r="E90" s="445"/>
      <c r="F90" s="445"/>
      <c r="G90" s="445"/>
      <c r="H90" s="445"/>
      <c r="I90" s="445"/>
      <c r="J90" s="445"/>
      <c r="K90" s="445"/>
      <c r="L90" s="445"/>
      <c r="M90" s="445"/>
      <c r="N90" s="445"/>
      <c r="O90" s="445"/>
      <c r="P90" s="445"/>
      <c r="Q90" s="445"/>
      <c r="R90" s="445"/>
      <c r="S90" s="691"/>
      <c r="T90" s="445"/>
      <c r="U90" s="802"/>
      <c r="V90" s="802"/>
    </row>
    <row r="91" spans="4:22">
      <c r="D91" s="445"/>
      <c r="E91" s="445"/>
      <c r="F91" s="445"/>
      <c r="G91" s="445"/>
      <c r="H91" s="445"/>
      <c r="I91" s="445"/>
      <c r="J91" s="445"/>
      <c r="K91" s="445"/>
      <c r="L91" s="445"/>
      <c r="M91" s="445"/>
      <c r="N91" s="445"/>
      <c r="O91" s="445"/>
      <c r="P91" s="445"/>
      <c r="Q91" s="445"/>
      <c r="R91" s="445"/>
      <c r="S91" s="691"/>
      <c r="T91" s="445"/>
      <c r="U91" s="802"/>
      <c r="V91" s="802"/>
    </row>
    <row r="92" spans="4:22">
      <c r="D92" s="445"/>
      <c r="E92" s="445"/>
      <c r="F92" s="445"/>
      <c r="G92" s="445"/>
      <c r="H92" s="445"/>
      <c r="I92" s="445"/>
      <c r="J92" s="445"/>
      <c r="K92" s="445"/>
      <c r="L92" s="445"/>
      <c r="M92" s="445"/>
      <c r="N92" s="445"/>
      <c r="O92" s="445"/>
      <c r="P92" s="445"/>
      <c r="Q92" s="445"/>
      <c r="R92" s="445"/>
      <c r="S92" s="691"/>
      <c r="T92" s="445"/>
      <c r="U92" s="802"/>
      <c r="V92" s="802"/>
    </row>
    <row r="93" spans="4:22">
      <c r="D93" s="445"/>
      <c r="E93" s="445"/>
      <c r="F93" s="445"/>
      <c r="G93" s="445"/>
      <c r="H93" s="445"/>
      <c r="I93" s="445"/>
      <c r="J93" s="445"/>
      <c r="K93" s="445"/>
      <c r="L93" s="445"/>
      <c r="M93" s="445"/>
      <c r="N93" s="445"/>
      <c r="O93" s="445"/>
      <c r="P93" s="445"/>
      <c r="Q93" s="445"/>
      <c r="R93" s="445"/>
      <c r="S93" s="691"/>
      <c r="T93" s="445"/>
      <c r="U93" s="802"/>
      <c r="V93" s="802"/>
    </row>
    <row r="94" spans="4:22">
      <c r="D94" s="445"/>
      <c r="E94" s="445"/>
      <c r="F94" s="445"/>
      <c r="G94" s="445"/>
      <c r="H94" s="445"/>
      <c r="I94" s="445"/>
      <c r="J94" s="445"/>
      <c r="K94" s="445"/>
      <c r="L94" s="445"/>
      <c r="M94" s="445"/>
      <c r="N94" s="445"/>
      <c r="O94" s="445"/>
      <c r="P94" s="445"/>
      <c r="Q94" s="445"/>
      <c r="R94" s="445"/>
      <c r="S94" s="691"/>
      <c r="T94" s="445"/>
      <c r="U94" s="802"/>
      <c r="V94" s="802"/>
    </row>
    <row r="95" spans="4:22">
      <c r="D95" s="445"/>
      <c r="E95" s="445"/>
      <c r="F95" s="445"/>
      <c r="G95" s="445"/>
      <c r="H95" s="445"/>
      <c r="I95" s="445"/>
      <c r="J95" s="445"/>
      <c r="K95" s="445"/>
      <c r="L95" s="445"/>
      <c r="M95" s="445"/>
      <c r="N95" s="445"/>
      <c r="O95" s="445"/>
      <c r="P95" s="445"/>
      <c r="Q95" s="445"/>
      <c r="R95" s="445"/>
      <c r="S95" s="691"/>
      <c r="T95" s="445"/>
      <c r="U95" s="802"/>
      <c r="V95" s="802"/>
    </row>
    <row r="96" spans="4:22">
      <c r="D96" s="445"/>
      <c r="E96" s="445"/>
      <c r="F96" s="445"/>
      <c r="G96" s="445"/>
      <c r="H96" s="445"/>
      <c r="I96" s="445"/>
      <c r="J96" s="445"/>
      <c r="K96" s="445"/>
      <c r="L96" s="445"/>
      <c r="M96" s="445"/>
      <c r="N96" s="445"/>
      <c r="O96" s="445"/>
      <c r="P96" s="445"/>
      <c r="Q96" s="445"/>
      <c r="R96" s="445"/>
      <c r="S96" s="691"/>
      <c r="T96" s="445"/>
      <c r="U96" s="802"/>
      <c r="V96" s="802"/>
    </row>
    <row r="97" spans="21:22">
      <c r="U97" s="802"/>
      <c r="V97" s="802"/>
    </row>
    <row r="98" spans="21:22">
      <c r="U98" s="802"/>
      <c r="V98" s="802"/>
    </row>
    <row r="99" spans="21:22">
      <c r="U99" s="642"/>
      <c r="V99" s="642"/>
    </row>
    <row r="100" spans="21:22">
      <c r="U100" s="642"/>
      <c r="V100" s="642"/>
    </row>
    <row r="1048576" spans="4:18">
      <c r="D1048576" s="735"/>
      <c r="E1048576" s="735"/>
      <c r="F1048576" s="735"/>
      <c r="G1048576" s="735"/>
      <c r="H1048576" s="735"/>
      <c r="I1048576" s="735"/>
      <c r="J1048576" s="735"/>
      <c r="K1048576" s="735"/>
      <c r="L1048576" s="735"/>
      <c r="M1048576" s="735"/>
      <c r="N1048576" s="735"/>
      <c r="O1048576" s="735"/>
      <c r="P1048576" s="735"/>
      <c r="Q1048576" s="735"/>
      <c r="R1048576" s="735"/>
    </row>
  </sheetData>
  <dataConsolidate/>
  <mergeCells count="15">
    <mergeCell ref="U75:V98"/>
    <mergeCell ref="U50:V58"/>
    <mergeCell ref="D41:F43"/>
    <mergeCell ref="G41:I43"/>
    <mergeCell ref="D8:R9"/>
    <mergeCell ref="D11:R15"/>
    <mergeCell ref="D37:F39"/>
    <mergeCell ref="G37:I39"/>
    <mergeCell ref="D86:R86"/>
    <mergeCell ref="D87:R87"/>
    <mergeCell ref="D88:R88"/>
    <mergeCell ref="D82:R82"/>
    <mergeCell ref="D83:R83"/>
    <mergeCell ref="D84:R84"/>
    <mergeCell ref="D85:R85"/>
  </mergeCells>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hyperlinks>
    <hyperlink ref="U18" r:id="rId1" xr:uid="{00A15EE9-582E-4C0D-8884-A73DEC89D3A7}"/>
    <hyperlink ref="U24" r:id="rId2" xr:uid="{5D60102C-D347-4938-9434-AFE96EA00888}"/>
    <hyperlink ref="U27" r:id="rId3" xr:uid="{F6479A07-E521-4B7F-8538-DF60B3D4EBAC}"/>
    <hyperlink ref="U21" r:id="rId4" xr:uid="{D471B318-10BD-4512-9689-173237438B5B}"/>
  </hyperlinks>
  <pageMargins left="0.7" right="0.7" top="0.75" bottom="0.75" header="0.3" footer="0.3"/>
  <pageSetup paperSize="9" orientation="portrait"/>
  <drawing r:id="rId5"/>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B2:T63"/>
  <sheetViews>
    <sheetView showGridLines="0" topLeftCell="A60" zoomScale="70" zoomScaleNormal="70" workbookViewId="0">
      <selection activeCell="B16" sqref="B16"/>
    </sheetView>
  </sheetViews>
  <sheetFormatPr defaultRowHeight="14.1"/>
  <cols>
    <col min="1" max="1" width="2.375" customWidth="1"/>
    <col min="2" max="2" width="22" customWidth="1"/>
    <col min="4" max="4" width="13.125" customWidth="1"/>
    <col min="5" max="9" width="12.625" customWidth="1"/>
    <col min="10" max="10" width="18.625" style="6" customWidth="1"/>
    <col min="11" max="25" width="12.625" customWidth="1"/>
  </cols>
  <sheetData>
    <row r="2" spans="2:18" s="37" customFormat="1" ht="20.100000000000001" customHeight="1">
      <c r="B2" s="36" t="s">
        <v>108</v>
      </c>
      <c r="J2" s="38"/>
    </row>
    <row r="4" spans="2:18" ht="15.6">
      <c r="B4" s="48" t="s">
        <v>109</v>
      </c>
      <c r="C4" s="52"/>
      <c r="D4" s="48" t="s">
        <v>110</v>
      </c>
      <c r="E4" s="53">
        <v>2020</v>
      </c>
      <c r="F4" s="53">
        <f>+E4+1</f>
        <v>2021</v>
      </c>
      <c r="G4" s="53">
        <f>+F4+1</f>
        <v>2022</v>
      </c>
      <c r="H4" s="53">
        <f t="shared" ref="H4:I4" si="0">+G4+1</f>
        <v>2023</v>
      </c>
      <c r="I4" s="53">
        <f t="shared" si="0"/>
        <v>2024</v>
      </c>
      <c r="J4" s="54" t="str">
        <f>"CAGR "&amp;$G$4&amp;" - "&amp;$I$4</f>
        <v>CAGR 2022 - 2024</v>
      </c>
      <c r="K4" s="53">
        <v>2021</v>
      </c>
      <c r="L4" s="53">
        <f>+K4+1</f>
        <v>2022</v>
      </c>
      <c r="M4" s="53">
        <f>+L4+1</f>
        <v>2023</v>
      </c>
      <c r="N4" s="53">
        <f t="shared" ref="N4" si="1">+M4+1</f>
        <v>2024</v>
      </c>
    </row>
    <row r="5" spans="2:18" ht="3.95" customHeight="1">
      <c r="B5" s="49"/>
      <c r="C5" s="49"/>
      <c r="D5" s="49"/>
      <c r="E5" s="49"/>
      <c r="F5" s="49"/>
      <c r="G5" s="49"/>
      <c r="H5" s="49"/>
      <c r="I5" s="49"/>
      <c r="J5" s="56"/>
      <c r="K5" s="56"/>
      <c r="L5" s="56"/>
      <c r="M5" s="56"/>
      <c r="N5" s="56"/>
    </row>
    <row r="6" spans="2:18">
      <c r="B6" t="s">
        <v>111</v>
      </c>
      <c r="D6" s="61">
        <f>IFERROR(I6/SUM($I$6:$I$10),"")</f>
        <v>0.29249919963842491</v>
      </c>
      <c r="E6" s="771">
        <v>20257</v>
      </c>
      <c r="F6" s="771">
        <v>22961</v>
      </c>
      <c r="G6" s="771">
        <v>17125</v>
      </c>
      <c r="H6" s="771">
        <v>14854</v>
      </c>
      <c r="I6" s="771">
        <v>15532</v>
      </c>
      <c r="J6" s="60">
        <f>IFERROR((I6/G6)^(1/COUNT($G$4:$I$4))-1,"")</f>
        <v>-3.2021746573388854E-2</v>
      </c>
      <c r="K6" s="61">
        <f t="shared" ref="K6:K9" si="2">IFERROR((F6-E6)/E6,"")</f>
        <v>0.13348472133089795</v>
      </c>
      <c r="L6" s="61">
        <f>IFERROR((G6-F6)/F6,"")</f>
        <v>-0.25417011454204957</v>
      </c>
      <c r="M6" s="88">
        <f>IFERROR((H6-G6)/G6,"")</f>
        <v>-0.13261313868613139</v>
      </c>
      <c r="N6" s="88">
        <f t="shared" ref="N6:N11" si="3">IFERROR((I6-H6)/H6,"")</f>
        <v>4.5644270903460349E-2</v>
      </c>
    </row>
    <row r="7" spans="2:18">
      <c r="B7" t="s">
        <v>112</v>
      </c>
      <c r="D7" s="61">
        <f>IFERROR(I7/SUM($I$6:$I$10),"")</f>
        <v>0.24470348957646748</v>
      </c>
      <c r="E7" s="771">
        <v>17845</v>
      </c>
      <c r="F7" s="771">
        <v>18096</v>
      </c>
      <c r="G7" s="771">
        <v>16529</v>
      </c>
      <c r="H7" s="771">
        <v>13958</v>
      </c>
      <c r="I7" s="771">
        <v>12994</v>
      </c>
      <c r="J7" s="60">
        <f>IFERROR((I7/G7)^(1/COUNT($G$4:$I$4))-1,"")</f>
        <v>-7.7077088213987288E-2</v>
      </c>
      <c r="K7" s="61">
        <f t="shared" si="2"/>
        <v>1.4065564583917063E-2</v>
      </c>
      <c r="L7" s="61">
        <f t="shared" ref="L7:L9" si="4">IFERROR((G7-F7)/F7,"")</f>
        <v>-8.6593722369584444E-2</v>
      </c>
      <c r="M7" s="88">
        <f>IFERROR((H7-G7)/G7,"")</f>
        <v>-0.1555448000483998</v>
      </c>
      <c r="N7" s="88">
        <f t="shared" si="3"/>
        <v>-6.9064335864737064E-2</v>
      </c>
    </row>
    <row r="8" spans="2:18">
      <c r="B8" s="83" t="s">
        <v>113</v>
      </c>
      <c r="D8" s="61">
        <f>IFERROR(I8/SUM($I$6:$I$10),"")</f>
        <v>0.19184196154498032</v>
      </c>
      <c r="E8" s="771">
        <v>16573</v>
      </c>
      <c r="F8" s="771">
        <v>14322</v>
      </c>
      <c r="G8" s="771">
        <v>9664</v>
      </c>
      <c r="H8" s="771">
        <v>8602</v>
      </c>
      <c r="I8" s="771">
        <v>10187</v>
      </c>
      <c r="J8" s="60">
        <f t="shared" ref="J8:J10" si="5">IFERROR((I8/E8)^(1/COUNT($E$4:$I$4))-1,"")</f>
        <v>-9.2745700185253743E-2</v>
      </c>
      <c r="K8" s="61">
        <f t="shared" si="2"/>
        <v>-0.1358233270982924</v>
      </c>
      <c r="L8" s="61">
        <f t="shared" si="4"/>
        <v>-0.32523390587906714</v>
      </c>
      <c r="M8" s="61">
        <f>IFERROR((H8-G8)/G8,"")</f>
        <v>-0.10989238410596026</v>
      </c>
      <c r="N8" s="88">
        <f t="shared" si="3"/>
        <v>0.18425947454080446</v>
      </c>
    </row>
    <row r="9" spans="2:18">
      <c r="B9" s="83" t="s">
        <v>114</v>
      </c>
      <c r="D9" s="61">
        <f>IFERROR(I9/SUM($I$6:$I$10),"")</f>
        <v>0.14696521722754749</v>
      </c>
      <c r="E9" s="771">
        <v>11605</v>
      </c>
      <c r="F9" s="771">
        <v>11418</v>
      </c>
      <c r="G9" s="771">
        <v>8287</v>
      </c>
      <c r="H9" s="771">
        <v>6867</v>
      </c>
      <c r="I9" s="771">
        <v>7804</v>
      </c>
      <c r="J9" s="60">
        <f t="shared" si="5"/>
        <v>-7.6292599294759844E-2</v>
      </c>
      <c r="K9" s="61">
        <f t="shared" si="2"/>
        <v>-1.6113744075829384E-2</v>
      </c>
      <c r="L9" s="61">
        <f t="shared" si="4"/>
        <v>-0.27421614993869331</v>
      </c>
      <c r="M9" s="61">
        <f>IFERROR((H9-G9)/G9,"")</f>
        <v>-0.17135272112947991</v>
      </c>
      <c r="N9" s="88">
        <f t="shared" si="3"/>
        <v>0.13644968690840251</v>
      </c>
    </row>
    <row r="10" spans="2:18">
      <c r="B10" s="83" t="s">
        <v>115</v>
      </c>
      <c r="D10" s="61">
        <f>IFERROR(I10/SUM($I$6:$I$10),"")</f>
        <v>0.1239901320125798</v>
      </c>
      <c r="E10" s="771">
        <v>11587</v>
      </c>
      <c r="F10" s="771">
        <v>12227</v>
      </c>
      <c r="G10" s="771">
        <v>11449</v>
      </c>
      <c r="H10" s="771">
        <v>9947</v>
      </c>
      <c r="I10" s="771">
        <v>6584</v>
      </c>
      <c r="J10" s="60">
        <f t="shared" si="5"/>
        <v>-0.1068924452670621</v>
      </c>
      <c r="K10" s="61">
        <f t="shared" ref="K10" si="6">IFERROR((F10-E10)/E10,"")</f>
        <v>5.5234314317769914E-2</v>
      </c>
      <c r="L10" s="61">
        <f>IFERROR((G10-F10)/F10,"")</f>
        <v>-6.3629672037294513E-2</v>
      </c>
      <c r="M10" s="61">
        <f>IFERROR((H10-G10)/G10,"")</f>
        <v>-0.1311904969866364</v>
      </c>
      <c r="N10" s="88">
        <f t="shared" si="3"/>
        <v>-0.33809188700110587</v>
      </c>
    </row>
    <row r="11" spans="2:18">
      <c r="B11" s="1" t="s">
        <v>116</v>
      </c>
      <c r="D11" s="90">
        <f>SUM(D6:D10)</f>
        <v>1</v>
      </c>
      <c r="E11" s="91">
        <f>SUM(E6:E10)</f>
        <v>77867</v>
      </c>
      <c r="F11" s="91">
        <f t="shared" ref="F11:I11" si="7">SUM(F6:F10)</f>
        <v>79024</v>
      </c>
      <c r="G11" s="91">
        <f t="shared" si="7"/>
        <v>63054</v>
      </c>
      <c r="H11" s="91">
        <f t="shared" si="7"/>
        <v>54228</v>
      </c>
      <c r="I11" s="91">
        <f t="shared" si="7"/>
        <v>53101</v>
      </c>
      <c r="J11" s="63">
        <f>IFERROR((I11/G11)^(1/COUNT($G$4:$I$4))-1,"")</f>
        <v>-5.5656448354982069E-2</v>
      </c>
      <c r="K11" s="64">
        <f t="shared" ref="K11:L11" si="8">IFERROR(F11-E11/E11,"")</f>
        <v>79023</v>
      </c>
      <c r="L11" s="64">
        <f t="shared" si="8"/>
        <v>63053</v>
      </c>
      <c r="M11" s="88">
        <f>IFERROR((H11-G11)/G11,"")</f>
        <v>-0.13997525930155105</v>
      </c>
      <c r="N11" s="88">
        <f t="shared" si="3"/>
        <v>-2.0782621523935976E-2</v>
      </c>
    </row>
    <row r="12" spans="2:18" ht="8.1" customHeight="1">
      <c r="R12" s="92"/>
    </row>
    <row r="13" spans="2:18" ht="15.6">
      <c r="B13" s="48" t="s">
        <v>108</v>
      </c>
      <c r="C13" s="52"/>
      <c r="D13" s="48" t="s">
        <v>110</v>
      </c>
      <c r="E13" s="53">
        <v>2020</v>
      </c>
      <c r="F13" s="53">
        <f>+E13+1</f>
        <v>2021</v>
      </c>
      <c r="G13" s="53">
        <f>+F13+1</f>
        <v>2022</v>
      </c>
      <c r="H13" s="53">
        <f t="shared" ref="H13:I13" si="9">+G13+1</f>
        <v>2023</v>
      </c>
      <c r="I13" s="53">
        <f t="shared" si="9"/>
        <v>2024</v>
      </c>
      <c r="J13" s="54" t="str">
        <f>"CAGR "&amp;$E$4&amp;" - "&amp;$I$4</f>
        <v>CAGR 2020 - 2024</v>
      </c>
      <c r="K13" s="53">
        <v>2021</v>
      </c>
      <c r="L13" s="53">
        <f>+K13+1</f>
        <v>2022</v>
      </c>
      <c r="M13" s="53">
        <f>+L13+1</f>
        <v>2023</v>
      </c>
      <c r="N13" s="53">
        <f t="shared" ref="N13" si="10">+M13+1</f>
        <v>2024</v>
      </c>
    </row>
    <row r="14" spans="2:18" s="88" customFormat="1" ht="4.5" customHeight="1">
      <c r="B14" s="49"/>
      <c r="C14" s="49"/>
      <c r="D14" s="49"/>
      <c r="E14" s="49"/>
      <c r="F14" s="49"/>
      <c r="G14" s="49"/>
      <c r="H14" s="49"/>
      <c r="I14" s="49"/>
      <c r="J14" s="56"/>
      <c r="K14" s="56"/>
      <c r="L14" s="56"/>
      <c r="M14" s="56"/>
      <c r="N14" s="56"/>
      <c r="O14" s="93"/>
    </row>
    <row r="15" spans="2:18">
      <c r="B15" t="s">
        <v>117</v>
      </c>
      <c r="D15" s="61">
        <f>IFERROR(I15/I22,"")</f>
        <v>0.57042240259128829</v>
      </c>
      <c r="E15" s="771">
        <v>40535</v>
      </c>
      <c r="F15" s="771">
        <v>41067</v>
      </c>
      <c r="G15" s="771">
        <v>31773</v>
      </c>
      <c r="H15" s="771">
        <v>29258</v>
      </c>
      <c r="I15" s="771">
        <v>30290</v>
      </c>
      <c r="J15" s="60">
        <f>IFERROR((I15/E15)^(1/COUNT($E$4:$I$4))-1,"")</f>
        <v>-5.6604459014967135E-2</v>
      </c>
      <c r="K15" s="92">
        <f t="shared" ref="K15:N22" si="11">IFERROR((F15-E15)/E15,"")</f>
        <v>1.3124460342913532E-2</v>
      </c>
      <c r="L15" s="92">
        <f t="shared" si="11"/>
        <v>-0.2263130981079699</v>
      </c>
      <c r="M15" s="92">
        <f t="shared" si="11"/>
        <v>-7.9155257608661447E-2</v>
      </c>
      <c r="N15" s="92">
        <f t="shared" si="11"/>
        <v>3.5272404128785288E-2</v>
      </c>
    </row>
    <row r="16" spans="2:18">
      <c r="B16" t="s">
        <v>118</v>
      </c>
      <c r="D16" s="61">
        <f>IFERROR(I16/I22,"")</f>
        <v>0.24137021901659103</v>
      </c>
      <c r="E16" s="771">
        <v>23413</v>
      </c>
      <c r="F16" s="771">
        <v>22691</v>
      </c>
      <c r="G16" s="771">
        <v>16856</v>
      </c>
      <c r="H16" s="771">
        <v>12635</v>
      </c>
      <c r="I16" s="771">
        <v>12817</v>
      </c>
      <c r="J16" s="60">
        <f t="shared" ref="J16:J18" si="12">IFERROR((I16/E16)^(1/COUNT($E$4:$I$4))-1,"")</f>
        <v>-0.11352628284043609</v>
      </c>
      <c r="K16" s="92">
        <f t="shared" si="11"/>
        <v>-3.0837568871994191E-2</v>
      </c>
      <c r="L16" s="92">
        <f t="shared" si="11"/>
        <v>-0.257150412057644</v>
      </c>
      <c r="M16" s="92">
        <f t="shared" si="11"/>
        <v>-0.25041528239202659</v>
      </c>
      <c r="N16" s="92">
        <f t="shared" si="11"/>
        <v>1.4404432132963989E-2</v>
      </c>
    </row>
    <row r="17" spans="2:14">
      <c r="B17" t="s">
        <v>119</v>
      </c>
      <c r="D17" s="61">
        <f>IFERROR(I17/SUM($I$15:$I$21),"")</f>
        <v>0.11001676051298469</v>
      </c>
      <c r="E17" s="771">
        <v>7132</v>
      </c>
      <c r="F17" s="771">
        <v>7976</v>
      </c>
      <c r="G17" s="771">
        <v>8409</v>
      </c>
      <c r="H17" s="771">
        <v>5774</v>
      </c>
      <c r="I17" s="771">
        <v>5842</v>
      </c>
      <c r="J17" s="60">
        <f t="shared" si="12"/>
        <v>-3.9118031607598525E-2</v>
      </c>
      <c r="K17" s="92">
        <f t="shared" si="11"/>
        <v>0.11833987661245092</v>
      </c>
      <c r="L17" s="92">
        <f t="shared" si="11"/>
        <v>5.4287863590772319E-2</v>
      </c>
      <c r="M17" s="92">
        <f t="shared" si="11"/>
        <v>-0.31335473897015104</v>
      </c>
      <c r="N17" s="92">
        <f t="shared" si="11"/>
        <v>1.1776931070315206E-2</v>
      </c>
    </row>
    <row r="18" spans="2:14">
      <c r="B18" s="83" t="s">
        <v>120</v>
      </c>
      <c r="D18" s="61">
        <f>IFERROR(I18/SUM($I$15:$I$21),"")</f>
        <v>0.3303704261689987</v>
      </c>
      <c r="E18" s="771">
        <v>715</v>
      </c>
      <c r="F18" s="771">
        <v>786</v>
      </c>
      <c r="G18" s="771">
        <v>27491</v>
      </c>
      <c r="H18" s="771">
        <v>18910</v>
      </c>
      <c r="I18" s="771">
        <v>17543</v>
      </c>
      <c r="J18" s="60">
        <f t="shared" si="12"/>
        <v>0.89652933358241738</v>
      </c>
      <c r="K18" s="92">
        <f t="shared" si="11"/>
        <v>9.9300699300699305E-2</v>
      </c>
      <c r="L18" s="92">
        <f>IFERROR((G18-F18)/F18,"")</f>
        <v>33.975826972010175</v>
      </c>
      <c r="M18" s="92">
        <f t="shared" si="11"/>
        <v>-0.31213851806045617</v>
      </c>
      <c r="N18" s="92">
        <f t="shared" si="11"/>
        <v>-7.2289793759915386E-2</v>
      </c>
    </row>
    <row r="19" spans="2:14">
      <c r="B19" s="83" t="s">
        <v>121</v>
      </c>
      <c r="D19" s="61">
        <f>IFERROR(I19/SUM($I$15:$I$21),"")</f>
        <v>7.201370972298074E-2</v>
      </c>
      <c r="E19" s="771">
        <v>6709</v>
      </c>
      <c r="F19" s="771">
        <v>7179</v>
      </c>
      <c r="G19" s="771">
        <v>5530</v>
      </c>
      <c r="H19" s="771">
        <v>5608</v>
      </c>
      <c r="I19" s="771">
        <v>3824</v>
      </c>
      <c r="J19" s="60">
        <f>IFERROR((I19/E19)^(1/COUNT($E$4:$I$4))-1,"")</f>
        <v>-0.10634061960391961</v>
      </c>
      <c r="K19" s="92">
        <f t="shared" si="11"/>
        <v>7.0055149798777763E-2</v>
      </c>
      <c r="L19" s="92">
        <f t="shared" si="11"/>
        <v>-0.22969772948878675</v>
      </c>
      <c r="M19" s="92">
        <f t="shared" si="11"/>
        <v>1.4104882459312839E-2</v>
      </c>
      <c r="N19" s="92">
        <f>IFERROR((I19-H19)/H19,"")</f>
        <v>-0.31811697574893011</v>
      </c>
    </row>
    <row r="20" spans="2:14">
      <c r="B20" s="83" t="s">
        <v>122</v>
      </c>
      <c r="D20" s="61"/>
      <c r="E20" s="771">
        <v>0</v>
      </c>
      <c r="F20" s="771">
        <v>0</v>
      </c>
      <c r="G20" s="771">
        <v>0</v>
      </c>
      <c r="H20" s="771">
        <v>0</v>
      </c>
      <c r="I20" s="771">
        <v>0</v>
      </c>
      <c r="J20" s="60" t="str">
        <f t="shared" ref="J20:J21" si="13">IFERROR((I20/E20)^(1/COUNT($E$4:$I$4))-1,"")</f>
        <v/>
      </c>
      <c r="K20" s="92" t="str">
        <f t="shared" ref="K20:K21" si="14">IFERROR((F20-E20)/E20,"")</f>
        <v/>
      </c>
      <c r="L20" s="92" t="str">
        <f t="shared" ref="L20:L21" si="15">IFERROR((G20-F20)/F20,"")</f>
        <v/>
      </c>
      <c r="M20" s="92" t="str">
        <f t="shared" ref="M20:M21" si="16">IFERROR((H20-G20)/G20,"")</f>
        <v/>
      </c>
      <c r="N20" s="92" t="str">
        <f t="shared" ref="N20:N21" si="17">IFERROR((I20-H20)/H20,"")</f>
        <v/>
      </c>
    </row>
    <row r="21" spans="2:14">
      <c r="B21" s="83" t="s">
        <v>123</v>
      </c>
      <c r="D21" s="61">
        <f>IFERROR(I21/SUM($I$15:$I$21),"")</f>
        <v>-0.32419351801284346</v>
      </c>
      <c r="E21" s="771">
        <v>-637</v>
      </c>
      <c r="F21" s="771">
        <v>-675</v>
      </c>
      <c r="G21" s="771">
        <v>-27005</v>
      </c>
      <c r="H21" s="771">
        <v>-17957</v>
      </c>
      <c r="I21" s="771">
        <v>-17215</v>
      </c>
      <c r="J21" s="60">
        <f t="shared" si="13"/>
        <v>0.93354159385080715</v>
      </c>
      <c r="K21" s="92">
        <f t="shared" si="14"/>
        <v>5.9654631083202514E-2</v>
      </c>
      <c r="L21" s="92">
        <f t="shared" si="15"/>
        <v>39.007407407407406</v>
      </c>
      <c r="M21" s="92">
        <f t="shared" si="16"/>
        <v>-0.33504906498796522</v>
      </c>
      <c r="N21" s="92">
        <f t="shared" si="17"/>
        <v>-4.1320933340758481E-2</v>
      </c>
    </row>
    <row r="22" spans="2:14">
      <c r="B22" s="1" t="s">
        <v>116</v>
      </c>
      <c r="D22" s="90">
        <f t="shared" ref="D22:I22" si="18">SUM(D15:D21)</f>
        <v>1</v>
      </c>
      <c r="E22" s="91">
        <f t="shared" si="18"/>
        <v>77867</v>
      </c>
      <c r="F22" s="91">
        <f t="shared" si="18"/>
        <v>79024</v>
      </c>
      <c r="G22" s="91">
        <f t="shared" si="18"/>
        <v>63054</v>
      </c>
      <c r="H22" s="91">
        <f t="shared" si="18"/>
        <v>54228</v>
      </c>
      <c r="I22" s="91">
        <f t="shared" si="18"/>
        <v>53101</v>
      </c>
      <c r="J22" s="63">
        <f>IFERROR((I22/E22)^(1/COUNT($E$4:$I$4))-1,"")</f>
        <v>-7.37038661876257E-2</v>
      </c>
      <c r="K22" s="92">
        <f t="shared" si="11"/>
        <v>1.4858669269395251E-2</v>
      </c>
      <c r="L22" s="92">
        <f t="shared" si="11"/>
        <v>-0.20209050415063778</v>
      </c>
      <c r="M22" s="92">
        <f t="shared" si="11"/>
        <v>-0.13997525930155105</v>
      </c>
      <c r="N22" s="92">
        <f t="shared" si="11"/>
        <v>-2.0782621523935976E-2</v>
      </c>
    </row>
    <row r="23" spans="2:14" ht="8.1" customHeight="1">
      <c r="B23" s="1"/>
      <c r="D23" s="1"/>
      <c r="E23" s="91"/>
      <c r="F23" s="91"/>
      <c r="G23" s="91"/>
      <c r="H23" s="91"/>
      <c r="I23" s="91"/>
      <c r="J23" s="63"/>
      <c r="K23" s="1"/>
      <c r="L23" s="1"/>
      <c r="M23" s="1"/>
      <c r="N23" s="1"/>
    </row>
    <row r="24" spans="2:14" ht="15" customHeight="1">
      <c r="B24" s="65" t="s">
        <v>124</v>
      </c>
      <c r="C24" s="66"/>
      <c r="D24" s="65" t="s">
        <v>125</v>
      </c>
      <c r="E24" s="66"/>
      <c r="F24" s="66"/>
      <c r="G24" s="66"/>
      <c r="H24" s="66"/>
      <c r="I24" s="66"/>
      <c r="J24" s="94" t="s">
        <v>126</v>
      </c>
      <c r="K24" s="95"/>
      <c r="L24" s="95"/>
      <c r="M24" s="95"/>
      <c r="N24" s="95"/>
    </row>
    <row r="25" spans="2:14" ht="3.95" customHeight="1">
      <c r="B25" s="67"/>
      <c r="C25" s="67"/>
      <c r="D25" s="67"/>
      <c r="E25" s="67"/>
      <c r="F25" s="67"/>
      <c r="G25" s="67"/>
      <c r="H25" s="67"/>
      <c r="I25" s="67"/>
      <c r="J25" s="96"/>
      <c r="K25" s="96"/>
      <c r="L25" s="96"/>
      <c r="M25" s="96"/>
      <c r="N25" s="96"/>
    </row>
    <row r="26" spans="2:14" ht="39.950000000000003" customHeight="1">
      <c r="B26" s="818" t="s">
        <v>117</v>
      </c>
      <c r="C26" s="818"/>
      <c r="D26" s="815" t="s">
        <v>127</v>
      </c>
      <c r="E26" s="815"/>
      <c r="F26" s="815"/>
      <c r="G26" s="815"/>
      <c r="H26" s="815"/>
      <c r="I26" s="815"/>
      <c r="J26" s="63"/>
      <c r="K26" s="1"/>
      <c r="L26" s="1"/>
      <c r="M26" s="1"/>
      <c r="N26" s="1"/>
    </row>
    <row r="27" spans="2:14" ht="39.950000000000003" customHeight="1">
      <c r="B27" s="818" t="s">
        <v>118</v>
      </c>
      <c r="C27" s="818"/>
      <c r="D27" s="815" t="s">
        <v>128</v>
      </c>
      <c r="E27" s="816"/>
      <c r="F27" s="816"/>
      <c r="G27" s="816"/>
      <c r="H27" s="816"/>
      <c r="I27" s="816"/>
      <c r="J27" s="63"/>
      <c r="K27" s="1"/>
      <c r="L27" s="1"/>
      <c r="M27" s="1"/>
      <c r="N27" s="1"/>
    </row>
    <row r="28" spans="2:14" ht="39.950000000000003" customHeight="1">
      <c r="B28" s="818" t="s">
        <v>119</v>
      </c>
      <c r="C28" s="818"/>
      <c r="D28" s="815" t="s">
        <v>129</v>
      </c>
      <c r="E28" s="816"/>
      <c r="F28" s="816"/>
      <c r="G28" s="816"/>
      <c r="H28" s="816"/>
      <c r="I28" s="816"/>
      <c r="J28" s="63"/>
      <c r="K28" s="1"/>
      <c r="L28" s="1"/>
      <c r="M28" s="1"/>
      <c r="N28" s="1"/>
    </row>
    <row r="29" spans="2:14" ht="39.950000000000003" customHeight="1">
      <c r="B29" s="769" t="s">
        <v>120</v>
      </c>
      <c r="C29" s="769"/>
      <c r="D29" s="815" t="s">
        <v>130</v>
      </c>
      <c r="E29" s="816"/>
      <c r="F29" s="816"/>
      <c r="G29" s="816"/>
      <c r="H29" s="816"/>
      <c r="I29" s="816"/>
      <c r="J29" s="63"/>
      <c r="K29" s="1"/>
      <c r="L29" s="1"/>
      <c r="M29" s="1"/>
      <c r="N29" s="1"/>
    </row>
    <row r="30" spans="2:14" ht="39.950000000000003" customHeight="1">
      <c r="B30" s="769" t="s">
        <v>121</v>
      </c>
      <c r="C30" s="769"/>
      <c r="D30" s="815" t="s">
        <v>131</v>
      </c>
      <c r="E30" s="816"/>
      <c r="F30" s="816"/>
      <c r="G30" s="816"/>
      <c r="H30" s="816"/>
      <c r="I30" s="816"/>
      <c r="J30" s="63"/>
      <c r="K30" s="1"/>
      <c r="L30" s="1"/>
      <c r="M30" s="1"/>
      <c r="N30" s="1"/>
    </row>
    <row r="31" spans="2:14" ht="39.950000000000003" customHeight="1">
      <c r="B31" s="769" t="s">
        <v>122</v>
      </c>
      <c r="C31" s="769"/>
      <c r="D31" s="815" t="s">
        <v>132</v>
      </c>
      <c r="E31" s="816"/>
      <c r="F31" s="816"/>
      <c r="G31" s="816"/>
      <c r="H31" s="816"/>
      <c r="I31" s="816"/>
      <c r="J31" s="63"/>
      <c r="K31" s="1"/>
      <c r="L31" s="1"/>
      <c r="M31" s="1"/>
      <c r="N31" s="1"/>
    </row>
    <row r="32" spans="2:14" ht="39.950000000000003" customHeight="1">
      <c r="B32" s="768" t="s">
        <v>123</v>
      </c>
      <c r="C32" s="769"/>
      <c r="D32" s="815" t="s">
        <v>133</v>
      </c>
      <c r="E32" s="816"/>
      <c r="F32" s="816"/>
      <c r="G32" s="816"/>
      <c r="H32" s="816"/>
      <c r="I32" s="816"/>
      <c r="J32" s="63"/>
      <c r="K32" s="1"/>
      <c r="L32" s="1"/>
      <c r="M32" s="1"/>
      <c r="N32" s="1"/>
    </row>
    <row r="33" spans="2:20" ht="39.950000000000003" hidden="1" customHeight="1">
      <c r="B33" s="819" t="str">
        <f>IF(B18=0,"",B18)</f>
        <v>Intel Foundry</v>
      </c>
      <c r="C33" s="819"/>
      <c r="D33" s="820"/>
      <c r="E33" s="820"/>
      <c r="F33" s="820"/>
      <c r="G33" s="820"/>
      <c r="H33" s="820"/>
      <c r="I33" s="820"/>
      <c r="J33" s="63"/>
      <c r="K33" s="1"/>
      <c r="L33" s="1"/>
      <c r="M33" s="1"/>
      <c r="N33" s="1"/>
    </row>
    <row r="34" spans="2:20" ht="39.950000000000003" hidden="1" customHeight="1">
      <c r="B34" s="819" t="str">
        <f>IF(B19=0,"",B19)</f>
        <v>All Other</v>
      </c>
      <c r="C34" s="819"/>
      <c r="D34" s="820"/>
      <c r="E34" s="820"/>
      <c r="F34" s="820"/>
      <c r="G34" s="820"/>
      <c r="H34" s="820"/>
      <c r="I34" s="820"/>
      <c r="J34" s="63"/>
      <c r="K34" s="1"/>
      <c r="L34" s="1"/>
      <c r="M34" s="1"/>
      <c r="N34" s="1"/>
    </row>
    <row r="35" spans="2:20" ht="8.1" customHeight="1">
      <c r="E35" s="69"/>
      <c r="F35" s="69"/>
      <c r="G35" s="69"/>
      <c r="H35" s="69"/>
      <c r="I35" s="69"/>
      <c r="J35" s="97"/>
    </row>
    <row r="36" spans="2:20" ht="15.6">
      <c r="B36" s="48" t="s">
        <v>134</v>
      </c>
      <c r="C36" s="52"/>
      <c r="D36" s="48" t="s">
        <v>110</v>
      </c>
      <c r="E36" s="53">
        <v>2020</v>
      </c>
      <c r="F36" s="53">
        <f>+E36+1</f>
        <v>2021</v>
      </c>
      <c r="G36" s="53">
        <f>+F36+1</f>
        <v>2022</v>
      </c>
      <c r="H36" s="53">
        <f t="shared" ref="H36:I36" si="19">+G36+1</f>
        <v>2023</v>
      </c>
      <c r="I36" s="98">
        <f t="shared" si="19"/>
        <v>2024</v>
      </c>
      <c r="J36" s="99">
        <f>I36+1</f>
        <v>2025</v>
      </c>
      <c r="K36" s="99">
        <f t="shared" ref="K36:S36" si="20">+J36+1</f>
        <v>2026</v>
      </c>
      <c r="L36" s="99">
        <f t="shared" si="20"/>
        <v>2027</v>
      </c>
      <c r="M36" s="99">
        <f t="shared" si="20"/>
        <v>2028</v>
      </c>
      <c r="N36" s="99">
        <f t="shared" si="20"/>
        <v>2029</v>
      </c>
      <c r="O36" s="99">
        <f t="shared" si="20"/>
        <v>2030</v>
      </c>
      <c r="P36" s="99">
        <f t="shared" si="20"/>
        <v>2031</v>
      </c>
      <c r="Q36" s="99">
        <f t="shared" si="20"/>
        <v>2032</v>
      </c>
      <c r="R36" s="99">
        <f t="shared" si="20"/>
        <v>2033</v>
      </c>
      <c r="S36" s="99">
        <f t="shared" si="20"/>
        <v>2034</v>
      </c>
      <c r="T36" s="144"/>
    </row>
    <row r="37" spans="2:20" ht="3.95" customHeight="1">
      <c r="B37" s="49"/>
      <c r="C37" s="49"/>
      <c r="D37" s="49"/>
      <c r="E37" s="49"/>
      <c r="F37" s="49"/>
      <c r="G37" s="49"/>
      <c r="H37" s="49"/>
      <c r="I37" s="100"/>
      <c r="J37" s="56"/>
      <c r="K37" s="56"/>
      <c r="L37" s="56"/>
      <c r="M37" s="56"/>
      <c r="N37" s="56"/>
      <c r="O37" s="56"/>
      <c r="P37" s="56"/>
      <c r="Q37" s="56"/>
      <c r="R37" s="56"/>
      <c r="S37" s="56"/>
      <c r="T37" s="238"/>
    </row>
    <row r="38" spans="2:20">
      <c r="B38" t="str">
        <f>B15</f>
        <v>CCG</v>
      </c>
      <c r="D38" s="61">
        <f>IFERROR(I38/$I$11,"")</f>
        <v>0.57042240259128829</v>
      </c>
      <c r="E38" s="89">
        <f>E15</f>
        <v>40535</v>
      </c>
      <c r="F38" s="89">
        <f t="shared" ref="F38:I38" si="21">F15</f>
        <v>41067</v>
      </c>
      <c r="G38" s="89">
        <f t="shared" si="21"/>
        <v>31773</v>
      </c>
      <c r="H38" s="89">
        <f t="shared" si="21"/>
        <v>29258</v>
      </c>
      <c r="I38" s="779">
        <f t="shared" si="21"/>
        <v>30290</v>
      </c>
      <c r="J38" s="101">
        <f>DCF!H17</f>
        <v>31804.5</v>
      </c>
      <c r="K38" s="101">
        <f>DCF!I17</f>
        <v>34030.815000000002</v>
      </c>
      <c r="L38" s="101">
        <f>DCF!J17</f>
        <v>36412.972050000004</v>
      </c>
      <c r="M38" s="101">
        <f>DCF!K17</f>
        <v>38961.880093500004</v>
      </c>
      <c r="N38" s="101">
        <f>DCF!L17</f>
        <v>41689.211700045009</v>
      </c>
      <c r="O38" s="101">
        <f>DCF!M17</f>
        <v>44607.456519048159</v>
      </c>
      <c r="P38" s="101">
        <f>DCF!N17</f>
        <v>46391.754779810086</v>
      </c>
      <c r="Q38" s="101">
        <f>DCF!O17</f>
        <v>48247.424971002489</v>
      </c>
      <c r="R38" s="101">
        <f>DCF!P17</f>
        <v>50177.321969842589</v>
      </c>
      <c r="S38" s="101">
        <f>DCF!Q17</f>
        <v>52184.414848636297</v>
      </c>
      <c r="T38" s="792"/>
    </row>
    <row r="39" spans="2:20" ht="16.5" customHeight="1">
      <c r="B39" t="str">
        <f>B16</f>
        <v>DCAI</v>
      </c>
      <c r="D39" s="61">
        <f>IFERROR(I39/$I$11,"")</f>
        <v>0.24137021901659103</v>
      </c>
      <c r="E39" s="89">
        <f>E16</f>
        <v>23413</v>
      </c>
      <c r="F39" s="89">
        <f t="shared" ref="F39:I39" si="22">F16</f>
        <v>22691</v>
      </c>
      <c r="G39" s="89">
        <f t="shared" si="22"/>
        <v>16856</v>
      </c>
      <c r="H39" s="89">
        <f t="shared" si="22"/>
        <v>12635</v>
      </c>
      <c r="I39" s="779">
        <f t="shared" si="22"/>
        <v>12817</v>
      </c>
      <c r="J39" s="101">
        <f>DCF!H20</f>
        <v>11535.300000000001</v>
      </c>
      <c r="K39" s="101">
        <f>DCF!I20</f>
        <v>10958.535</v>
      </c>
      <c r="L39" s="101">
        <f>DCF!J20</f>
        <v>10410.608249999999</v>
      </c>
      <c r="M39" s="101">
        <f>DCF!K20</f>
        <v>9890.0778374999991</v>
      </c>
      <c r="N39" s="101">
        <f>DCF!L20</f>
        <v>9395.5739456249994</v>
      </c>
      <c r="O39" s="101">
        <f>DCF!M20</f>
        <v>9583.4854245374991</v>
      </c>
      <c r="P39" s="101">
        <f>DCF!N20</f>
        <v>9775.1551330282491</v>
      </c>
      <c r="Q39" s="101">
        <f>DCF!O20</f>
        <v>9970.6582356888139</v>
      </c>
      <c r="R39" s="101">
        <f>DCF!P20</f>
        <v>10170.07140040259</v>
      </c>
      <c r="S39" s="101">
        <f>DCF!Q20</f>
        <v>10373.472828410642</v>
      </c>
      <c r="T39" s="792"/>
    </row>
    <row r="40" spans="2:20" hidden="1">
      <c r="D40" s="61"/>
      <c r="E40" s="102"/>
      <c r="F40" s="102"/>
      <c r="G40" s="102"/>
      <c r="H40" s="102"/>
      <c r="I40" s="780"/>
      <c r="J40" s="104"/>
      <c r="K40" s="104"/>
      <c r="L40" s="104"/>
      <c r="M40" s="104"/>
      <c r="N40" s="104"/>
      <c r="O40" s="104"/>
      <c r="P40" s="104"/>
      <c r="Q40" s="104"/>
      <c r="R40" s="104"/>
      <c r="S40" s="104"/>
      <c r="T40" s="102"/>
    </row>
    <row r="41" spans="2:20">
      <c r="B41" t="s">
        <v>119</v>
      </c>
      <c r="D41" s="61">
        <f>IFERROR(I41/$I$11,"")</f>
        <v>0.11001676051298469</v>
      </c>
      <c r="E41" s="89">
        <f>E17</f>
        <v>7132</v>
      </c>
      <c r="F41" s="89">
        <f t="shared" ref="F41:I41" si="23">F17</f>
        <v>7976</v>
      </c>
      <c r="G41" s="89">
        <f t="shared" si="23"/>
        <v>8409</v>
      </c>
      <c r="H41" s="89">
        <f t="shared" si="23"/>
        <v>5774</v>
      </c>
      <c r="I41" s="779">
        <f t="shared" si="23"/>
        <v>5842</v>
      </c>
      <c r="J41" s="101">
        <f>DCF!H23</f>
        <v>5900.42</v>
      </c>
      <c r="K41" s="101">
        <f>DCF!I23</f>
        <v>6018.4283999999998</v>
      </c>
      <c r="L41" s="101">
        <f>DCF!J23</f>
        <v>6138.7969679999997</v>
      </c>
      <c r="M41" s="101">
        <f>DCF!K23</f>
        <v>6261.5729073599996</v>
      </c>
      <c r="N41" s="101">
        <f>DCF!L23</f>
        <v>6386.8043655071997</v>
      </c>
      <c r="O41" s="101">
        <f>DCF!M23</f>
        <v>6514.540452817344</v>
      </c>
      <c r="P41" s="101">
        <f>DCF!N23</f>
        <v>6644.8312618736909</v>
      </c>
      <c r="Q41" s="101">
        <f>DCF!O23</f>
        <v>6777.7278871111648</v>
      </c>
      <c r="R41" s="101">
        <f>DCF!P23</f>
        <v>6913.2824448533884</v>
      </c>
      <c r="S41" s="101">
        <f>DCF!Q23</f>
        <v>7051.5480937504562</v>
      </c>
      <c r="T41" s="792"/>
    </row>
    <row r="42" spans="2:20">
      <c r="D42" s="61"/>
      <c r="E42" s="89"/>
      <c r="F42" s="89"/>
      <c r="G42" s="89"/>
      <c r="H42" s="89"/>
      <c r="I42" s="779"/>
      <c r="J42" s="101"/>
      <c r="K42" s="101"/>
      <c r="L42" s="101"/>
      <c r="M42" s="101"/>
      <c r="N42" s="101"/>
      <c r="O42" s="101"/>
      <c r="P42" s="101"/>
      <c r="Q42" s="101"/>
      <c r="R42" s="101"/>
      <c r="S42" s="101"/>
      <c r="T42" s="792"/>
    </row>
    <row r="43" spans="2:20">
      <c r="D43" s="61"/>
      <c r="E43" s="89"/>
      <c r="F43" s="89"/>
      <c r="G43" s="89"/>
      <c r="H43" s="89"/>
      <c r="I43" s="779"/>
      <c r="J43" s="101"/>
      <c r="K43" s="101"/>
      <c r="L43" s="101"/>
      <c r="M43" s="101"/>
      <c r="N43" s="101"/>
      <c r="O43" s="101"/>
      <c r="P43" s="101"/>
      <c r="Q43" s="101"/>
      <c r="R43" s="101"/>
      <c r="S43" s="101"/>
      <c r="T43" s="792"/>
    </row>
    <row r="44" spans="2:20">
      <c r="B44" s="759"/>
      <c r="D44" s="61"/>
      <c r="E44" s="89"/>
      <c r="F44" s="89"/>
      <c r="G44" s="89"/>
      <c r="H44" s="89"/>
      <c r="I44" s="779"/>
      <c r="J44" s="101"/>
      <c r="K44" s="101"/>
      <c r="L44" s="101"/>
      <c r="M44" s="101"/>
      <c r="N44" s="101"/>
      <c r="O44" s="101"/>
      <c r="P44" s="101"/>
      <c r="Q44" s="101"/>
      <c r="R44" s="101"/>
      <c r="S44" s="101"/>
      <c r="T44" s="792"/>
    </row>
    <row r="45" spans="2:20" hidden="1">
      <c r="D45" s="61"/>
      <c r="E45" s="102"/>
      <c r="F45" s="61">
        <f>IFERROR((F41-E41)/E41,"")</f>
        <v>0.11833987661245092</v>
      </c>
      <c r="G45" s="61">
        <f>IFERROR((G41-F41)/F41,"")</f>
        <v>5.4287863590772319E-2</v>
      </c>
      <c r="H45" s="61">
        <f>IFERROR((H41-G41)/G41,"")</f>
        <v>-0.31335473897015104</v>
      </c>
      <c r="I45" s="105">
        <f>IFERROR((I41-H41)/H41,"")</f>
        <v>1.1776931070315206E-2</v>
      </c>
      <c r="J45" s="104"/>
      <c r="K45" s="104"/>
      <c r="L45" s="104"/>
      <c r="M45" s="104"/>
      <c r="N45" s="104"/>
      <c r="O45" s="104"/>
      <c r="P45" s="104"/>
      <c r="Q45" s="104"/>
      <c r="R45" s="104"/>
      <c r="S45" s="104"/>
      <c r="T45" s="102"/>
    </row>
    <row r="46" spans="2:20" hidden="1">
      <c r="B46" t="s">
        <v>135</v>
      </c>
      <c r="D46" s="61">
        <f>IFERROR(I46/$I$11,"")</f>
        <v>0</v>
      </c>
      <c r="E46" s="89"/>
      <c r="F46" s="89"/>
      <c r="G46" s="89"/>
      <c r="H46" s="89"/>
      <c r="I46" s="106"/>
      <c r="J46" s="101">
        <f>I46*(1+J47)</f>
        <v>0</v>
      </c>
      <c r="K46" s="101">
        <f t="shared" ref="K46:S46" si="24">J46*(1+K47)</f>
        <v>0</v>
      </c>
      <c r="L46" s="101">
        <f t="shared" si="24"/>
        <v>0</v>
      </c>
      <c r="M46" s="101">
        <f t="shared" si="24"/>
        <v>0</v>
      </c>
      <c r="N46" s="101">
        <f t="shared" si="24"/>
        <v>0</v>
      </c>
      <c r="O46" s="101">
        <f t="shared" si="24"/>
        <v>0</v>
      </c>
      <c r="P46" s="101">
        <f t="shared" si="24"/>
        <v>0</v>
      </c>
      <c r="Q46" s="101">
        <f t="shared" si="24"/>
        <v>0</v>
      </c>
      <c r="R46" s="101">
        <f t="shared" si="24"/>
        <v>0</v>
      </c>
      <c r="S46" s="101">
        <f t="shared" si="24"/>
        <v>0</v>
      </c>
      <c r="T46" s="792"/>
    </row>
    <row r="47" spans="2:20" hidden="1">
      <c r="D47" s="61"/>
      <c r="E47" s="102"/>
      <c r="F47" s="102" t="str">
        <f>IFERROR(F46-E46/E46,"")</f>
        <v/>
      </c>
      <c r="G47" s="102" t="str">
        <f t="shared" ref="G47:I47" si="25">IFERROR(G46-F46/F46,"")</f>
        <v/>
      </c>
      <c r="H47" s="102" t="str">
        <f t="shared" si="25"/>
        <v/>
      </c>
      <c r="I47" s="103" t="str">
        <f t="shared" si="25"/>
        <v/>
      </c>
      <c r="J47" s="104"/>
      <c r="K47" s="104"/>
      <c r="L47" s="104"/>
      <c r="M47" s="104"/>
      <c r="N47" s="104"/>
      <c r="O47" s="104"/>
      <c r="P47" s="104"/>
      <c r="Q47" s="104"/>
      <c r="R47" s="104"/>
      <c r="S47" s="104"/>
      <c r="T47" s="102"/>
    </row>
    <row r="48" spans="2:20" hidden="1">
      <c r="B48" t="s">
        <v>136</v>
      </c>
      <c r="D48" s="61">
        <f>IFERROR(I48/$I$11,"")</f>
        <v>0</v>
      </c>
      <c r="E48" s="89"/>
      <c r="F48" s="89"/>
      <c r="G48" s="89"/>
      <c r="H48" s="89"/>
      <c r="I48" s="106"/>
      <c r="J48" s="101">
        <f>I48*(1+J49)</f>
        <v>0</v>
      </c>
      <c r="K48" s="101">
        <f t="shared" ref="K48:S48" si="26">J48*(1+K49)</f>
        <v>0</v>
      </c>
      <c r="L48" s="101">
        <f t="shared" si="26"/>
        <v>0</v>
      </c>
      <c r="M48" s="101">
        <f t="shared" si="26"/>
        <v>0</v>
      </c>
      <c r="N48" s="101">
        <f t="shared" si="26"/>
        <v>0</v>
      </c>
      <c r="O48" s="101">
        <f t="shared" si="26"/>
        <v>0</v>
      </c>
      <c r="P48" s="101">
        <f t="shared" si="26"/>
        <v>0</v>
      </c>
      <c r="Q48" s="101">
        <f t="shared" si="26"/>
        <v>0</v>
      </c>
      <c r="R48" s="101">
        <f t="shared" si="26"/>
        <v>0</v>
      </c>
      <c r="S48" s="101">
        <f t="shared" si="26"/>
        <v>0</v>
      </c>
      <c r="T48" s="792"/>
    </row>
    <row r="49" spans="2:20" hidden="1">
      <c r="D49" s="61"/>
      <c r="E49" s="102"/>
      <c r="F49" s="102" t="str">
        <f>IFERROR(F48-E48/E48,"")</f>
        <v/>
      </c>
      <c r="G49" s="102" t="str">
        <f t="shared" ref="G49:I49" si="27">IFERROR(G48-F48/F48,"")</f>
        <v/>
      </c>
      <c r="H49" s="102" t="str">
        <f t="shared" si="27"/>
        <v/>
      </c>
      <c r="I49" s="103" t="str">
        <f t="shared" si="27"/>
        <v/>
      </c>
      <c r="J49" s="104"/>
      <c r="K49" s="104"/>
      <c r="L49" s="104"/>
      <c r="M49" s="104"/>
      <c r="N49" s="104"/>
      <c r="O49" s="104"/>
      <c r="P49" s="104"/>
      <c r="Q49" s="104"/>
      <c r="R49" s="104"/>
      <c r="S49" s="104"/>
      <c r="T49" s="102"/>
    </row>
    <row r="50" spans="2:20" hidden="1">
      <c r="B50" t="s">
        <v>137</v>
      </c>
      <c r="D50" s="61">
        <f>IFERROR(I50/$I$11,"")</f>
        <v>0</v>
      </c>
      <c r="E50" s="89"/>
      <c r="F50" s="89"/>
      <c r="G50" s="89"/>
      <c r="H50" s="89"/>
      <c r="I50" s="106"/>
      <c r="J50" s="101">
        <f>I50*(1+J51)</f>
        <v>0</v>
      </c>
      <c r="K50" s="101">
        <f t="shared" ref="K50:S50" si="28">J50*(1+K51)</f>
        <v>0</v>
      </c>
      <c r="L50" s="101">
        <f t="shared" si="28"/>
        <v>0</v>
      </c>
      <c r="M50" s="101">
        <f t="shared" si="28"/>
        <v>0</v>
      </c>
      <c r="N50" s="101">
        <f t="shared" si="28"/>
        <v>0</v>
      </c>
      <c r="O50" s="101">
        <f t="shared" si="28"/>
        <v>0</v>
      </c>
      <c r="P50" s="101">
        <f t="shared" si="28"/>
        <v>0</v>
      </c>
      <c r="Q50" s="101">
        <f t="shared" si="28"/>
        <v>0</v>
      </c>
      <c r="R50" s="101">
        <f t="shared" si="28"/>
        <v>0</v>
      </c>
      <c r="S50" s="101">
        <f t="shared" si="28"/>
        <v>0</v>
      </c>
      <c r="T50" s="792"/>
    </row>
    <row r="51" spans="2:20" hidden="1">
      <c r="D51" s="61"/>
      <c r="E51" s="102"/>
      <c r="F51" s="102" t="str">
        <f>IFERROR(F50-E50/E50,"")</f>
        <v/>
      </c>
      <c r="G51" s="102" t="str">
        <f t="shared" ref="G51:I51" si="29">IFERROR(G50-F50/F50,"")</f>
        <v/>
      </c>
      <c r="H51" s="102" t="str">
        <f t="shared" si="29"/>
        <v/>
      </c>
      <c r="I51" s="103" t="str">
        <f t="shared" si="29"/>
        <v/>
      </c>
      <c r="J51" s="104"/>
      <c r="K51" s="104"/>
      <c r="L51" s="104"/>
      <c r="M51" s="104"/>
      <c r="N51" s="104"/>
      <c r="O51" s="104"/>
      <c r="P51" s="104"/>
      <c r="Q51" s="104"/>
      <c r="R51" s="104"/>
      <c r="S51" s="104"/>
      <c r="T51" s="102"/>
    </row>
    <row r="52" spans="2:20">
      <c r="B52" s="1" t="s">
        <v>116</v>
      </c>
      <c r="D52" s="90">
        <f>SUM(D38:D50)</f>
        <v>0.92180938212086405</v>
      </c>
      <c r="E52" s="91">
        <f>SUM(E38:E50)</f>
        <v>71080</v>
      </c>
      <c r="F52" s="91">
        <f>SUM(F38:F50)</f>
        <v>71734.118339876615</v>
      </c>
      <c r="G52" s="91">
        <f t="shared" ref="G52:S52" si="30">SUM(G38:G50)</f>
        <v>57038.05428786359</v>
      </c>
      <c r="H52" s="91">
        <f t="shared" si="30"/>
        <v>47666.686645261027</v>
      </c>
      <c r="I52" s="107">
        <f t="shared" si="30"/>
        <v>48949.011776931067</v>
      </c>
      <c r="J52" s="91">
        <f t="shared" si="30"/>
        <v>49240.22</v>
      </c>
      <c r="K52" s="91">
        <f t="shared" si="30"/>
        <v>51007.778400000003</v>
      </c>
      <c r="L52" s="91">
        <f t="shared" si="30"/>
        <v>52962.377268000004</v>
      </c>
      <c r="M52" s="91">
        <f t="shared" si="30"/>
        <v>55113.530838360006</v>
      </c>
      <c r="N52" s="91">
        <f t="shared" si="30"/>
        <v>57471.590011177206</v>
      </c>
      <c r="O52" s="91">
        <f t="shared" si="30"/>
        <v>60705.482396403</v>
      </c>
      <c r="P52" s="91">
        <f t="shared" si="30"/>
        <v>62811.741174712028</v>
      </c>
      <c r="Q52" s="91">
        <f t="shared" si="30"/>
        <v>64995.811093802462</v>
      </c>
      <c r="R52" s="91">
        <f t="shared" si="30"/>
        <v>67260.67581509857</v>
      </c>
      <c r="S52" s="91">
        <f t="shared" si="30"/>
        <v>69609.435770797398</v>
      </c>
      <c r="T52" s="91"/>
    </row>
    <row r="53" spans="2:20" ht="8.1" customHeight="1"/>
    <row r="54" spans="2:20" ht="15.6">
      <c r="B54" s="65" t="s">
        <v>138</v>
      </c>
      <c r="C54" s="66"/>
      <c r="D54" s="65"/>
      <c r="E54" s="66"/>
      <c r="F54" s="66"/>
      <c r="G54" s="66"/>
      <c r="H54" s="66"/>
      <c r="I54" s="66"/>
      <c r="J54" s="94"/>
      <c r="K54" s="95"/>
      <c r="L54" s="95"/>
      <c r="M54" s="95"/>
      <c r="N54" s="95"/>
      <c r="O54" s="95"/>
    </row>
    <row r="55" spans="2:20" ht="3.95" customHeight="1">
      <c r="B55" s="67"/>
      <c r="C55" s="67"/>
      <c r="D55" s="67"/>
      <c r="E55" s="67"/>
      <c r="F55" s="67"/>
      <c r="G55" s="67"/>
      <c r="H55" s="67"/>
      <c r="I55" s="67"/>
      <c r="J55" s="96"/>
      <c r="K55" s="96"/>
      <c r="L55" s="96"/>
      <c r="M55" s="96"/>
      <c r="N55" s="96"/>
      <c r="O55" s="96"/>
    </row>
    <row r="56" spans="2:20" ht="39.950000000000003" customHeight="1">
      <c r="B56" s="817" t="s">
        <v>139</v>
      </c>
      <c r="C56" s="817"/>
      <c r="D56" s="817"/>
      <c r="E56" s="817"/>
      <c r="F56" s="817"/>
      <c r="G56" s="817"/>
      <c r="H56" s="817"/>
      <c r="I56" s="817"/>
      <c r="J56" s="817"/>
      <c r="K56" s="817"/>
      <c r="L56" s="817"/>
      <c r="M56" s="817"/>
      <c r="N56" s="817"/>
      <c r="O56" s="817"/>
    </row>
    <row r="57" spans="2:20" ht="39.950000000000003" customHeight="1">
      <c r="B57" s="817"/>
      <c r="C57" s="817"/>
      <c r="D57" s="817"/>
      <c r="E57" s="817"/>
      <c r="F57" s="817"/>
      <c r="G57" s="817"/>
      <c r="H57" s="817"/>
      <c r="I57" s="817"/>
      <c r="J57" s="817"/>
      <c r="K57" s="817"/>
      <c r="L57" s="817"/>
      <c r="M57" s="817"/>
      <c r="N57" s="817"/>
      <c r="O57" s="817"/>
    </row>
    <row r="58" spans="2:20" ht="39.950000000000003" customHeight="1">
      <c r="B58" s="817"/>
      <c r="C58" s="817"/>
      <c r="D58" s="817"/>
      <c r="E58" s="817"/>
      <c r="F58" s="817"/>
      <c r="G58" s="817"/>
      <c r="H58" s="817"/>
      <c r="I58" s="817"/>
      <c r="J58" s="817"/>
      <c r="K58" s="817"/>
      <c r="L58" s="817"/>
      <c r="M58" s="817"/>
      <c r="N58" s="817"/>
      <c r="O58" s="817"/>
    </row>
    <row r="59" spans="2:20" ht="39.950000000000003" customHeight="1">
      <c r="B59" s="817"/>
      <c r="C59" s="817"/>
      <c r="D59" s="817"/>
      <c r="E59" s="817"/>
      <c r="F59" s="817"/>
      <c r="G59" s="817"/>
      <c r="H59" s="817"/>
      <c r="I59" s="817"/>
      <c r="J59" s="817"/>
      <c r="K59" s="817"/>
      <c r="L59" s="817"/>
      <c r="M59" s="817"/>
      <c r="N59" s="817"/>
      <c r="O59" s="817"/>
    </row>
    <row r="60" spans="2:20" ht="39.950000000000003" customHeight="1">
      <c r="B60" s="817"/>
      <c r="C60" s="817"/>
      <c r="D60" s="817"/>
      <c r="E60" s="817"/>
      <c r="F60" s="817"/>
      <c r="G60" s="817"/>
      <c r="H60" s="817"/>
      <c r="I60" s="817"/>
      <c r="J60" s="817"/>
      <c r="K60" s="817"/>
      <c r="L60" s="817"/>
      <c r="M60" s="817"/>
      <c r="N60" s="817"/>
      <c r="O60" s="817"/>
    </row>
    <row r="61" spans="2:20">
      <c r="B61" s="817"/>
      <c r="C61" s="817"/>
      <c r="D61" s="817"/>
      <c r="E61" s="817"/>
      <c r="F61" s="817"/>
      <c r="G61" s="817"/>
      <c r="H61" s="817"/>
      <c r="I61" s="817"/>
      <c r="J61" s="817"/>
      <c r="K61" s="817"/>
      <c r="L61" s="817"/>
      <c r="M61" s="817"/>
      <c r="N61" s="817"/>
      <c r="O61" s="817"/>
    </row>
    <row r="62" spans="2:20">
      <c r="B62" s="817"/>
      <c r="C62" s="817"/>
      <c r="D62" s="817"/>
      <c r="E62" s="817"/>
      <c r="F62" s="817"/>
      <c r="G62" s="817"/>
      <c r="H62" s="817"/>
      <c r="I62" s="817"/>
      <c r="J62" s="817"/>
      <c r="K62" s="817"/>
      <c r="L62" s="817"/>
      <c r="M62" s="817"/>
      <c r="N62" s="817"/>
      <c r="O62" s="817"/>
    </row>
    <row r="63" spans="2:20" ht="14.1" customHeight="1">
      <c r="B63" s="817"/>
      <c r="C63" s="817"/>
      <c r="D63" s="817"/>
      <c r="E63" s="817"/>
      <c r="F63" s="817"/>
      <c r="G63" s="817"/>
      <c r="H63" s="817"/>
      <c r="I63" s="817"/>
      <c r="J63" s="817"/>
      <c r="K63" s="817"/>
      <c r="L63" s="817"/>
      <c r="M63" s="817"/>
      <c r="N63" s="817"/>
      <c r="O63" s="817"/>
    </row>
  </sheetData>
  <mergeCells count="15">
    <mergeCell ref="D32:I32"/>
    <mergeCell ref="B56:O63"/>
    <mergeCell ref="B26:C26"/>
    <mergeCell ref="D26:I26"/>
    <mergeCell ref="B27:C27"/>
    <mergeCell ref="D27:I27"/>
    <mergeCell ref="B28:C28"/>
    <mergeCell ref="D28:I28"/>
    <mergeCell ref="B33:C33"/>
    <mergeCell ref="D33:I33"/>
    <mergeCell ref="B34:C34"/>
    <mergeCell ref="D34:I34"/>
    <mergeCell ref="D29:I29"/>
    <mergeCell ref="D30:I30"/>
    <mergeCell ref="D31:I31"/>
  </mergeCells>
  <conditionalFormatting sqref="D6:D10">
    <cfRule type="dataBar" priority="99">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5:D21">
    <cfRule type="dataBar" priority="4">
      <dataBar>
        <cfvo type="min"/>
        <cfvo type="max"/>
        <color rgb="FF63C384"/>
      </dataBar>
      <extLst>
        <ext xmlns:x14="http://schemas.microsoft.com/office/spreadsheetml/2009/9/main" uri="{B025F937-C7B1-47D3-B67F-A62EFF666E3E}">
          <x14:id>{04B6A2F1-BC24-4574-A417-F3A10D0855AC}</x14:id>
        </ext>
      </extLst>
    </cfRule>
  </conditionalFormatting>
  <conditionalFormatting sqref="D38:D51">
    <cfRule type="dataBar" priority="122">
      <dataBar>
        <cfvo type="min"/>
        <cfvo type="max"/>
        <color rgb="FF63C384"/>
      </dataBar>
      <extLst>
        <ext xmlns:x14="http://schemas.microsoft.com/office/spreadsheetml/2009/9/main" uri="{B025F937-C7B1-47D3-B67F-A62EFF666E3E}">
          <x14:id>{8289347D-B214-462A-80A7-26906AF72159}</x14:id>
        </ext>
      </extLst>
    </cfRule>
  </conditionalFormatting>
  <conditionalFormatting sqref="K15:K22">
    <cfRule type="dataBar" priority="9">
      <dataBar>
        <cfvo type="min"/>
        <cfvo type="max"/>
        <color rgb="FF63C384"/>
      </dataBar>
      <extLst>
        <ext xmlns:x14="http://schemas.microsoft.com/office/spreadsheetml/2009/9/main" uri="{B025F937-C7B1-47D3-B67F-A62EFF666E3E}">
          <x14:id>{EBD56D69-4BB4-43B8-8D45-285F41F83244}</x14:id>
        </ext>
      </extLst>
    </cfRule>
  </conditionalFormatting>
  <conditionalFormatting sqref="K6:L9">
    <cfRule type="dataBar" priority="1">
      <dataBar>
        <cfvo type="min"/>
        <cfvo type="max"/>
        <color rgb="FF63C384"/>
      </dataBar>
      <extLst>
        <ext xmlns:x14="http://schemas.microsoft.com/office/spreadsheetml/2009/9/main" uri="{B025F937-C7B1-47D3-B67F-A62EFF666E3E}">
          <x14:id>{1C4306DA-C99A-4D16-8487-B5EAB662821D}</x14:id>
        </ext>
      </extLst>
    </cfRule>
  </conditionalFormatting>
  <conditionalFormatting sqref="L15:L22">
    <cfRule type="dataBar" priority="8">
      <dataBar>
        <cfvo type="min"/>
        <cfvo type="max"/>
        <color rgb="FF63C384"/>
      </dataBar>
      <extLst>
        <ext xmlns:x14="http://schemas.microsoft.com/office/spreadsheetml/2009/9/main" uri="{B025F937-C7B1-47D3-B67F-A62EFF666E3E}">
          <x14:id>{CBC3D9D6-25C9-4EE9-9328-845D69C85A0B}</x14:id>
        </ext>
      </extLst>
    </cfRule>
  </conditionalFormatting>
  <conditionalFormatting sqref="M6:M9 M11 K10:M10">
    <cfRule type="dataBar" priority="102">
      <dataBar>
        <cfvo type="min"/>
        <cfvo type="max"/>
        <color rgb="FF63C384"/>
      </dataBar>
      <extLst>
        <ext xmlns:x14="http://schemas.microsoft.com/office/spreadsheetml/2009/9/main" uri="{B025F937-C7B1-47D3-B67F-A62EFF666E3E}">
          <x14:id>{D8B7E103-81F7-41F8-94AC-C650C523BD2C}</x14:id>
        </ext>
      </extLst>
    </cfRule>
  </conditionalFormatting>
  <conditionalFormatting sqref="M15:M22">
    <cfRule type="dataBar" priority="7">
      <dataBar>
        <cfvo type="min"/>
        <cfvo type="max"/>
        <color rgb="FF63C384"/>
      </dataBar>
      <extLst>
        <ext xmlns:x14="http://schemas.microsoft.com/office/spreadsheetml/2009/9/main" uri="{B025F937-C7B1-47D3-B67F-A62EFF666E3E}">
          <x14:id>{D528D03B-A05A-4D8D-A011-E8F8CB54BAEC}</x14:id>
        </ext>
      </extLst>
    </cfRule>
  </conditionalFormatting>
  <conditionalFormatting sqref="N6:N11">
    <cfRule type="dataBar" priority="104">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5:N22">
    <cfRule type="dataBar" priority="6">
      <dataBar>
        <cfvo type="min"/>
        <cfvo type="max"/>
        <color rgb="FF63C384"/>
      </dataBar>
      <extLst>
        <ext xmlns:x14="http://schemas.microsoft.com/office/spreadsheetml/2009/9/main" uri="{B025F937-C7B1-47D3-B67F-A62EFF666E3E}">
          <x14:id>{7B3C7607-6293-4B76-B5C4-D8046AB98ECC}</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D6:D10</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D15:D21</xm:sqref>
        </x14:conditionalFormatting>
        <x14:conditionalFormatting xmlns:xm="http://schemas.microsoft.com/office/excel/2006/main">
          <x14:cfRule type="dataBar" id="{8289347D-B214-462A-80A7-26906AF72159}">
            <x14:dataBar minLength="0" maxLength="100" gradient="0">
              <x14:cfvo type="autoMin"/>
              <x14:cfvo type="autoMax"/>
              <x14:negativeFillColor rgb="FFFF0000"/>
              <x14:axisColor rgb="FF000000"/>
            </x14:dataBar>
          </x14:cfRule>
          <xm:sqref>D38:D51</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K15:K22</xm:sqref>
        </x14:conditionalFormatting>
        <x14:conditionalFormatting xmlns:xm="http://schemas.microsoft.com/office/excel/2006/main">
          <x14:cfRule type="dataBar" id="{1C4306DA-C99A-4D16-8487-B5EAB662821D}">
            <x14:dataBar minLength="0" maxLength="100" gradient="0">
              <x14:cfvo type="autoMin"/>
              <x14:cfvo type="autoMax"/>
              <x14:negativeFillColor rgb="FFFF0000"/>
              <x14:axisColor rgb="FF000000"/>
            </x14:dataBar>
          </x14:cfRule>
          <xm:sqref>K6:L9</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L15:L22</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M6:M9 M11 K10:M10</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M15:M22</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N6:N11</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N15:N22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Segments!E35:I35</xm:f>
              <xm:sqref>D35</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2:S73"/>
  <sheetViews>
    <sheetView showGridLines="0" tabSelected="1" topLeftCell="A22" zoomScale="50" zoomScaleNormal="78" workbookViewId="0">
      <selection activeCell="Q9" sqref="Q9"/>
    </sheetView>
  </sheetViews>
  <sheetFormatPr defaultRowHeight="14.1"/>
  <cols>
    <col min="1" max="1" width="2.375" customWidth="1"/>
    <col min="2" max="2" width="22" customWidth="1"/>
    <col min="4" max="4" width="11" customWidth="1"/>
    <col min="5" max="5" width="13.125" customWidth="1"/>
    <col min="6" max="16" width="12.625" customWidth="1"/>
    <col min="17" max="17" width="21.625" style="6" customWidth="1"/>
    <col min="18" max="18" width="25.125" customWidth="1"/>
    <col min="19" max="32" width="12.625" customWidth="1"/>
  </cols>
  <sheetData>
    <row r="2" spans="2:19" s="37" customFormat="1" ht="20.100000000000001" customHeight="1">
      <c r="B2" s="36" t="s">
        <v>140</v>
      </c>
      <c r="Q2" s="38"/>
    </row>
    <row r="4" spans="2:19" ht="15.6">
      <c r="B4" s="48" t="s">
        <v>141</v>
      </c>
      <c r="C4" s="52"/>
      <c r="D4" s="52"/>
      <c r="E4" s="48" t="s">
        <v>110</v>
      </c>
      <c r="F4" s="53">
        <v>2025</v>
      </c>
      <c r="G4" s="53">
        <f>+F4+1</f>
        <v>2026</v>
      </c>
      <c r="H4" s="53">
        <f>+G4+1</f>
        <v>2027</v>
      </c>
      <c r="I4" s="53">
        <f t="shared" ref="I4:P4" si="0">+H4+1</f>
        <v>2028</v>
      </c>
      <c r="J4" s="53">
        <f t="shared" si="0"/>
        <v>2029</v>
      </c>
      <c r="K4" s="53">
        <f t="shared" si="0"/>
        <v>2030</v>
      </c>
      <c r="L4" s="53">
        <f t="shared" si="0"/>
        <v>2031</v>
      </c>
      <c r="M4" s="53">
        <f t="shared" si="0"/>
        <v>2032</v>
      </c>
      <c r="N4" s="53">
        <f t="shared" si="0"/>
        <v>2033</v>
      </c>
      <c r="O4" s="53">
        <f t="shared" si="0"/>
        <v>2034</v>
      </c>
      <c r="P4" s="53">
        <f t="shared" si="0"/>
        <v>2035</v>
      </c>
      <c r="Q4" s="54" t="str">
        <f>"CAGR "&amp;$F$4&amp;" - "&amp;$P$4</f>
        <v>CAGR 2025 - 2035</v>
      </c>
      <c r="R4" s="55" t="s">
        <v>142</v>
      </c>
    </row>
    <row r="5" spans="2:19" ht="3.95" customHeight="1">
      <c r="B5" s="49"/>
      <c r="C5" s="49"/>
      <c r="D5" s="49"/>
      <c r="E5" s="49"/>
      <c r="F5" s="49"/>
      <c r="G5" s="49"/>
      <c r="H5" s="49"/>
      <c r="I5" s="49"/>
      <c r="J5" s="49"/>
      <c r="K5" s="49"/>
      <c r="L5" s="49"/>
      <c r="M5" s="49"/>
      <c r="N5" s="49"/>
      <c r="O5" s="49"/>
      <c r="P5" s="49"/>
      <c r="Q5" s="56"/>
      <c r="R5" s="56"/>
    </row>
    <row r="6" spans="2:19" ht="14.45">
      <c r="B6" t="str">
        <f>Segments!B15</f>
        <v>CCG</v>
      </c>
      <c r="D6" s="57"/>
      <c r="E6" s="58"/>
      <c r="F6" s="649"/>
      <c r="G6" s="649"/>
      <c r="H6" s="649"/>
      <c r="I6" s="649"/>
      <c r="J6" s="649"/>
      <c r="K6" s="649"/>
      <c r="L6" s="649"/>
      <c r="M6" s="649"/>
      <c r="N6" s="649"/>
      <c r="O6" s="649"/>
      <c r="P6" s="649"/>
      <c r="Q6" s="60">
        <v>4.4999999999999998E-2</v>
      </c>
      <c r="R6" s="800" t="s">
        <v>143</v>
      </c>
      <c r="S6" s="801" t="s">
        <v>144</v>
      </c>
    </row>
    <row r="7" spans="2:19" ht="14.45">
      <c r="B7" t="str">
        <f>Segments!B16</f>
        <v>DCAI</v>
      </c>
      <c r="D7" s="57"/>
      <c r="E7" s="58"/>
      <c r="F7" s="649"/>
      <c r="G7" s="649"/>
      <c r="H7" s="649"/>
      <c r="I7" s="649"/>
      <c r="J7" s="649"/>
      <c r="K7" s="649"/>
      <c r="L7" s="649"/>
      <c r="M7" s="649"/>
      <c r="N7" s="649"/>
      <c r="O7" s="649"/>
      <c r="P7" s="649"/>
      <c r="Q7" s="60">
        <v>0.14000000000000001</v>
      </c>
      <c r="R7" s="800" t="s">
        <v>145</v>
      </c>
      <c r="S7" s="801" t="s">
        <v>146</v>
      </c>
    </row>
    <row r="8" spans="2:19">
      <c r="B8" t="str">
        <f>Segments!B17</f>
        <v>NEX</v>
      </c>
      <c r="D8" s="57"/>
      <c r="E8" s="58"/>
      <c r="F8" s="649"/>
      <c r="G8" s="649"/>
      <c r="H8" s="649"/>
      <c r="I8" s="649"/>
      <c r="J8" s="649"/>
      <c r="K8" s="649"/>
      <c r="L8" s="649"/>
      <c r="M8" s="649"/>
      <c r="N8" s="649"/>
      <c r="O8" s="649"/>
      <c r="P8" s="649"/>
      <c r="Q8" s="60">
        <v>0.23630000000000001</v>
      </c>
      <c r="R8" s="61" t="str">
        <f>R6</f>
        <v>Market Research Future</v>
      </c>
      <c r="S8" s="801" t="s">
        <v>147</v>
      </c>
    </row>
    <row r="9" spans="2:19">
      <c r="D9" s="57"/>
      <c r="E9" s="58"/>
      <c r="F9" s="649"/>
      <c r="G9" s="649"/>
      <c r="H9" s="649"/>
      <c r="I9" s="649"/>
      <c r="J9" s="649"/>
      <c r="K9" s="649"/>
      <c r="L9" s="649"/>
      <c r="M9" s="649"/>
      <c r="N9" s="649"/>
      <c r="O9" s="649"/>
      <c r="P9" s="649"/>
      <c r="Q9" s="60"/>
      <c r="R9" s="61"/>
    </row>
    <row r="10" spans="2:19">
      <c r="D10" s="57"/>
      <c r="E10" s="58"/>
      <c r="F10" s="59"/>
      <c r="G10" s="59"/>
      <c r="H10" s="59"/>
      <c r="I10" s="59"/>
      <c r="J10" s="59"/>
      <c r="K10" s="59"/>
      <c r="L10" s="59"/>
      <c r="M10" s="59"/>
      <c r="N10" s="59"/>
      <c r="O10" s="59"/>
      <c r="P10" s="59"/>
      <c r="Q10" s="60"/>
      <c r="R10" s="61"/>
    </row>
    <row r="11" spans="2:19">
      <c r="B11" s="1" t="s">
        <v>148</v>
      </c>
      <c r="E11" s="62">
        <f>SUM(E6:E10)</f>
        <v>0</v>
      </c>
      <c r="F11" s="62">
        <f t="shared" ref="F11:P11" si="1">SUMPRODUCT(F6:F10,$E$6:$E$10)</f>
        <v>0</v>
      </c>
      <c r="G11" s="62">
        <f t="shared" si="1"/>
        <v>0</v>
      </c>
      <c r="H11" s="62">
        <f t="shared" si="1"/>
        <v>0</v>
      </c>
      <c r="I11" s="62">
        <f t="shared" si="1"/>
        <v>0</v>
      </c>
      <c r="J11" s="62">
        <f t="shared" si="1"/>
        <v>0</v>
      </c>
      <c r="K11" s="62">
        <f t="shared" si="1"/>
        <v>0</v>
      </c>
      <c r="L11" s="62">
        <f t="shared" si="1"/>
        <v>0</v>
      </c>
      <c r="M11" s="62">
        <f t="shared" si="1"/>
        <v>0</v>
      </c>
      <c r="N11" s="62">
        <f t="shared" si="1"/>
        <v>0</v>
      </c>
      <c r="O11" s="62">
        <f t="shared" si="1"/>
        <v>0</v>
      </c>
      <c r="P11" s="62">
        <f t="shared" si="1"/>
        <v>0</v>
      </c>
      <c r="Q11" s="63">
        <f t="shared" ref="Q11" si="2">IFERROR(((1+F11)*(1+G11)*(1+H11)*(1+I11)*(1+J11)*(1+K11)*(1+L11)*(1+M11)*(1+N11)*(1+O11)*(1+P11))^(1/COUNT($F$4:$P$4))-1,"")</f>
        <v>0</v>
      </c>
      <c r="R11" s="64"/>
    </row>
    <row r="12" spans="2:19" ht="8.1" customHeight="1"/>
    <row r="13" spans="2:19" ht="15" customHeight="1">
      <c r="B13" s="65" t="s">
        <v>149</v>
      </c>
      <c r="C13" s="66"/>
      <c r="D13" s="66"/>
      <c r="E13" s="65" t="s">
        <v>125</v>
      </c>
      <c r="F13" s="66"/>
      <c r="G13" s="66"/>
      <c r="H13" s="66"/>
      <c r="I13" s="66"/>
      <c r="J13" s="66"/>
      <c r="K13" s="66"/>
      <c r="L13" s="66"/>
      <c r="M13" s="66"/>
      <c r="N13" s="66"/>
      <c r="O13" s="66"/>
      <c r="P13" s="66"/>
      <c r="Q13"/>
      <c r="R13" s="63"/>
    </row>
    <row r="14" spans="2:19" ht="3.95" customHeight="1">
      <c r="B14" s="67"/>
      <c r="C14" s="67"/>
      <c r="D14" s="67"/>
      <c r="E14" s="67"/>
      <c r="F14" s="67"/>
      <c r="G14" s="67"/>
      <c r="H14" s="67"/>
      <c r="I14" s="67"/>
      <c r="J14" s="67"/>
      <c r="K14" s="67"/>
      <c r="L14" s="67"/>
      <c r="M14" s="67"/>
      <c r="N14" s="67"/>
      <c r="O14" s="67"/>
      <c r="P14" s="67"/>
      <c r="Q14" s="63"/>
      <c r="R14" s="63"/>
    </row>
    <row r="15" spans="2:19" ht="39.950000000000003" customHeight="1">
      <c r="B15" s="826" t="s">
        <v>150</v>
      </c>
      <c r="C15" s="818"/>
      <c r="D15" s="68"/>
      <c r="E15" s="823" t="s">
        <v>151</v>
      </c>
      <c r="F15" s="824"/>
      <c r="G15" s="824"/>
      <c r="H15" s="824"/>
      <c r="I15" s="824"/>
      <c r="J15" s="824"/>
      <c r="K15" s="824"/>
      <c r="L15" s="824"/>
      <c r="M15" s="824"/>
      <c r="N15" s="824"/>
      <c r="O15" s="824"/>
      <c r="P15" s="824"/>
      <c r="Q15" s="63"/>
      <c r="R15" s="1"/>
    </row>
    <row r="16" spans="2:19" ht="39.950000000000003" customHeight="1">
      <c r="B16" s="826" t="s">
        <v>152</v>
      </c>
      <c r="C16" s="818"/>
      <c r="D16" s="68"/>
      <c r="E16" s="823" t="s">
        <v>153</v>
      </c>
      <c r="F16" s="824"/>
      <c r="G16" s="824"/>
      <c r="H16" s="824"/>
      <c r="I16" s="824"/>
      <c r="J16" s="824"/>
      <c r="K16" s="824"/>
      <c r="L16" s="824"/>
      <c r="M16" s="824"/>
      <c r="N16" s="824"/>
      <c r="O16" s="824"/>
      <c r="P16" s="824"/>
    </row>
    <row r="17" spans="2:16" ht="39.950000000000003" customHeight="1">
      <c r="B17" s="821" t="s">
        <v>154</v>
      </c>
      <c r="C17" s="822"/>
      <c r="D17" s="68"/>
      <c r="E17" s="823" t="s">
        <v>155</v>
      </c>
      <c r="F17" s="824"/>
      <c r="G17" s="824"/>
      <c r="H17" s="824"/>
      <c r="I17" s="824"/>
      <c r="J17" s="824"/>
      <c r="K17" s="824"/>
      <c r="L17" s="824"/>
      <c r="M17" s="824"/>
      <c r="N17" s="824"/>
      <c r="O17" s="824"/>
      <c r="P17" s="824"/>
    </row>
    <row r="18" spans="2:16" ht="39.950000000000003" customHeight="1">
      <c r="B18" s="821" t="s">
        <v>156</v>
      </c>
      <c r="C18" s="822"/>
      <c r="D18" s="68"/>
      <c r="E18" s="823" t="s">
        <v>157</v>
      </c>
      <c r="F18" s="824"/>
      <c r="G18" s="824"/>
      <c r="H18" s="824"/>
      <c r="I18" s="824"/>
      <c r="J18" s="824"/>
      <c r="K18" s="824"/>
      <c r="L18" s="824"/>
      <c r="M18" s="824"/>
      <c r="N18" s="824"/>
      <c r="O18" s="824"/>
      <c r="P18" s="824"/>
    </row>
    <row r="19" spans="2:16" ht="8.1" customHeight="1">
      <c r="F19" s="69"/>
      <c r="G19" s="69"/>
      <c r="H19" s="69"/>
      <c r="I19" s="69"/>
      <c r="J19" s="69"/>
      <c r="K19" s="69"/>
      <c r="L19" s="69"/>
      <c r="M19" s="69"/>
      <c r="N19" s="69"/>
      <c r="O19" s="69"/>
      <c r="P19" s="69"/>
    </row>
    <row r="20" spans="2:16" ht="15.6">
      <c r="B20" s="65" t="s">
        <v>158</v>
      </c>
      <c r="C20" s="66"/>
      <c r="D20" s="66"/>
      <c r="E20" s="65" t="s">
        <v>125</v>
      </c>
      <c r="F20" s="66"/>
      <c r="G20" s="66"/>
      <c r="H20" s="66"/>
      <c r="I20" s="66"/>
      <c r="J20" s="66"/>
      <c r="K20" s="66"/>
      <c r="L20" s="66"/>
      <c r="M20" s="66"/>
      <c r="N20" s="66"/>
      <c r="O20" s="66"/>
      <c r="P20" s="66"/>
    </row>
    <row r="21" spans="2:16" ht="3.95" customHeight="1">
      <c r="B21" s="67"/>
      <c r="C21" s="67"/>
      <c r="D21" s="67"/>
      <c r="E21" s="67"/>
      <c r="F21" s="67"/>
      <c r="G21" s="67"/>
      <c r="H21" s="67"/>
      <c r="I21" s="67"/>
      <c r="J21" s="67"/>
      <c r="K21" s="67"/>
      <c r="L21" s="67"/>
      <c r="M21" s="67"/>
      <c r="N21" s="67"/>
      <c r="O21" s="67"/>
      <c r="P21" s="67"/>
    </row>
    <row r="22" spans="2:16" ht="39.950000000000003" customHeight="1">
      <c r="B22" s="821" t="s">
        <v>159</v>
      </c>
      <c r="C22" s="822"/>
      <c r="D22" s="68"/>
      <c r="E22" s="823" t="s">
        <v>160</v>
      </c>
      <c r="F22" s="824"/>
      <c r="G22" s="824"/>
      <c r="H22" s="824"/>
      <c r="I22" s="824"/>
      <c r="J22" s="824"/>
      <c r="K22" s="824"/>
      <c r="L22" s="824"/>
      <c r="M22" s="824"/>
      <c r="N22" s="824"/>
      <c r="O22" s="824"/>
      <c r="P22" s="824"/>
    </row>
    <row r="23" spans="2:16" ht="39.950000000000003" customHeight="1">
      <c r="B23" s="821" t="s">
        <v>161</v>
      </c>
      <c r="C23" s="822"/>
      <c r="D23" s="68"/>
      <c r="E23" s="820" t="s">
        <v>162</v>
      </c>
      <c r="F23" s="820"/>
      <c r="G23" s="820"/>
      <c r="H23" s="820"/>
      <c r="I23" s="820"/>
      <c r="J23" s="820"/>
      <c r="K23" s="820"/>
      <c r="L23" s="820"/>
      <c r="M23" s="820"/>
      <c r="N23" s="820"/>
      <c r="O23" s="820"/>
      <c r="P23" s="820"/>
    </row>
    <row r="24" spans="2:16" ht="39.950000000000003" hidden="1" customHeight="1">
      <c r="B24" s="819"/>
      <c r="C24" s="819"/>
      <c r="D24" s="68"/>
      <c r="E24" s="820"/>
      <c r="F24" s="820"/>
      <c r="G24" s="820"/>
      <c r="H24" s="820"/>
      <c r="I24" s="820"/>
      <c r="J24" s="820"/>
      <c r="K24" s="820"/>
      <c r="L24" s="820"/>
      <c r="M24" s="820"/>
      <c r="N24" s="820"/>
      <c r="O24" s="820"/>
      <c r="P24" s="820"/>
    </row>
    <row r="25" spans="2:16" ht="8.1" customHeight="1">
      <c r="B25" s="819"/>
      <c r="C25" s="819"/>
      <c r="D25" s="68"/>
      <c r="E25" s="820"/>
      <c r="F25" s="820"/>
      <c r="G25" s="820"/>
      <c r="H25" s="820"/>
      <c r="I25" s="820"/>
      <c r="J25" s="820"/>
      <c r="K25" s="820"/>
      <c r="L25" s="820"/>
      <c r="M25" s="820"/>
      <c r="N25" s="820"/>
      <c r="O25" s="820"/>
      <c r="P25" s="820"/>
    </row>
    <row r="26" spans="2:16" ht="15.6">
      <c r="B26" s="48" t="s">
        <v>163</v>
      </c>
      <c r="C26" s="52"/>
      <c r="D26" s="52"/>
      <c r="E26" s="48" t="s">
        <v>164</v>
      </c>
      <c r="F26" s="48"/>
      <c r="G26" s="70" t="s">
        <v>165</v>
      </c>
      <c r="H26" s="71" t="s">
        <v>166</v>
      </c>
      <c r="I26" s="53" t="s">
        <v>163</v>
      </c>
      <c r="J26" s="53"/>
      <c r="K26" s="53"/>
      <c r="L26" s="53"/>
      <c r="M26" s="53"/>
      <c r="N26" s="53"/>
      <c r="O26" s="53"/>
      <c r="P26" s="53"/>
    </row>
    <row r="27" spans="2:16" ht="3.95" customHeight="1">
      <c r="B27" s="49"/>
      <c r="C27" s="49"/>
      <c r="D27" s="49"/>
      <c r="E27" s="49"/>
      <c r="F27" s="49"/>
      <c r="G27" s="49"/>
      <c r="H27" s="49"/>
      <c r="I27" s="49"/>
      <c r="J27" s="49"/>
      <c r="K27" s="49"/>
      <c r="L27" s="49"/>
      <c r="M27" s="49"/>
      <c r="N27" s="49"/>
      <c r="O27" s="49"/>
      <c r="P27" s="49"/>
    </row>
    <row r="28" spans="2:16">
      <c r="B28" s="72" t="str" cm="1">
        <f t="array" aca="1" ref="B28" ca="1">+_FV(DCF!R4,"Name")</f>
        <v>INTEL CORPORATION</v>
      </c>
      <c r="C28" s="72"/>
      <c r="D28" s="72"/>
      <c r="E28" s="781" t="s">
        <v>167</v>
      </c>
      <c r="F28" s="73"/>
      <c r="G28" s="74" cm="1">
        <f t="array" ref="G28:G38">TRANSPOSE(Peers!D97:N97)</f>
        <v>53101</v>
      </c>
      <c r="H28" s="72"/>
      <c r="I28" s="75">
        <f t="shared" ref="I28:I32" si="3">IFERROR(G28/$G$40,"")</f>
        <v>8.4708153205608816E-2</v>
      </c>
    </row>
    <row r="29" spans="2:16">
      <c r="B29" t="str" cm="1">
        <f t="array" aca="1" ref="B29" ca="1">+_FV(Peers!A8,"Name")</f>
        <v>NVIDIA CORPORATION</v>
      </c>
      <c r="E29" s="76" t="s">
        <v>167</v>
      </c>
      <c r="F29" s="76"/>
      <c r="G29" s="77">
        <v>130497</v>
      </c>
      <c r="I29" s="78">
        <f t="shared" si="3"/>
        <v>0.20817234833378531</v>
      </c>
    </row>
    <row r="30" spans="2:16">
      <c r="B30" t="str" cm="1">
        <f t="array" aca="1" ref="B30" ca="1">+_FV(Peers!A9,"Name")</f>
        <v>ADVANCED MICRO DEVICES, INC.</v>
      </c>
      <c r="E30" s="76" t="s">
        <v>167</v>
      </c>
      <c r="F30" s="76"/>
      <c r="G30" s="77">
        <v>25785</v>
      </c>
      <c r="I30" s="78">
        <f t="shared" si="3"/>
        <v>4.113293027262431E-2</v>
      </c>
    </row>
    <row r="31" spans="2:16">
      <c r="B31" t="str" cm="1">
        <f t="array" aca="1" ref="B31" ca="1">+_FV(Peers!A10,"Name")</f>
        <v>BROADCOM INC.</v>
      </c>
      <c r="E31" s="76" t="s">
        <v>167</v>
      </c>
      <c r="F31" s="76"/>
      <c r="G31" s="77">
        <v>51574</v>
      </c>
      <c r="I31" s="78">
        <f t="shared" si="3"/>
        <v>8.2272241453570913E-2</v>
      </c>
    </row>
    <row r="32" spans="2:16">
      <c r="B32" t="str" cm="1">
        <f t="array" aca="1" ref="B32" ca="1">+_FV(Peers!A11,"Name")</f>
        <v>ASML Holding NV</v>
      </c>
      <c r="E32" s="76" t="s">
        <v>168</v>
      </c>
      <c r="F32" s="76"/>
      <c r="G32" s="77">
        <v>30574</v>
      </c>
      <c r="I32" s="78">
        <f t="shared" si="3"/>
        <v>4.8772472761497598E-2</v>
      </c>
    </row>
    <row r="33" spans="2:16">
      <c r="E33" s="76"/>
      <c r="F33" s="76"/>
      <c r="G33" s="77">
        <v>0</v>
      </c>
      <c r="I33" s="78"/>
    </row>
    <row r="34" spans="2:16">
      <c r="E34" s="76"/>
      <c r="F34" s="76"/>
      <c r="G34" s="77">
        <v>0</v>
      </c>
      <c r="I34" s="78"/>
    </row>
    <row r="35" spans="2:16">
      <c r="E35" s="76"/>
      <c r="F35" s="76"/>
      <c r="G35" s="77">
        <v>0</v>
      </c>
      <c r="I35" s="78"/>
    </row>
    <row r="36" spans="2:16">
      <c r="E36" s="76"/>
      <c r="F36" s="76"/>
      <c r="G36" s="77">
        <v>0</v>
      </c>
      <c r="I36" s="78"/>
    </row>
    <row r="37" spans="2:16">
      <c r="E37" s="76"/>
      <c r="F37" s="76"/>
      <c r="G37" s="77">
        <v>0</v>
      </c>
      <c r="I37" s="79"/>
    </row>
    <row r="38" spans="2:16">
      <c r="E38" s="76"/>
      <c r="F38" s="76"/>
      <c r="G38" s="77">
        <v>0</v>
      </c>
      <c r="I38" s="79"/>
    </row>
    <row r="39" spans="2:16">
      <c r="B39" s="34" t="s">
        <v>169</v>
      </c>
      <c r="C39" s="34"/>
      <c r="D39" s="34"/>
      <c r="E39" s="80" t="s">
        <v>170</v>
      </c>
      <c r="F39" s="34"/>
      <c r="G39" s="81">
        <f>G40-SUM(G28:G38)</f>
        <v>335339</v>
      </c>
      <c r="H39" s="34"/>
      <c r="I39" s="82">
        <f t="shared" ref="I39" si="4">IFERROR(G39/$G$40,"")</f>
        <v>0.53494185397291305</v>
      </c>
    </row>
    <row r="40" spans="2:16">
      <c r="B40" s="1" t="s">
        <v>171</v>
      </c>
      <c r="E40" s="83" t="s">
        <v>170</v>
      </c>
      <c r="G40" s="77">
        <v>626870</v>
      </c>
      <c r="H40" s="778" t="s">
        <v>172</v>
      </c>
      <c r="I40" s="84">
        <v>1</v>
      </c>
    </row>
    <row r="41" spans="2:16" ht="8.1" customHeight="1"/>
    <row r="42" spans="2:16" ht="15.6">
      <c r="B42" s="48" t="s">
        <v>173</v>
      </c>
      <c r="C42" s="52"/>
      <c r="D42" s="48"/>
      <c r="E42" s="48" t="s">
        <v>174</v>
      </c>
      <c r="F42" s="53"/>
      <c r="G42" s="53"/>
      <c r="H42" s="825" t="s">
        <v>175</v>
      </c>
      <c r="I42" s="825"/>
      <c r="J42" s="53"/>
      <c r="K42" s="53"/>
      <c r="P42" s="85"/>
    </row>
    <row r="43" spans="2:16" ht="3.95" customHeight="1">
      <c r="B43" s="49"/>
      <c r="C43" s="49"/>
      <c r="D43" s="49"/>
      <c r="E43" s="49"/>
      <c r="F43" s="49"/>
      <c r="G43" s="49"/>
      <c r="H43" s="49"/>
      <c r="I43" s="49"/>
      <c r="J43" s="49"/>
      <c r="K43" s="49"/>
    </row>
    <row r="44" spans="2:16">
      <c r="B44" s="1" t="s">
        <v>176</v>
      </c>
      <c r="E44" s="397">
        <f>IFERROR(AVERAGE(E45:E50),"")</f>
        <v>2</v>
      </c>
    </row>
    <row r="45" spans="2:16" ht="16.5">
      <c r="B45" s="21" t="s">
        <v>177</v>
      </c>
      <c r="E45" s="87">
        <v>1</v>
      </c>
      <c r="N45" s="777"/>
    </row>
    <row r="46" spans="2:16">
      <c r="B46" s="21" t="s">
        <v>178</v>
      </c>
      <c r="E46" s="87">
        <v>2</v>
      </c>
    </row>
    <row r="47" spans="2:16">
      <c r="B47" s="21" t="s">
        <v>179</v>
      </c>
      <c r="E47" s="87">
        <v>1</v>
      </c>
    </row>
    <row r="48" spans="2:16">
      <c r="B48" s="21" t="s">
        <v>180</v>
      </c>
      <c r="E48" s="87">
        <v>2</v>
      </c>
    </row>
    <row r="49" spans="2:5">
      <c r="B49" s="21" t="s">
        <v>181</v>
      </c>
      <c r="E49" s="87">
        <v>4</v>
      </c>
    </row>
    <row r="50" spans="2:5">
      <c r="B50" s="21" t="s">
        <v>182</v>
      </c>
      <c r="E50" s="87">
        <v>2</v>
      </c>
    </row>
    <row r="51" spans="2:5">
      <c r="B51" s="1" t="s">
        <v>183</v>
      </c>
      <c r="E51" s="86">
        <f>IFERROR(AVERAGE(E52:E56),"")</f>
        <v>2.8</v>
      </c>
    </row>
    <row r="52" spans="2:5">
      <c r="B52" s="21" t="s">
        <v>184</v>
      </c>
      <c r="E52" s="87">
        <v>4</v>
      </c>
    </row>
    <row r="53" spans="2:5">
      <c r="B53" s="21" t="s">
        <v>185</v>
      </c>
      <c r="E53" s="87">
        <v>4</v>
      </c>
    </row>
    <row r="54" spans="2:5">
      <c r="B54" s="21" t="s">
        <v>186</v>
      </c>
      <c r="E54" s="87">
        <v>3</v>
      </c>
    </row>
    <row r="55" spans="2:5">
      <c r="B55" s="21" t="s">
        <v>187</v>
      </c>
      <c r="E55" s="87">
        <v>1</v>
      </c>
    </row>
    <row r="56" spans="2:5">
      <c r="B56" s="21" t="s">
        <v>188</v>
      </c>
      <c r="E56" s="87">
        <v>2</v>
      </c>
    </row>
    <row r="57" spans="2:5">
      <c r="B57" s="1" t="s">
        <v>189</v>
      </c>
      <c r="E57" s="86">
        <f>IFERROR(AVERAGE(E58:E62),"")</f>
        <v>3.4</v>
      </c>
    </row>
    <row r="58" spans="2:5">
      <c r="B58" s="21" t="s">
        <v>190</v>
      </c>
      <c r="E58" s="87">
        <v>3</v>
      </c>
    </row>
    <row r="59" spans="2:5">
      <c r="B59" s="21" t="s">
        <v>191</v>
      </c>
      <c r="E59" s="87">
        <v>4</v>
      </c>
    </row>
    <row r="60" spans="2:5">
      <c r="B60" s="21" t="s">
        <v>182</v>
      </c>
      <c r="E60" s="87">
        <v>3</v>
      </c>
    </row>
    <row r="61" spans="2:5">
      <c r="B61" s="21" t="s">
        <v>192</v>
      </c>
      <c r="E61" s="87">
        <v>3</v>
      </c>
    </row>
    <row r="62" spans="2:5">
      <c r="B62" s="21" t="s">
        <v>193</v>
      </c>
      <c r="E62" s="87">
        <v>4</v>
      </c>
    </row>
    <row r="63" spans="2:5">
      <c r="B63" s="1" t="s">
        <v>194</v>
      </c>
      <c r="E63" s="86">
        <f>IFERROR(AVERAGE(E64:E68),"")</f>
        <v>4.2</v>
      </c>
    </row>
    <row r="64" spans="2:5">
      <c r="B64" s="21" t="s">
        <v>195</v>
      </c>
      <c r="E64" s="87">
        <v>5</v>
      </c>
    </row>
    <row r="65" spans="2:5">
      <c r="B65" s="21" t="s">
        <v>196</v>
      </c>
      <c r="E65" s="87">
        <v>3</v>
      </c>
    </row>
    <row r="66" spans="2:5">
      <c r="B66" s="21" t="s">
        <v>197</v>
      </c>
      <c r="E66" s="87">
        <v>4</v>
      </c>
    </row>
    <row r="67" spans="2:5">
      <c r="B67" s="21" t="s">
        <v>198</v>
      </c>
      <c r="E67" s="87">
        <v>4</v>
      </c>
    </row>
    <row r="68" spans="2:5">
      <c r="B68" s="21" t="s">
        <v>199</v>
      </c>
      <c r="E68" s="87">
        <v>5</v>
      </c>
    </row>
    <row r="69" spans="2:5">
      <c r="B69" s="1" t="s">
        <v>200</v>
      </c>
      <c r="E69" s="86">
        <f>IFERROR(AVERAGE(E70:E74),"")</f>
        <v>3.5</v>
      </c>
    </row>
    <row r="70" spans="2:5">
      <c r="B70" s="21" t="s">
        <v>201</v>
      </c>
      <c r="E70" s="87">
        <v>4</v>
      </c>
    </row>
    <row r="71" spans="2:5">
      <c r="B71" s="21" t="s">
        <v>202</v>
      </c>
      <c r="E71" s="87">
        <v>3</v>
      </c>
    </row>
    <row r="72" spans="2:5">
      <c r="B72" s="21" t="s">
        <v>203</v>
      </c>
      <c r="E72" s="87">
        <v>3</v>
      </c>
    </row>
    <row r="73" spans="2:5">
      <c r="B73" s="21" t="s">
        <v>204</v>
      </c>
      <c r="E73" s="87">
        <v>4</v>
      </c>
    </row>
  </sheetData>
  <mergeCells count="17">
    <mergeCell ref="B18:C18"/>
    <mergeCell ref="E18:P18"/>
    <mergeCell ref="B15:C15"/>
    <mergeCell ref="E15:P15"/>
    <mergeCell ref="B16:C16"/>
    <mergeCell ref="E16:P16"/>
    <mergeCell ref="B17:C17"/>
    <mergeCell ref="E17:P17"/>
    <mergeCell ref="B22:C22"/>
    <mergeCell ref="E22:P22"/>
    <mergeCell ref="B23:C23"/>
    <mergeCell ref="E23:P23"/>
    <mergeCell ref="H42:I42"/>
    <mergeCell ref="B24:C24"/>
    <mergeCell ref="E24:P24"/>
    <mergeCell ref="B25:C25"/>
    <mergeCell ref="E25:P25"/>
  </mergeCells>
  <conditionalFormatting sqref="I28:I39">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Q6:Q10">
    <cfRule type="colorScale" priority="115">
      <colorScale>
        <cfvo type="min"/>
        <cfvo type="percentile" val="50"/>
        <cfvo type="max"/>
        <color rgb="FFF8696B"/>
        <color rgb="FFFFEB84"/>
        <color rgb="FF63BE7B"/>
      </colorScale>
    </cfRule>
    <cfRule type="colorScale" priority="116">
      <colorScale>
        <cfvo type="min"/>
        <cfvo type="percentile" val="50"/>
        <cfvo type="max"/>
        <color rgb="FFF8696B"/>
        <color rgb="FFFFEB84"/>
        <color rgb="FF63BE7B"/>
      </colorScale>
    </cfRule>
  </conditionalFormatting>
  <conditionalFormatting sqref="R6:R10">
    <cfRule type="dataBar" priority="117">
      <dataBar>
        <cfvo type="min"/>
        <cfvo type="max"/>
        <color rgb="FF63C384"/>
      </dataBar>
      <extLst>
        <ext xmlns:x14="http://schemas.microsoft.com/office/spreadsheetml/2009/9/main" uri="{B025F937-C7B1-47D3-B67F-A62EFF666E3E}">
          <x14:id>{18A4ABFB-8F60-489B-B3E5-6CD3614699D1}</x14:id>
        </ext>
      </extLst>
    </cfRule>
  </conditionalFormatting>
  <conditionalFormatting sqref="S6:S10">
    <cfRule type="dataBar" priority="118">
      <dataBar>
        <cfvo type="min"/>
        <cfvo type="max"/>
        <color rgb="FF63C384"/>
      </dataBar>
      <extLst>
        <ext xmlns:x14="http://schemas.microsoft.com/office/spreadsheetml/2009/9/main" uri="{B025F937-C7B1-47D3-B67F-A62EFF666E3E}">
          <x14:id>{7D4FC3D7-186A-46E0-AFA0-A4D2A7B32131}</x14:id>
        </ext>
      </extLst>
    </cfRule>
  </conditionalFormatting>
  <conditionalFormatting sqref="T6:T10">
    <cfRule type="dataBar" priority="119">
      <dataBar>
        <cfvo type="min"/>
        <cfvo type="max"/>
        <color rgb="FF63C384"/>
      </dataBar>
      <extLst>
        <ext xmlns:x14="http://schemas.microsoft.com/office/spreadsheetml/2009/9/main" uri="{B025F937-C7B1-47D3-B67F-A62EFF666E3E}">
          <x14:id>{A2AA1478-7F03-4C3E-A93E-071B3A585FDF}</x14:id>
        </ext>
      </extLst>
    </cfRule>
  </conditionalFormatting>
  <conditionalFormatting sqref="U6:U10">
    <cfRule type="dataBar" priority="120">
      <dataBar>
        <cfvo type="min"/>
        <cfvo type="max"/>
        <color rgb="FF63C384"/>
      </dataBar>
      <extLst>
        <ext xmlns:x14="http://schemas.microsoft.com/office/spreadsheetml/2009/9/main" uri="{B025F937-C7B1-47D3-B67F-A62EFF666E3E}">
          <x14:id>{CCBBEFF5-0753-47A4-B215-F44790A6C2E6}</x14:id>
        </ext>
      </extLst>
    </cfRule>
  </conditionalFormatting>
  <hyperlinks>
    <hyperlink ref="S6" r:id="rId1" xr:uid="{40A457C7-F5E1-43E3-989E-59686B79FDD6}"/>
    <hyperlink ref="S7" r:id="rId2" xr:uid="{A8E61688-3CF4-48A3-B35A-D53DC85A63E6}"/>
    <hyperlink ref="S8" r:id="rId3" xr:uid="{6399BED3-3B0A-4465-B089-090CF86C22B4}"/>
  </hyperlinks>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x14:cfRule type="dataBar" id="{18A4ABFB-8F60-489B-B3E5-6CD3614699D1}">
            <x14:dataBar minLength="0" maxLength="100" gradient="0">
              <x14:cfvo type="autoMin"/>
              <x14:cfvo type="autoMax"/>
              <x14:negativeFillColor rgb="FFFF0000"/>
              <x14:axisColor rgb="FF000000"/>
            </x14:dataBar>
          </x14:cfRule>
          <xm:sqref>R6:R10</xm:sqref>
        </x14:conditionalFormatting>
        <x14:conditionalFormatting xmlns:xm="http://schemas.microsoft.com/office/excel/2006/main">
          <x14:cfRule type="dataBar" id="{7D4FC3D7-186A-46E0-AFA0-A4D2A7B32131}">
            <x14:dataBar minLength="0" maxLength="100" gradient="0">
              <x14:cfvo type="autoMin"/>
              <x14:cfvo type="autoMax"/>
              <x14:negativeFillColor rgb="FFFF0000"/>
              <x14:axisColor rgb="FF000000"/>
            </x14:dataBar>
          </x14:cfRule>
          <xm:sqref>S6:S10</xm:sqref>
        </x14:conditionalFormatting>
        <x14:conditionalFormatting xmlns:xm="http://schemas.microsoft.com/office/excel/2006/main">
          <x14:cfRule type="dataBar" id="{A2AA1478-7F03-4C3E-A93E-071B3A585FDF}">
            <x14:dataBar minLength="0" maxLength="100" gradient="0">
              <x14:cfvo type="autoMin"/>
              <x14:cfvo type="autoMax"/>
              <x14:negativeFillColor rgb="FFFF0000"/>
              <x14:axisColor rgb="FF000000"/>
            </x14:dataBar>
          </x14:cfRule>
          <xm:sqref>T6:T10</xm:sqref>
        </x14:conditionalFormatting>
        <x14:conditionalFormatting xmlns:xm="http://schemas.microsoft.com/office/excel/2006/main">
          <x14:cfRule type="dataBar" id="{CCBBEFF5-0753-47A4-B215-F44790A6C2E6}">
            <x14:dataBar minLength="0" maxLength="100" gradient="0">
              <x14:cfvo type="autoMin"/>
              <x14:cfvo type="autoMax"/>
              <x14:negativeFillColor rgb="FFFF0000"/>
              <x14:axisColor rgb="FF000000"/>
            </x14:dataBar>
          </x14:cfRule>
          <xm:sqref>U6:U10</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Industry!F19:P19</xm:f>
              <xm:sqref>E19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Industry!F6:P6</xm:f>
              <xm:sqref>D6</xm:sqref>
            </x14:sparkline>
            <x14:sparkline>
              <xm:f>Industry!F7:P7</xm:f>
              <xm:sqref>D7</xm:sqref>
            </x14:sparkline>
            <x14:sparkline>
              <xm:f>Industry!F8:P8</xm:f>
              <xm:sqref>D8</xm:sqref>
            </x14:sparkline>
            <x14:sparkline>
              <xm:f>Industry!F9:P9</xm:f>
              <xm:sqref>D9</xm:sqref>
            </x14:sparkline>
            <x14:sparkline>
              <xm:f>Industry!F10:P10</xm:f>
              <xm:sqref>D10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AZ143"/>
  <sheetViews>
    <sheetView showGridLines="0" zoomScale="59" zoomScaleNormal="68" workbookViewId="0">
      <pane xSplit="3" topLeftCell="I102" activePane="topRight" state="frozen"/>
      <selection pane="topRight" activeCell="I67" sqref="I67"/>
    </sheetView>
  </sheetViews>
  <sheetFormatPr defaultColWidth="9" defaultRowHeight="14.25" customHeight="1"/>
  <cols>
    <col min="1" max="1" width="2.125" style="374" customWidth="1"/>
    <col min="2" max="2" width="31" style="374" customWidth="1"/>
    <col min="3" max="3" width="6.375" style="374" customWidth="1"/>
    <col min="4" max="10" width="19.625" style="374" customWidth="1"/>
    <col min="11" max="11" width="34.625" style="374" customWidth="1"/>
    <col min="12" max="15" width="19.625" style="374" customWidth="1"/>
    <col min="16" max="16384" width="9" style="374"/>
  </cols>
  <sheetData>
    <row r="1" spans="1:52" s="373" customFormat="1" ht="12" customHeight="1">
      <c r="A1" s="398"/>
      <c r="B1" s="398"/>
      <c r="C1" s="399"/>
      <c r="D1" s="398"/>
      <c r="E1" s="398"/>
      <c r="F1" s="398"/>
      <c r="G1" s="398"/>
      <c r="H1" s="398"/>
      <c r="I1" s="398"/>
      <c r="J1" s="398"/>
      <c r="K1" s="398"/>
      <c r="L1" s="398"/>
      <c r="M1" s="398"/>
      <c r="N1" s="398"/>
      <c r="O1" s="398"/>
      <c r="P1" s="398"/>
      <c r="Q1" s="398"/>
      <c r="R1" s="398"/>
      <c r="S1" s="398"/>
      <c r="T1" s="398"/>
      <c r="U1" s="398"/>
      <c r="V1" s="398"/>
      <c r="W1" s="398"/>
      <c r="X1" s="398"/>
      <c r="Y1" s="398"/>
      <c r="Z1" s="398"/>
      <c r="AA1" s="398"/>
      <c r="AB1" s="398"/>
      <c r="AC1" s="398"/>
      <c r="AD1" s="398"/>
      <c r="AE1" s="398"/>
      <c r="AF1" s="398"/>
      <c r="AG1" s="398"/>
      <c r="AH1" s="398"/>
      <c r="AI1" s="398"/>
      <c r="AJ1" s="398"/>
      <c r="AK1" s="398"/>
      <c r="AL1" s="398"/>
      <c r="AM1" s="398"/>
      <c r="AN1" s="398"/>
      <c r="AO1" s="398"/>
      <c r="AP1" s="398"/>
      <c r="AQ1" s="398"/>
      <c r="AR1" s="398"/>
      <c r="AS1" s="398"/>
      <c r="AT1" s="398"/>
      <c r="AU1" s="398"/>
      <c r="AV1" s="398"/>
      <c r="AW1" s="398"/>
      <c r="AX1" s="398"/>
      <c r="AY1" s="398"/>
      <c r="AZ1" s="398"/>
    </row>
    <row r="2" spans="1:52" s="373" customFormat="1" ht="14.1">
      <c r="A2" s="398"/>
      <c r="B2" s="400"/>
      <c r="C2" s="400"/>
      <c r="D2" s="828"/>
      <c r="E2" s="829"/>
      <c r="F2" s="503"/>
      <c r="G2" s="492"/>
      <c r="H2" s="503"/>
      <c r="I2" s="492"/>
      <c r="J2" s="503"/>
      <c r="K2" s="518"/>
      <c r="L2" s="524"/>
      <c r="M2" s="518"/>
      <c r="N2" s="400"/>
      <c r="O2" s="400"/>
      <c r="P2" s="402"/>
      <c r="Q2" s="402"/>
      <c r="R2" s="402"/>
      <c r="S2" s="398"/>
      <c r="T2" s="402"/>
      <c r="U2" s="402"/>
      <c r="V2" s="398"/>
      <c r="W2" s="403"/>
      <c r="X2" s="403"/>
      <c r="Y2" s="403"/>
      <c r="Z2" s="403"/>
      <c r="AA2" s="403"/>
      <c r="AB2" s="403"/>
      <c r="AC2" s="398"/>
      <c r="AD2" s="403"/>
      <c r="AE2" s="403"/>
      <c r="AF2" s="403"/>
      <c r="AG2" s="403"/>
      <c r="AH2" s="403"/>
      <c r="AI2" s="398"/>
      <c r="AJ2" s="403"/>
      <c r="AK2" s="404"/>
      <c r="AL2" s="404"/>
      <c r="AM2" s="404"/>
      <c r="AN2" s="404"/>
      <c r="AO2" s="398"/>
      <c r="AP2" s="403"/>
      <c r="AQ2" s="398"/>
      <c r="AR2" s="398"/>
      <c r="AS2" s="398"/>
      <c r="AT2" s="398"/>
      <c r="AU2" s="398"/>
      <c r="AV2" s="398"/>
      <c r="AW2" s="398"/>
      <c r="AX2" s="398"/>
      <c r="AY2" s="398"/>
      <c r="AZ2" s="398"/>
    </row>
    <row r="3" spans="1:52" s="373" customFormat="1" ht="14.1">
      <c r="A3" s="398"/>
      <c r="B3" s="400"/>
      <c r="C3" s="400"/>
      <c r="D3" s="832" t="s">
        <v>205</v>
      </c>
      <c r="E3" s="831"/>
      <c r="F3" s="830" t="s">
        <v>37</v>
      </c>
      <c r="G3" s="831"/>
      <c r="H3" s="830" t="s">
        <v>206</v>
      </c>
      <c r="I3" s="831"/>
      <c r="J3" s="830" t="s">
        <v>207</v>
      </c>
      <c r="K3" s="831"/>
      <c r="L3" s="830" t="s">
        <v>15</v>
      </c>
      <c r="M3" s="831"/>
      <c r="N3" s="832" t="s">
        <v>19</v>
      </c>
      <c r="O3" s="832"/>
      <c r="P3" s="402"/>
      <c r="Q3" s="609"/>
      <c r="R3" s="402"/>
      <c r="S3" s="402"/>
      <c r="T3" s="402"/>
      <c r="U3" s="402"/>
      <c r="V3" s="402"/>
      <c r="W3" s="402"/>
      <c r="X3" s="402"/>
      <c r="Y3" s="402"/>
      <c r="Z3" s="402"/>
      <c r="AA3" s="402"/>
      <c r="AB3" s="402"/>
      <c r="AC3" s="402"/>
      <c r="AD3" s="402"/>
      <c r="AE3" s="402"/>
      <c r="AF3" s="402"/>
      <c r="AG3" s="402"/>
      <c r="AH3" s="402"/>
      <c r="AI3" s="402"/>
      <c r="AJ3" s="402"/>
      <c r="AK3" s="402"/>
      <c r="AL3" s="402"/>
      <c r="AM3" s="402"/>
      <c r="AN3" s="402"/>
      <c r="AO3" s="398"/>
      <c r="AP3" s="402"/>
      <c r="AQ3" s="398"/>
      <c r="AR3" s="398"/>
      <c r="AS3" s="398"/>
      <c r="AT3" s="398"/>
      <c r="AU3" s="398"/>
      <c r="AV3" s="398"/>
      <c r="AW3" s="398"/>
      <c r="AX3" s="398"/>
      <c r="AY3" s="398"/>
      <c r="AZ3" s="398"/>
    </row>
    <row r="4" spans="1:52" s="373" customFormat="1" ht="14.1">
      <c r="A4" s="398"/>
      <c r="B4" s="400" t="s">
        <v>208</v>
      </c>
      <c r="C4" s="400" t="s">
        <v>209</v>
      </c>
      <c r="D4" s="401" t="str">
        <f>+Inputs!O4&amp;"-"&amp;Inputs!P4</f>
        <v>2022-2023</v>
      </c>
      <c r="E4" s="492" t="str">
        <f>+Inputs!P4&amp;"-"&amp;Inputs!Q4</f>
        <v>2023-2024</v>
      </c>
      <c r="F4" s="503">
        <v>2023</v>
      </c>
      <c r="G4" s="492">
        <v>2024</v>
      </c>
      <c r="H4" s="503" t="str">
        <f>+Inputs!O4&amp;"-"&amp;Inputs!P4</f>
        <v>2022-2023</v>
      </c>
      <c r="I4" s="492" t="str">
        <f>+Inputs!P4&amp;"-"&amp;Inputs!Q4</f>
        <v>2023-2024</v>
      </c>
      <c r="J4" s="503">
        <v>2023</v>
      </c>
      <c r="K4" s="492">
        <v>2024</v>
      </c>
      <c r="L4" s="503">
        <v>2023</v>
      </c>
      <c r="M4" s="492">
        <v>2024</v>
      </c>
      <c r="N4" s="401">
        <v>2023</v>
      </c>
      <c r="O4" s="401">
        <v>2024</v>
      </c>
      <c r="P4" s="402"/>
      <c r="Q4" s="609"/>
      <c r="R4" s="402"/>
      <c r="S4" s="402"/>
      <c r="T4" s="402"/>
      <c r="U4" s="402"/>
      <c r="V4" s="402"/>
      <c r="W4" s="402"/>
      <c r="X4" s="402"/>
      <c r="Y4" s="402"/>
      <c r="Z4" s="402"/>
      <c r="AA4" s="402"/>
      <c r="AB4" s="402"/>
      <c r="AC4" s="402"/>
      <c r="AD4" s="402"/>
      <c r="AE4" s="402"/>
      <c r="AF4" s="402"/>
      <c r="AG4" s="402"/>
      <c r="AH4" s="402"/>
      <c r="AI4" s="402"/>
      <c r="AJ4" s="402"/>
      <c r="AK4" s="402"/>
      <c r="AL4" s="402"/>
      <c r="AM4" s="402"/>
      <c r="AN4" s="402"/>
      <c r="AO4" s="398"/>
      <c r="AP4" s="402"/>
      <c r="AQ4" s="398"/>
      <c r="AR4" s="398"/>
      <c r="AS4" s="398"/>
      <c r="AT4" s="398"/>
      <c r="AU4" s="398"/>
      <c r="AV4" s="398"/>
      <c r="AW4" s="398"/>
      <c r="AX4" s="398"/>
      <c r="AY4" s="398"/>
      <c r="AZ4" s="398"/>
    </row>
    <row r="5" spans="1:52" s="373" customFormat="1" ht="3.75" customHeight="1">
      <c r="A5" s="398"/>
      <c r="B5" s="405"/>
      <c r="C5" s="405"/>
      <c r="D5" s="405"/>
      <c r="E5" s="493"/>
      <c r="F5" s="504"/>
      <c r="G5" s="493"/>
      <c r="H5" s="504"/>
      <c r="I5" s="493"/>
      <c r="J5" s="504"/>
      <c r="K5" s="493"/>
      <c r="L5" s="504"/>
      <c r="M5" s="493"/>
      <c r="N5" s="405"/>
      <c r="O5" s="405"/>
      <c r="P5" s="406"/>
      <c r="Q5" s="609"/>
      <c r="R5" s="406"/>
      <c r="S5" s="406"/>
      <c r="T5" s="406"/>
      <c r="U5" s="406"/>
      <c r="V5" s="406"/>
      <c r="W5" s="406"/>
      <c r="X5" s="406"/>
      <c r="Y5" s="406"/>
      <c r="Z5" s="406"/>
      <c r="AA5" s="406"/>
      <c r="AB5" s="406"/>
      <c r="AC5" s="406"/>
      <c r="AD5" s="406"/>
      <c r="AE5" s="406"/>
      <c r="AF5" s="406"/>
      <c r="AG5" s="406"/>
      <c r="AH5" s="406"/>
      <c r="AI5" s="406"/>
      <c r="AJ5" s="406"/>
      <c r="AK5" s="406"/>
      <c r="AL5" s="406"/>
      <c r="AM5" s="406"/>
      <c r="AN5" s="406"/>
      <c r="AO5" s="406"/>
      <c r="AP5" s="406"/>
      <c r="AQ5" s="406"/>
      <c r="AR5" s="406"/>
      <c r="AS5" s="406"/>
      <c r="AT5" s="406"/>
      <c r="AU5" s="406"/>
      <c r="AV5" s="406"/>
      <c r="AW5" s="406"/>
      <c r="AX5" s="406"/>
      <c r="AY5" s="406"/>
      <c r="AZ5" s="406"/>
    </row>
    <row r="6" spans="1:52" s="382" customFormat="1" ht="17.25" customHeight="1">
      <c r="A6" s="407" t="e" vm="1">
        <f>+D91</f>
        <v>#VALUE!</v>
      </c>
      <c r="B6" s="408" t="str" cm="1">
        <f t="array" aca="1" ref="B6" ca="1">IFERROR(_FV(A6,"Name"),"")</f>
        <v>INTEL CORPORATION</v>
      </c>
      <c r="C6" s="409" t="str" cm="1">
        <f t="array" aca="1" ref="C6" ca="1">IFERROR(_FV(A6,"Ticker symbol",TRUE),"")</f>
        <v>INTC</v>
      </c>
      <c r="D6" s="494">
        <f>IFERROR(D94/D93-1,"")</f>
        <v>-0.13997525930155108</v>
      </c>
      <c r="E6" s="495">
        <f>IFERROR(D97/D94-1,"")</f>
        <v>-2.0782621523935951E-2</v>
      </c>
      <c r="F6" s="505">
        <f>IFERROR(D95/D94,"")</f>
        <v>0.17481743748616951</v>
      </c>
      <c r="G6" s="506">
        <f>IFERROR(D100/D97,"")</f>
        <v>0.11214478070092843</v>
      </c>
      <c r="H6" s="512">
        <f>IFERROR(D96/D94,"")</f>
        <v>3.498192815519658E-2</v>
      </c>
      <c r="I6" s="495">
        <f>IFERROR(D105/D97,"")</f>
        <v>-0.2445528332799759</v>
      </c>
      <c r="J6" s="542" cm="1">
        <f t="array" aca="1" ref="J6" ca="1">IFERROR((_FV(A6,"Market cap",TRUE)/1000000+D$121-D$111)/D$94,"")</f>
        <v>3.4239932678689975</v>
      </c>
      <c r="K6" s="543" cm="1">
        <f t="array" aca="1" ref="K6" ca="1">IFERROR((_FV(A6,"Market cap",TRUE)/1000000+D$121-D$111)/D$97,"")</f>
        <v>3.4966630935387277</v>
      </c>
      <c r="L6" s="544" cm="1">
        <f t="array" aca="1" ref="L6" ca="1">+IFERROR((_FV(A6,"Market cap",TRUE)/1000000+D$121-D$111)/D$95,"")</f>
        <v>19.586108325949365</v>
      </c>
      <c r="M6" s="545" cm="1">
        <f t="array" aca="1" ref="M6" ca="1">IFERROR((_FV(A6,"Market cap",TRUE)/1000000+D$121-D$111)/D$100,"")</f>
        <v>31.179900408060451</v>
      </c>
      <c r="N6" s="546" cm="1">
        <f t="array" aca="1" ref="N6" ca="1">IFERROR((_FV(A6,"Market cap",TRUE)/1000000)/D$96,"")</f>
        <v>77.587404812862417</v>
      </c>
      <c r="O6" s="547" cm="1">
        <f t="array" aca="1" ref="O6" ca="1">IFERROR((_FV(A6,"Market cap",TRUE)/1000000)/D$105,"")</f>
        <v>-11.333998685507469</v>
      </c>
      <c r="P6" s="411"/>
      <c r="Q6" s="609"/>
      <c r="R6" s="414"/>
      <c r="S6" s="415"/>
      <c r="T6" s="414"/>
      <c r="U6" s="414"/>
      <c r="V6" s="415"/>
      <c r="W6" s="414"/>
      <c r="X6" s="414"/>
      <c r="Y6" s="414"/>
      <c r="Z6" s="414"/>
      <c r="AA6" s="414"/>
      <c r="AB6" s="415"/>
      <c r="AC6" s="415"/>
      <c r="AD6" s="410"/>
      <c r="AE6" s="410"/>
      <c r="AF6" s="410"/>
      <c r="AG6" s="410"/>
      <c r="AH6" s="410"/>
      <c r="AI6" s="415"/>
      <c r="AJ6" s="415"/>
      <c r="AK6" s="415"/>
      <c r="AL6" s="416"/>
      <c r="AM6" s="417"/>
      <c r="AN6" s="418"/>
      <c r="AO6" s="415"/>
      <c r="AP6" s="415"/>
    </row>
    <row r="7" spans="1:52" ht="14.25" customHeight="1">
      <c r="A7" s="407"/>
      <c r="B7" s="419"/>
      <c r="C7" s="420"/>
      <c r="E7" s="496"/>
      <c r="F7" s="507"/>
      <c r="G7" s="508"/>
      <c r="H7" s="513"/>
      <c r="I7" s="514"/>
      <c r="J7" s="513"/>
      <c r="K7" s="514"/>
      <c r="L7" s="527"/>
      <c r="M7" s="528"/>
      <c r="N7" s="424"/>
      <c r="O7" s="425"/>
      <c r="P7" s="422"/>
      <c r="Q7" s="422"/>
      <c r="R7" s="426"/>
      <c r="S7" s="425"/>
      <c r="T7" s="426"/>
      <c r="U7" s="426"/>
      <c r="V7" s="425"/>
      <c r="W7" s="426"/>
      <c r="X7" s="426"/>
      <c r="Y7" s="426"/>
      <c r="Z7" s="426"/>
      <c r="AA7" s="426"/>
      <c r="AB7" s="425"/>
      <c r="AC7" s="425"/>
      <c r="AD7" s="421"/>
      <c r="AE7" s="421"/>
      <c r="AF7" s="421"/>
      <c r="AG7" s="421"/>
      <c r="AH7" s="421"/>
      <c r="AI7" s="425"/>
      <c r="AJ7" s="425"/>
      <c r="AK7" s="425"/>
      <c r="AL7" s="427"/>
      <c r="AM7" s="428"/>
      <c r="AN7" s="429"/>
      <c r="AO7" s="425"/>
      <c r="AP7" s="425"/>
    </row>
    <row r="8" spans="1:52" s="376" customFormat="1" ht="17.25" customHeight="1">
      <c r="A8" s="407" t="e" vm="2">
        <f>+E91</f>
        <v>#VALUE!</v>
      </c>
      <c r="B8" s="408" t="s">
        <v>210</v>
      </c>
      <c r="C8" s="770" t="str" cm="1">
        <f t="array" aca="1" ref="C8" ca="1">IFERROR(_FV(A8,"Ticker symbol",TRUE),"")</f>
        <v>NVDA</v>
      </c>
      <c r="D8" s="497">
        <f>+IFERROR(E94/E93-1,"")</f>
        <v>1.2585452658115224</v>
      </c>
      <c r="E8" s="498">
        <f>IFERROR(E97/E94-1,"")</f>
        <v>1.1420340763599355</v>
      </c>
      <c r="F8" s="509">
        <f>IFERROR(E95/E94,"")</f>
        <v>0.83879386756836616</v>
      </c>
      <c r="G8" s="498">
        <f>+IFERROR(E100/E97,"")</f>
        <v>0.63846678467704243</v>
      </c>
      <c r="H8" s="509">
        <f>IFERROR(E96/E94,"")</f>
        <v>0.4884934834706674</v>
      </c>
      <c r="I8" s="498">
        <f>+IFERROR(E105/E99,"")</f>
        <v>0.74475260070714711</v>
      </c>
      <c r="J8" s="519" cm="1">
        <f t="array" aca="1" ref="J8" ca="1">+IFERROR((_FV(A8,"Market cap",TRUE)/1000000+E$121-E$111)/E$94,"")</f>
        <v>70.130371622714293</v>
      </c>
      <c r="K8" s="520" cm="1">
        <f t="array" aca="1" ref="K8" ca="1">IFERROR(+(_FV(A8,"Market cap",TRUE)/1000000+E$121-E$111)/E$97,"")</f>
        <v>32.740082147474652</v>
      </c>
      <c r="L8" s="525" cm="1">
        <f t="array" aca="1" ref="L8" ca="1">IFERROR(+(_FV(A8,"Market cap",TRUE)/1000000+E$121-E$111)/E$95,"")</f>
        <v>83.608588872996606</v>
      </c>
      <c r="M8" s="526" cm="1">
        <f t="array" aca="1" ref="M8" ca="1">IFERROR(+(_FV(A8,"Market cap",TRUE)/1000000+E$121-E$111)/E$100,"")</f>
        <v>51.27922537745745</v>
      </c>
      <c r="N8" s="413" cm="1">
        <f t="array" aca="1" ref="N8" ca="1">IFERROR(+(_FV(A8,"Market cap",TRUE)/1000000)/E$96,"")</f>
        <v>143.51779233867606</v>
      </c>
      <c r="O8" s="412" cm="1">
        <f t="array" aca="1" ref="O8" ca="1">IFERROR(+(_FV(A8,"Market cap",TRUE)/1000000)/E$105,"")</f>
        <v>58.60441136112788</v>
      </c>
      <c r="P8" s="411"/>
      <c r="Q8" s="411"/>
      <c r="R8" s="414"/>
      <c r="S8" s="415"/>
      <c r="T8" s="414"/>
      <c r="U8" s="414"/>
      <c r="V8" s="415"/>
      <c r="W8" s="414"/>
      <c r="X8" s="414"/>
      <c r="Y8" s="414"/>
      <c r="Z8" s="414"/>
      <c r="AA8" s="414"/>
      <c r="AB8" s="415"/>
      <c r="AC8" s="415"/>
      <c r="AD8" s="410"/>
      <c r="AE8" s="410"/>
      <c r="AF8" s="410"/>
      <c r="AG8" s="410"/>
      <c r="AH8" s="410"/>
      <c r="AI8" s="415"/>
      <c r="AJ8" s="415"/>
      <c r="AK8" s="415"/>
      <c r="AL8" s="416"/>
      <c r="AM8" s="417"/>
      <c r="AN8" s="418"/>
      <c r="AO8" s="415"/>
      <c r="AP8" s="415"/>
      <c r="AQ8" s="407"/>
      <c r="AR8" s="407"/>
      <c r="AS8" s="407"/>
      <c r="AT8" s="407"/>
      <c r="AU8" s="407"/>
      <c r="AV8" s="407"/>
      <c r="AW8" s="407"/>
      <c r="AX8" s="407"/>
      <c r="AY8" s="407"/>
      <c r="AZ8" s="407"/>
    </row>
    <row r="9" spans="1:52" s="376" customFormat="1" ht="17.25" customHeight="1">
      <c r="A9" s="430" t="e" vm="3">
        <f>+F91</f>
        <v>#VALUE!</v>
      </c>
      <c r="B9" s="408" t="s">
        <v>211</v>
      </c>
      <c r="C9" s="770" t="str" cm="1">
        <f t="array" aca="1" ref="C9" ca="1">IFERROR(_FV(A9,"Ticker symbol",TRUE),"")</f>
        <v>AMD</v>
      </c>
      <c r="D9" s="497">
        <f>IFERROR(F94/F93-1,"")</f>
        <v>-3.9023770179229644E-2</v>
      </c>
      <c r="E9" s="498">
        <f>IFERROR(+F97/F94-1,"")</f>
        <v>0.13690476190476186</v>
      </c>
      <c r="F9" s="509">
        <f>IFERROR(F95/F94,"")</f>
        <v>0.21763668430335098</v>
      </c>
      <c r="G9" s="498">
        <f>IFERROR(F100/F97,"")</f>
        <v>0.19255381035485747</v>
      </c>
      <c r="H9" s="509">
        <f>IFERROR(F96/F94,"")</f>
        <v>3.7654320987654324E-2</v>
      </c>
      <c r="I9" s="498">
        <f>+IFERROR(F105/F97,"")</f>
        <v>6.3641652123327522E-2</v>
      </c>
      <c r="J9" s="519" cm="1">
        <f t="array" aca="1" ref="J9" ca="1">IFERROR(+(_FV(A9,"Market cap",TRUE)/1000000+F$121-F$111)/F$94,"")</f>
        <v>10.985103041402116</v>
      </c>
      <c r="K9" s="520" cm="1">
        <f t="array" aca="1" ref="K9" ca="1">IFERROR(+(_FV(A9,"Market cap",TRUE)/1000000+F$121-F$111)/F$97,"")</f>
        <v>9.662289586154742</v>
      </c>
      <c r="L9" s="525" cm="1">
        <f t="array" aca="1" ref="L9" ca="1">IFERROR(+(_FV(A9,"Market cap",TRUE)/1000000+F$121-F$111)/F$95,"")</f>
        <v>50.474501008711506</v>
      </c>
      <c r="M9" s="526" cm="1">
        <f t="array" aca="1" ref="M9" ca="1">IFERROR(+(_FV(A9,"Market cap",TRUE)/1000000+F$121-F$111)/F$100,"")</f>
        <v>50.179685192145016</v>
      </c>
      <c r="N9" s="413" cm="1">
        <f t="array" aca="1" ref="N9" ca="1">IFERROR(+(_FV(A9,"Market cap",TRUE)/1000000)/F$96,"")</f>
        <v>294.15472714168618</v>
      </c>
      <c r="O9" s="412" cm="1">
        <f t="array" aca="1" ref="O9" ca="1">IFERROR(+(_FV(A9,"Market cap",TRUE)/1000000)/F$105,"")</f>
        <v>153.08235038330287</v>
      </c>
      <c r="P9" s="411"/>
      <c r="Q9" s="411"/>
      <c r="R9" s="414"/>
      <c r="S9" s="415"/>
      <c r="T9" s="414"/>
      <c r="U9" s="414"/>
      <c r="V9" s="415"/>
      <c r="W9" s="414"/>
      <c r="X9" s="414"/>
      <c r="Y9" s="414"/>
      <c r="Z9" s="414"/>
      <c r="AA9" s="414"/>
      <c r="AB9" s="415"/>
      <c r="AC9" s="415"/>
      <c r="AD9" s="410"/>
      <c r="AE9" s="410"/>
      <c r="AF9" s="410"/>
      <c r="AG9" s="410"/>
      <c r="AH9" s="410"/>
      <c r="AI9" s="415"/>
      <c r="AJ9" s="415"/>
      <c r="AK9" s="415"/>
      <c r="AL9" s="416"/>
      <c r="AM9" s="417"/>
      <c r="AN9" s="418"/>
      <c r="AO9" s="415"/>
      <c r="AP9" s="415"/>
      <c r="AQ9" s="407"/>
      <c r="AR9" s="407"/>
      <c r="AS9" s="407"/>
      <c r="AT9" s="407"/>
      <c r="AU9" s="407"/>
      <c r="AV9" s="407"/>
      <c r="AW9" s="407"/>
      <c r="AX9" s="407"/>
      <c r="AY9" s="407"/>
      <c r="AZ9" s="407"/>
    </row>
    <row r="10" spans="1:52" s="376" customFormat="1" ht="17.25" customHeight="1">
      <c r="A10" s="430" t="e" vm="4">
        <f>+G91</f>
        <v>#VALUE!</v>
      </c>
      <c r="B10" s="408" t="s">
        <v>212</v>
      </c>
      <c r="C10" s="770" t="str" cm="1">
        <f t="array" aca="1" ref="C10" ca="1">IFERROR(_FV(A10,"Ticker symbol",TRUE),"")</f>
        <v>AVGO</v>
      </c>
      <c r="D10" s="497">
        <f>+IFERROR(G94/G93-1,"")</f>
        <v>7.8788061319760239E-2</v>
      </c>
      <c r="E10" s="498">
        <f>IFERROR(G97/G94-1,"")</f>
        <v>0.43985035874815037</v>
      </c>
      <c r="F10" s="509">
        <f>IFERROR(G95/G94,"")</f>
        <v>0.50540216086434575</v>
      </c>
      <c r="G10" s="498">
        <f>IFERROR(G100/G97,"")</f>
        <v>0.38055997207895453</v>
      </c>
      <c r="H10" s="509">
        <f>IFERROR(G96/G94,"")</f>
        <v>0.39314330383316115</v>
      </c>
      <c r="I10" s="498">
        <f>+IFERROR(G105/G97,"")</f>
        <v>0.11430177996664986</v>
      </c>
      <c r="J10" s="519" cm="1">
        <f t="array" aca="1" ref="J10" ca="1">IFERROR(+(_FV(A10,"Market cap",TRUE)/1000000+G$121-G$111)/G$94,"")</f>
        <v>47.327012311203553</v>
      </c>
      <c r="K10" s="520" cm="1">
        <f t="array" aca="1" ref="K10" ca="1">IFERROR(+(_FV(A10,"Market cap",TRUE)/1000000+G$121-G$111)/G$97,"")</f>
        <v>32.869396478361189</v>
      </c>
      <c r="L10" s="525" cm="1">
        <f t="array" aca="1" ref="L10" ca="1">IFERROR(+(_FV(A10,"Market cap",TRUE)/1000000+G$121-G$111)/G$95,"")</f>
        <v>93.64228326658565</v>
      </c>
      <c r="M10" s="526" cm="1">
        <f t="array" aca="1" ref="M10" ca="1">IFERROR(+(_FV(A10,"Market cap",TRUE)/1000000+G$121-G$111)/G$100,"")</f>
        <v>86.371134354460693</v>
      </c>
      <c r="N10" s="413" cm="1">
        <f t="array" aca="1" ref="N10" ca="1">IFERROR(+(_FV(A10,"Market cap",TRUE)/1000000)/G$96,"")</f>
        <v>116.3371150387019</v>
      </c>
      <c r="O10" s="412" cm="1">
        <f t="array" aca="1" ref="O10" ca="1">IFERROR(+(_FV(A10,"Market cap",TRUE)/1000000)/G$105,"")</f>
        <v>277.90657404156065</v>
      </c>
      <c r="P10" s="411"/>
      <c r="Q10" s="411"/>
      <c r="R10" s="411"/>
      <c r="S10" s="415"/>
      <c r="T10" s="414"/>
      <c r="U10" s="414"/>
      <c r="V10" s="415"/>
      <c r="W10" s="414"/>
      <c r="X10" s="414"/>
      <c r="Y10" s="414"/>
      <c r="Z10" s="414"/>
      <c r="AA10" s="414"/>
      <c r="AB10" s="415"/>
      <c r="AC10" s="415"/>
      <c r="AD10" s="410"/>
      <c r="AE10" s="410"/>
      <c r="AF10" s="410"/>
      <c r="AG10" s="410"/>
      <c r="AH10" s="410"/>
      <c r="AI10" s="415"/>
      <c r="AJ10" s="415"/>
      <c r="AK10" s="415"/>
      <c r="AL10" s="416"/>
      <c r="AM10" s="417"/>
      <c r="AN10" s="418"/>
      <c r="AO10" s="415"/>
      <c r="AP10" s="415"/>
      <c r="AQ10" s="407"/>
      <c r="AR10" s="407"/>
      <c r="AS10" s="407"/>
      <c r="AT10" s="407"/>
      <c r="AU10" s="407"/>
      <c r="AV10" s="407"/>
      <c r="AW10" s="407"/>
      <c r="AX10" s="407"/>
      <c r="AY10" s="407"/>
      <c r="AZ10" s="407"/>
    </row>
    <row r="11" spans="1:52" s="376" customFormat="1" ht="17.25" customHeight="1">
      <c r="A11" s="430" t="e" vm="5">
        <f>+H91</f>
        <v>#VALUE!</v>
      </c>
      <c r="B11" s="408" t="s">
        <v>213</v>
      </c>
      <c r="C11" s="770" t="str" cm="1">
        <f t="array" aca="1" ref="C11" ca="1">IFERROR(_FV(A11,"Ticker symbol",TRUE),"")</f>
        <v>ASML</v>
      </c>
      <c r="D11" s="497">
        <f>IFERROR(H94/H93-1,"")</f>
        <v>0.33648715304246446</v>
      </c>
      <c r="E11" s="498">
        <f>IFERROR(H97/H94-1,"")</f>
        <v>2.5801040093943906E-2</v>
      </c>
      <c r="F11" s="509">
        <f>IFERROR(H95/H94,"")</f>
        <v>0.38453279651065259</v>
      </c>
      <c r="G11" s="498">
        <f>IFERROR(H100/H97,"")</f>
        <v>0.418885327402368</v>
      </c>
      <c r="H11" s="509">
        <f>IFERROR(H96/H94,"")</f>
        <v>0.2944807918134541</v>
      </c>
      <c r="I11" s="498">
        <f>+IFERROR(H105/H102,"")</f>
        <v>-430.09523809523807</v>
      </c>
      <c r="J11" s="519" cm="1">
        <f t="array" aca="1" ref="J11" ca="1">IFERROR((_FV(A11,"Market cap",TRUE)/1000000+H$121-H$111)/H$94,"")</f>
        <v>11.285616507297432</v>
      </c>
      <c r="K11" s="520" cm="1">
        <f t="array" aca="1" ref="K11" ca="1">IFERROR(+(_FV(A11,"Market cap",TRUE)/1000000+H$121-H$111)/H$97,"")</f>
        <v>11.001759665074898</v>
      </c>
      <c r="L11" s="525" cm="1">
        <f t="array" aca="1" ref="L11" ca="1">IFERROR(+(_FV(A11,"Market cap",TRUE)/1000000+H$121-H$111)/H$95,"")</f>
        <v>29.348904982113247</v>
      </c>
      <c r="M11" s="526" cm="1">
        <f t="array" aca="1" ref="M11" ca="1">IFERROR(+(_FV(A11,"Market cap",TRUE)/1000000+H$121-H$111)/H$100,"")</f>
        <v>26.264371047083621</v>
      </c>
      <c r="N11" s="413" cm="1">
        <f t="array" aca="1" ref="N11" ca="1">IFERROR(+(_FV(A11,"Market cap",TRUE)/1000000)/H$96,"")</f>
        <v>39.24075424404694</v>
      </c>
      <c r="O11" s="412" cm="1">
        <f t="array" aca="1" ref="O11" ca="1">IFERROR(+(_FV(A11,"Market cap",TRUE)/1000000)/H$105,"")</f>
        <v>38.132872010628873</v>
      </c>
      <c r="P11" s="411"/>
      <c r="Q11" s="411"/>
      <c r="R11" s="411"/>
      <c r="S11" s="415"/>
      <c r="T11" s="414"/>
      <c r="U11" s="414"/>
      <c r="V11" s="415"/>
      <c r="W11" s="414"/>
      <c r="X11" s="414"/>
      <c r="Y11" s="414"/>
      <c r="Z11" s="414"/>
      <c r="AA11" s="414"/>
      <c r="AB11" s="415"/>
      <c r="AC11" s="415"/>
      <c r="AD11" s="410"/>
      <c r="AE11" s="410"/>
      <c r="AF11" s="410"/>
      <c r="AG11" s="410"/>
      <c r="AH11" s="410"/>
      <c r="AI11" s="415"/>
      <c r="AJ11" s="415"/>
      <c r="AK11" s="415"/>
      <c r="AL11" s="416"/>
      <c r="AM11" s="417"/>
      <c r="AN11" s="418"/>
      <c r="AO11" s="415"/>
      <c r="AP11" s="415"/>
      <c r="AQ11" s="407"/>
      <c r="AR11" s="407"/>
      <c r="AS11" s="407"/>
      <c r="AT11" s="407"/>
      <c r="AU11" s="407"/>
      <c r="AV11" s="407"/>
      <c r="AW11" s="407"/>
      <c r="AX11" s="407"/>
      <c r="AY11" s="407"/>
      <c r="AZ11" s="407"/>
    </row>
    <row r="12" spans="1:52" s="376" customFormat="1" ht="17.25" customHeight="1">
      <c r="A12" s="430" t="str">
        <f>+I91</f>
        <v>PEER 5</v>
      </c>
      <c r="B12" s="408" t="str" cm="1">
        <f t="array" ref="B12">IFERROR(_FV(A12,"Name"),"")</f>
        <v/>
      </c>
      <c r="C12" s="409" t="str" cm="1">
        <f t="array" ref="C12">IFERROR(_FV(A12,"Ticker symbol",TRUE),"")</f>
        <v/>
      </c>
      <c r="D12" s="497" t="str">
        <f>+IFERROR(I94/I93-1,"")</f>
        <v/>
      </c>
      <c r="E12" s="498" t="str">
        <f>IFERROR(I97/I94-1,"")</f>
        <v/>
      </c>
      <c r="F12" s="509" t="str">
        <f>IFERROR(I95/I94,"")</f>
        <v/>
      </c>
      <c r="G12" s="498" t="str">
        <f>IFERROR(I100/I97,"")</f>
        <v/>
      </c>
      <c r="H12" s="509" t="str">
        <f>IFERROR(I96/I94,"")</f>
        <v/>
      </c>
      <c r="I12" s="498" t="str">
        <f>+IFERROR(I105/I97,"")</f>
        <v/>
      </c>
      <c r="J12" s="519" t="str" cm="1">
        <f t="array" ref="J12">IFERROR((_FV(A12,"Market cap",TRUE)/1000000+I$121-I$111)/I$94,"")</f>
        <v/>
      </c>
      <c r="K12" s="520" t="str" cm="1">
        <f t="array" ref="K12">IFERROR(+(_FV(A12,"Market cap",TRUE)/1000000+I$121-I$111)/I$97,"")</f>
        <v/>
      </c>
      <c r="L12" s="525" t="str" cm="1">
        <f t="array" ref="L12">IFERROR(+(_FV(A12,"Market cap",TRUE)/1000000+I$121-I$111)/I$95,"")</f>
        <v/>
      </c>
      <c r="M12" s="526" t="str" cm="1">
        <f t="array" ref="M12">IFERROR(+(_FV(A12,"Market cap",TRUE)/1000000+I$121-I$111)/I$100,"")</f>
        <v/>
      </c>
      <c r="N12" s="413" t="str" cm="1">
        <f t="array" ref="N12">IFERROR(+(_FV(A12,"Market cap",TRUE)/1000000)/I$96,"")</f>
        <v/>
      </c>
      <c r="O12" s="412" t="str" cm="1">
        <f t="array" ref="O12">IFERROR(+(_FV(A12,"Market cap",TRUE)/1000000)/I$105,"")</f>
        <v/>
      </c>
      <c r="P12" s="411"/>
      <c r="Q12" s="411"/>
      <c r="R12" s="411"/>
      <c r="S12" s="415"/>
      <c r="T12" s="414"/>
      <c r="U12" s="414"/>
      <c r="V12" s="415"/>
      <c r="W12" s="414"/>
      <c r="X12" s="414"/>
      <c r="Y12" s="414"/>
      <c r="Z12" s="414"/>
      <c r="AA12" s="414"/>
      <c r="AB12" s="415"/>
      <c r="AC12" s="415"/>
      <c r="AD12" s="410"/>
      <c r="AE12" s="410"/>
      <c r="AF12" s="410"/>
      <c r="AG12" s="410"/>
      <c r="AH12" s="410"/>
      <c r="AI12" s="415"/>
      <c r="AJ12" s="415"/>
      <c r="AK12" s="415"/>
      <c r="AL12" s="416"/>
      <c r="AM12" s="417"/>
      <c r="AN12" s="418"/>
      <c r="AO12" s="415"/>
      <c r="AP12" s="415"/>
      <c r="AQ12" s="407"/>
      <c r="AR12" s="407"/>
      <c r="AS12" s="407"/>
      <c r="AT12" s="407"/>
      <c r="AU12" s="407"/>
      <c r="AV12" s="407"/>
      <c r="AW12" s="407"/>
      <c r="AX12" s="407"/>
      <c r="AY12" s="407"/>
      <c r="AZ12" s="407"/>
    </row>
    <row r="13" spans="1:52" s="376" customFormat="1" ht="17.25" customHeight="1">
      <c r="A13" s="430" t="str">
        <f>+J91</f>
        <v>PEER 6</v>
      </c>
      <c r="B13" s="408" t="str" cm="1">
        <f t="array" ref="B13">IFERROR(_FV(A13,"Name"),"")</f>
        <v/>
      </c>
      <c r="C13" s="409" t="str" cm="1">
        <f t="array" ref="C13">IFERROR(_FV(A13,"Ticker symbol",TRUE),"")</f>
        <v/>
      </c>
      <c r="D13" s="497" t="str">
        <f>IFERROR(J94/J93-1,"")</f>
        <v/>
      </c>
      <c r="E13" s="498" t="str">
        <f>IFERROR(J97/J94-1,"")</f>
        <v/>
      </c>
      <c r="F13" s="509" t="str">
        <f>IFERROR(J95/J94,"")</f>
        <v/>
      </c>
      <c r="G13" s="498" t="str">
        <f>IFERROR(J100/J97,"")</f>
        <v/>
      </c>
      <c r="H13" s="515" t="str">
        <f>IFERROR(J96/J94,"")</f>
        <v/>
      </c>
      <c r="I13" s="498" t="str">
        <f>+IFERROR(J105/J97,"")</f>
        <v/>
      </c>
      <c r="J13" s="519" t="str" cm="1">
        <f t="array" ref="J13">IFERROR(+(_FV(A13,"Market cap",TRUE)/1000000+J$121-J$111)/J$94,"")</f>
        <v/>
      </c>
      <c r="K13" s="520" t="str" cm="1">
        <f t="array" ref="K13">IFERROR(+(_FV(A13,"Market cap",TRUE)/1000000+J$121-J$111)/J$97,"")</f>
        <v/>
      </c>
      <c r="L13" s="525" t="str" cm="1">
        <f t="array" ref="L13">IFERROR(+(_FV(A13,"Market cap",TRUE)/1000000+J$121-J$111)/J$95,"")</f>
        <v/>
      </c>
      <c r="M13" s="526" t="str" cm="1">
        <f t="array" ref="M13">IFERROR(+(_FV(A13,"Market cap",TRUE)/1000000+J$121-J$111)/J$100,"")</f>
        <v/>
      </c>
      <c r="N13" s="413" t="str" cm="1">
        <f t="array" ref="N13">IFERROR(+(_FV(A13,"Market cap",TRUE)/1000000)/J$96,"")</f>
        <v/>
      </c>
      <c r="O13" s="412" t="str" cm="1">
        <f t="array" ref="O13">IFERROR(+(_FV(A13,"Market cap",TRUE)/1000000)/J$105,"")</f>
        <v/>
      </c>
      <c r="P13" s="411"/>
      <c r="Q13" s="411"/>
      <c r="R13" s="411"/>
      <c r="S13" s="415"/>
      <c r="T13" s="414"/>
      <c r="U13" s="414"/>
      <c r="V13" s="415"/>
      <c r="W13" s="414"/>
      <c r="X13" s="414"/>
      <c r="Y13" s="414"/>
      <c r="Z13" s="414"/>
      <c r="AA13" s="414"/>
      <c r="AB13" s="415"/>
      <c r="AC13" s="415"/>
      <c r="AD13" s="410"/>
      <c r="AE13" s="410"/>
      <c r="AF13" s="410"/>
      <c r="AG13" s="410"/>
      <c r="AH13" s="410"/>
      <c r="AI13" s="415"/>
      <c r="AJ13" s="415"/>
      <c r="AK13" s="415"/>
      <c r="AL13" s="416"/>
      <c r="AM13" s="417"/>
      <c r="AN13" s="418"/>
      <c r="AO13" s="415"/>
      <c r="AP13" s="415"/>
      <c r="AQ13" s="407"/>
      <c r="AR13" s="407"/>
      <c r="AS13" s="407"/>
      <c r="AT13" s="407"/>
      <c r="AU13" s="407"/>
      <c r="AV13" s="407"/>
      <c r="AW13" s="407"/>
      <c r="AX13" s="407"/>
      <c r="AY13" s="407"/>
      <c r="AZ13" s="407"/>
    </row>
    <row r="14" spans="1:52" s="376" customFormat="1" ht="17.25" customHeight="1">
      <c r="A14" s="430" t="str">
        <f>+K91</f>
        <v>PEER 7</v>
      </c>
      <c r="B14" s="408" t="str" cm="1">
        <f t="array" ref="B14">IFERROR(_FV(A14,"Name"),"")</f>
        <v/>
      </c>
      <c r="C14" s="409" t="str" cm="1">
        <f t="array" ref="C14">IFERROR(_FV(A14,"Ticker symbol",TRUE),"")</f>
        <v/>
      </c>
      <c r="D14" s="497" t="str">
        <f>IFERROR(K94/K93-1,"")</f>
        <v/>
      </c>
      <c r="E14" s="498" t="str">
        <f>IFERROR(K97/K94-1,"")</f>
        <v/>
      </c>
      <c r="F14" s="509" t="str">
        <f>+IFERROR(K95/K94,"")</f>
        <v/>
      </c>
      <c r="G14" s="498" t="str">
        <f>IFERROR(K100/K97,"")</f>
        <v/>
      </c>
      <c r="H14" s="515" t="str">
        <f>IFERROR(K96/K94,"")</f>
        <v/>
      </c>
      <c r="I14" s="498" t="str">
        <f>+IFERROR(K105/K97,"")</f>
        <v/>
      </c>
      <c r="J14" s="519" t="str" cm="1">
        <f t="array" ref="J14">IFERROR((_FV(A14,"Market cap",TRUE)/1000000+D$121-K$111)/K$94,"")</f>
        <v/>
      </c>
      <c r="K14" s="520" t="str" cm="1">
        <f t="array" ref="K14">IFERROR(+(_FV(A14,"Market cap",TRUE)/1000000+D$121-K$111)/K$97,"")</f>
        <v/>
      </c>
      <c r="L14" s="525" t="str" cm="1">
        <f t="array" ref="L14">IFERROR(+(_FV(A14,"Market cap",TRUE)/1000000+D$121-K$111)/K$95,"")</f>
        <v/>
      </c>
      <c r="M14" s="526" t="str" cm="1">
        <f t="array" ref="M14">IFERROR(+(_FV(A14,"Market cap",TRUE)/1000000+D$121-K$111)/K$100,"")</f>
        <v/>
      </c>
      <c r="N14" s="413" t="str" cm="1">
        <f t="array" ref="N14">IFERROR(+(_FV(A14,"Market cap",TRUE)/1000000)/K$96,"")</f>
        <v/>
      </c>
      <c r="O14" s="412" t="str" cm="1">
        <f t="array" ref="O14">IFERROR(+(_FV(A14,"Market cap",TRUE)/1000000)/K$105,"")</f>
        <v/>
      </c>
      <c r="P14" s="411"/>
      <c r="Q14" s="411"/>
      <c r="R14" s="411"/>
      <c r="S14" s="415"/>
      <c r="T14" s="414"/>
      <c r="U14" s="414"/>
      <c r="V14" s="415"/>
      <c r="W14" s="414"/>
      <c r="X14" s="414"/>
      <c r="Y14" s="414"/>
      <c r="Z14" s="414"/>
      <c r="AA14" s="414"/>
      <c r="AB14" s="415"/>
      <c r="AC14" s="415"/>
      <c r="AD14" s="410"/>
      <c r="AE14" s="410"/>
      <c r="AF14" s="410"/>
      <c r="AG14" s="410"/>
      <c r="AH14" s="410"/>
      <c r="AI14" s="415"/>
      <c r="AJ14" s="415"/>
      <c r="AK14" s="415"/>
      <c r="AL14" s="416"/>
      <c r="AM14" s="417"/>
      <c r="AN14" s="418"/>
      <c r="AO14" s="415"/>
      <c r="AP14" s="415"/>
      <c r="AQ14" s="407"/>
      <c r="AR14" s="407"/>
      <c r="AS14" s="407"/>
      <c r="AT14" s="407"/>
      <c r="AU14" s="407"/>
      <c r="AV14" s="407"/>
      <c r="AW14" s="407"/>
      <c r="AX14" s="407"/>
      <c r="AY14" s="407"/>
      <c r="AZ14" s="407"/>
    </row>
    <row r="15" spans="1:52" s="376" customFormat="1" ht="17.25" customHeight="1">
      <c r="A15" s="430" t="str">
        <f>+L91</f>
        <v>PEER 8</v>
      </c>
      <c r="B15" s="408" t="str" cm="1">
        <f t="array" ref="B15">IFERROR(_FV(A15,"Name"),"")</f>
        <v/>
      </c>
      <c r="C15" s="409" t="str" cm="1">
        <f t="array" ref="C15">IFERROR(_FV(A15,"Ticker symbol",TRUE),"")</f>
        <v/>
      </c>
      <c r="D15" s="497" t="str">
        <f>+IFERROR(L94/L93,"")</f>
        <v/>
      </c>
      <c r="E15" s="498" t="str">
        <f>IFERROR(L97/L94,"")</f>
        <v/>
      </c>
      <c r="F15" s="509" t="str">
        <f>IFERROR(L95/L94,"")</f>
        <v/>
      </c>
      <c r="G15" s="498" t="str">
        <f>IFERROR(L100/L97,"")</f>
        <v/>
      </c>
      <c r="H15" s="515" t="str">
        <f>IFERROR(L96/L94,"")</f>
        <v/>
      </c>
      <c r="I15" s="498" t="str">
        <f>+IFERROR(L105/L97,"")</f>
        <v/>
      </c>
      <c r="J15" s="519" t="str" cm="1">
        <f t="array" ref="J15">IFERROR(+(_FV(A15,"Market cap",TRUE)/1000000+L$121-L$111)/L$94,"")</f>
        <v/>
      </c>
      <c r="K15" s="520" t="str" cm="1">
        <f t="array" ref="K15">IFERROR(+(_FV(A15,"Market cap",TRUE)/1000000+L$121-L$111)/L$97,"")</f>
        <v/>
      </c>
      <c r="L15" s="525" t="str" cm="1">
        <f t="array" ref="L15">IFERROR(+(_FV(A15,"Market cap",TRUE)/1000000+L$121-L$111)/L$95,"")</f>
        <v/>
      </c>
      <c r="M15" s="526" t="str" cm="1">
        <f t="array" ref="M15">IFERROR(+(_FV(A15,"Market cap",TRUE)/1000000+L$121-L$111)/L$100,"")</f>
        <v/>
      </c>
      <c r="N15" s="413" t="str" cm="1">
        <f t="array" ref="N15">IFERROR(+(_FV(A15,"Market cap",TRUE)/1000000)/L$96,"")</f>
        <v/>
      </c>
      <c r="O15" s="412" t="str" cm="1">
        <f t="array" ref="O15">IFERROR(+(_FV(A15,"Market cap",TRUE)/1000000)/L$105,"")</f>
        <v/>
      </c>
      <c r="P15" s="411"/>
      <c r="Q15" s="411"/>
      <c r="R15" s="411"/>
      <c r="S15" s="415"/>
      <c r="T15" s="414"/>
      <c r="U15" s="414"/>
      <c r="V15" s="415"/>
      <c r="W15" s="414"/>
      <c r="X15" s="414"/>
      <c r="Y15" s="414"/>
      <c r="Z15" s="414"/>
      <c r="AA15" s="414"/>
      <c r="AB15" s="415"/>
      <c r="AC15" s="415"/>
      <c r="AD15" s="410"/>
      <c r="AE15" s="410"/>
      <c r="AF15" s="410"/>
      <c r="AG15" s="410"/>
      <c r="AH15" s="410"/>
      <c r="AI15" s="415"/>
      <c r="AJ15" s="415"/>
      <c r="AK15" s="415"/>
      <c r="AL15" s="416"/>
      <c r="AM15" s="417"/>
      <c r="AN15" s="418"/>
      <c r="AO15" s="415"/>
      <c r="AP15" s="415"/>
      <c r="AQ15" s="407"/>
      <c r="AR15" s="407"/>
      <c r="AS15" s="407"/>
      <c r="AT15" s="407"/>
      <c r="AU15" s="407"/>
      <c r="AV15" s="407"/>
      <c r="AW15" s="407"/>
      <c r="AX15" s="407"/>
      <c r="AY15" s="407"/>
      <c r="AZ15" s="407"/>
    </row>
    <row r="16" spans="1:52" s="376" customFormat="1" ht="17.25" customHeight="1">
      <c r="A16" s="430" t="str">
        <f>+M91</f>
        <v>PEER 9</v>
      </c>
      <c r="B16" s="408" t="str" cm="1">
        <f t="array" ref="B16">IFERROR(_FV(A16,"Name"),"")</f>
        <v/>
      </c>
      <c r="C16" s="409" t="str" cm="1">
        <f t="array" ref="C16">IFERROR(_FV(A16,"Ticker symbol",TRUE),"")</f>
        <v/>
      </c>
      <c r="D16" s="497" t="str">
        <f>IFERROR(M94/M93-1,"")</f>
        <v/>
      </c>
      <c r="E16" s="498" t="str">
        <f>IFERROR(M97/M94-1,"")</f>
        <v/>
      </c>
      <c r="F16" s="509" t="str">
        <f>IFERROR(M95/M94,"")</f>
        <v/>
      </c>
      <c r="G16" s="498" t="str">
        <f>IFERROR(M100/M97,"")</f>
        <v/>
      </c>
      <c r="H16" s="515" t="str">
        <f>IFERROR(M96/M94,"")</f>
        <v/>
      </c>
      <c r="I16" s="498" t="str">
        <f>+IFERROR(M105/M97,"")</f>
        <v/>
      </c>
      <c r="J16" s="519" t="str" cm="1">
        <f t="array" ref="J16">IFERROR(+(_FV(A16,"Market cap",TRUE)/1000000+M$121-M$111)/M$94,"")</f>
        <v/>
      </c>
      <c r="K16" s="520" t="str" cm="1">
        <f t="array" ref="K16">IFERROR(+(_FV(A16,"Market cap",TRUE)/1000000+M$121-M$111)/M$97,"")</f>
        <v/>
      </c>
      <c r="L16" s="525" t="str" cm="1">
        <f t="array" ref="L16">IFERROR(+(_FV(A16,"Market cap",TRUE)/1000000+M$121-M$111)/M$95,"")</f>
        <v/>
      </c>
      <c r="M16" s="526" t="str" cm="1">
        <f t="array" ref="M16">IFERROR(+(_FV(A16,"Market cap",TRUE)/1000000+M$121-M$111)/M$100,"")</f>
        <v/>
      </c>
      <c r="N16" s="413" t="str" cm="1">
        <f t="array" ref="N16">IFERROR(+(_FV(A16,"Market cap",TRUE)/1000000)/M$96,"")</f>
        <v/>
      </c>
      <c r="O16" s="412" t="str" cm="1">
        <f t="array" ref="O16">IFERROR(+(_FV(A16,"Market cap",TRUE)/1000000)/M$105,"")</f>
        <v/>
      </c>
      <c r="P16" s="411"/>
      <c r="Q16" s="411"/>
      <c r="R16" s="411"/>
      <c r="S16" s="415"/>
      <c r="T16" s="414"/>
      <c r="U16" s="414"/>
      <c r="V16" s="415"/>
      <c r="W16" s="414"/>
      <c r="X16" s="414"/>
      <c r="Y16" s="414"/>
      <c r="Z16" s="414"/>
      <c r="AA16" s="414"/>
      <c r="AB16" s="415"/>
      <c r="AC16" s="415"/>
      <c r="AD16" s="410"/>
      <c r="AE16" s="410"/>
      <c r="AF16" s="410"/>
      <c r="AG16" s="410"/>
      <c r="AH16" s="410"/>
      <c r="AI16" s="415"/>
      <c r="AJ16" s="415"/>
      <c r="AK16" s="415"/>
      <c r="AL16" s="416"/>
      <c r="AM16" s="417"/>
      <c r="AN16" s="418"/>
      <c r="AO16" s="415"/>
      <c r="AP16" s="415"/>
      <c r="AQ16" s="407"/>
      <c r="AR16" s="407"/>
      <c r="AS16" s="407"/>
      <c r="AT16" s="407"/>
      <c r="AU16" s="407"/>
      <c r="AV16" s="407"/>
      <c r="AW16" s="407"/>
      <c r="AX16" s="407"/>
      <c r="AY16" s="407"/>
      <c r="AZ16" s="407"/>
    </row>
    <row r="17" spans="1:42" s="376" customFormat="1" ht="17.25" customHeight="1">
      <c r="A17" s="430" t="str">
        <f>+N91</f>
        <v>PEER 10</v>
      </c>
      <c r="B17" s="549" t="str" cm="1">
        <f t="array" ref="B17">IFERROR(_FV(A17,"Name"),"")</f>
        <v/>
      </c>
      <c r="C17" s="550" t="str" cm="1">
        <f t="array" ref="C17">+IFERROR(_FV(A17,"Ticker symbol",TRUE),"")</f>
        <v/>
      </c>
      <c r="D17" s="551" t="str">
        <f>IFERROR(N94/N93-1,"")</f>
        <v/>
      </c>
      <c r="E17" s="552" t="str">
        <f>IFERROR(N97/N94-1,"")</f>
        <v/>
      </c>
      <c r="F17" s="553" t="str">
        <f>IFERROR(N95/N94,"")</f>
        <v/>
      </c>
      <c r="G17" s="552" t="str">
        <f>IFERROR(N100/N97,"")</f>
        <v/>
      </c>
      <c r="H17" s="554" t="str">
        <f>IFERROR(N96/N94,"")</f>
        <v/>
      </c>
      <c r="I17" s="552" t="str">
        <f>+IFERROR(N105/N97,"")</f>
        <v/>
      </c>
      <c r="J17" s="555" t="str" cm="1">
        <f t="array" ref="J17">IFERROR(+(_FV(A17,"Market cap",TRUE)/1000000+N$121-N$111)/N$94,"")</f>
        <v/>
      </c>
      <c r="K17" s="556" t="str" cm="1">
        <f t="array" ref="K17">IFERROR(+(_FV(A17,"Market cap",TRUE)/1000000+N$121-N$111)/N$97,"")</f>
        <v/>
      </c>
      <c r="L17" s="557" t="str" cm="1">
        <f t="array" ref="L17">IFERROR(+(_FV(A17,"Market cap",TRUE)/1000000+N$121-N$111)/N$95,"")</f>
        <v/>
      </c>
      <c r="M17" s="558" t="str" cm="1">
        <f t="array" ref="M17">IFERROR(+(_FV(A17,"Market cap",TRUE)/1000000+N$121-N$111)/N$100,"")</f>
        <v/>
      </c>
      <c r="N17" s="559" t="str" cm="1">
        <f t="array" ref="N17">IFERROR(+(_FV(A17,"Market cap",TRUE)/1000000)/N$96,"")</f>
        <v/>
      </c>
      <c r="O17" s="560" t="str" cm="1">
        <f t="array" ref="O17">IFERROR(+(_FV(A17,"Market cap",TRUE)/1000000)/N$105,"")</f>
        <v/>
      </c>
      <c r="P17" s="411"/>
      <c r="Q17" s="411"/>
      <c r="R17" s="411"/>
      <c r="S17" s="415"/>
      <c r="T17" s="414"/>
      <c r="U17" s="414"/>
      <c r="V17" s="415"/>
      <c r="W17" s="414"/>
      <c r="X17" s="414"/>
      <c r="Y17" s="414"/>
      <c r="Z17" s="414"/>
      <c r="AA17" s="414"/>
      <c r="AB17" s="415"/>
      <c r="AC17" s="415"/>
      <c r="AD17" s="410"/>
      <c r="AE17" s="410"/>
      <c r="AF17" s="410"/>
      <c r="AG17" s="410"/>
      <c r="AH17" s="410"/>
      <c r="AI17" s="415"/>
      <c r="AJ17" s="415"/>
      <c r="AK17" s="415"/>
      <c r="AL17" s="416"/>
      <c r="AM17" s="417"/>
      <c r="AN17" s="418"/>
      <c r="AO17" s="415"/>
      <c r="AP17" s="415"/>
    </row>
    <row r="18" spans="1:42" s="373" customFormat="1" ht="15.75" customHeight="1">
      <c r="A18" s="430"/>
      <c r="B18" s="375" t="s">
        <v>214</v>
      </c>
      <c r="C18" s="375"/>
      <c r="D18" s="499">
        <f t="shared" ref="D18:O18" si="0">IFERROR(AVERAGE(D6:D17),"")</f>
        <v>0.29896429013859327</v>
      </c>
      <c r="E18" s="500">
        <f t="shared" si="0"/>
        <v>0.34476152311657116</v>
      </c>
      <c r="F18" s="510">
        <f t="shared" si="0"/>
        <v>0.42423658934657704</v>
      </c>
      <c r="G18" s="500">
        <f t="shared" si="0"/>
        <v>0.34852213504283014</v>
      </c>
      <c r="H18" s="516">
        <f t="shared" si="0"/>
        <v>0.24975076565202672</v>
      </c>
      <c r="I18" s="517">
        <f t="shared" si="0"/>
        <v>-85.883418979144182</v>
      </c>
      <c r="J18" s="521">
        <f t="shared" ca="1" si="0"/>
        <v>28.630419350097277</v>
      </c>
      <c r="K18" s="522">
        <f t="shared" ca="1" si="0"/>
        <v>17.954038194120841</v>
      </c>
      <c r="L18" s="521">
        <f t="shared" ca="1" si="0"/>
        <v>55.332077291271275</v>
      </c>
      <c r="M18" s="522">
        <f t="shared" ca="1" si="0"/>
        <v>49.054863275841441</v>
      </c>
      <c r="N18" s="392">
        <f t="shared" ca="1" si="0"/>
        <v>134.1675587151947</v>
      </c>
      <c r="O18" s="392">
        <f t="shared" ca="1" si="0"/>
        <v>103.27844182222255</v>
      </c>
      <c r="P18" s="539"/>
      <c r="Q18" s="431"/>
      <c r="R18" s="431"/>
      <c r="S18" s="425"/>
      <c r="T18" s="431"/>
      <c r="U18" s="431"/>
      <c r="V18" s="425"/>
      <c r="W18" s="431"/>
      <c r="X18" s="431"/>
      <c r="Y18" s="431"/>
      <c r="Z18" s="431"/>
      <c r="AA18" s="431"/>
      <c r="AB18" s="431"/>
      <c r="AC18" s="425"/>
      <c r="AD18" s="431"/>
      <c r="AE18" s="431"/>
      <c r="AF18" s="431"/>
      <c r="AG18" s="431"/>
      <c r="AH18" s="431"/>
      <c r="AI18" s="425"/>
      <c r="AJ18" s="432"/>
      <c r="AK18" s="425"/>
      <c r="AL18" s="432"/>
      <c r="AM18" s="428"/>
      <c r="AN18" s="432"/>
      <c r="AO18" s="425"/>
      <c r="AP18" s="432"/>
    </row>
    <row r="19" spans="1:42" s="373" customFormat="1" ht="15.75" customHeight="1">
      <c r="A19" s="430"/>
      <c r="B19" s="433" t="s">
        <v>215</v>
      </c>
      <c r="C19" s="375"/>
      <c r="D19" s="501">
        <f>IFERROR(+D18-D6,"")</f>
        <v>0.43893954944014435</v>
      </c>
      <c r="E19" s="502">
        <f>IFERROR(E18-E6,"")</f>
        <v>0.36554414464050711</v>
      </c>
      <c r="F19" s="511">
        <f>+IFERROR(F18-F6,"")</f>
        <v>0.24941915186040753</v>
      </c>
      <c r="G19" s="502">
        <f>IFERROR(G18-G6,"")</f>
        <v>0.23637735434190171</v>
      </c>
      <c r="H19" s="511">
        <f>IFERROR(+H6-H18,"")</f>
        <v>-0.21476883749683015</v>
      </c>
      <c r="I19" s="502">
        <f>+IFERROR(I6-I18,"")</f>
        <v>85.638866145864199</v>
      </c>
      <c r="J19" s="548">
        <f ca="1">+IFERROR(J6-J18,"")</f>
        <v>-25.20642608222828</v>
      </c>
      <c r="K19" s="523">
        <f ca="1">+IFERROR(K6-K18,"")</f>
        <v>-14.457375100582112</v>
      </c>
      <c r="L19" s="548">
        <f ca="1">IFERROR(+L6-L18,"")</f>
        <v>-35.745968965321907</v>
      </c>
      <c r="M19" s="523">
        <f ca="1">IFERROR(M6-M18,"")</f>
        <v>-17.87496286778099</v>
      </c>
      <c r="N19" s="548">
        <f ca="1">IFERROR(+N6-N18,"")</f>
        <v>-56.580153902332285</v>
      </c>
      <c r="O19" s="548">
        <f ca="1">IFERROR(+O6-O18,"")</f>
        <v>-114.61244050773001</v>
      </c>
      <c r="P19" s="540"/>
      <c r="Q19" s="426"/>
      <c r="R19" s="426"/>
      <c r="S19" s="425"/>
      <c r="T19" s="426"/>
      <c r="U19" s="426"/>
      <c r="V19" s="425"/>
      <c r="W19" s="426"/>
      <c r="X19" s="426"/>
      <c r="Y19" s="426"/>
      <c r="Z19" s="426"/>
      <c r="AA19" s="426"/>
      <c r="AB19" s="426"/>
      <c r="AC19" s="425"/>
      <c r="AD19" s="426"/>
      <c r="AE19" s="426"/>
      <c r="AF19" s="426"/>
      <c r="AG19" s="426"/>
      <c r="AH19" s="426"/>
      <c r="AI19" s="425"/>
      <c r="AJ19" s="434"/>
      <c r="AK19" s="425"/>
      <c r="AL19" s="434"/>
      <c r="AM19" s="425"/>
      <c r="AN19" s="434"/>
      <c r="AO19" s="425"/>
      <c r="AP19" s="434"/>
    </row>
    <row r="20" spans="1:42" s="373" customFormat="1" ht="14.25" customHeight="1">
      <c r="A20" s="398"/>
      <c r="B20" s="398"/>
      <c r="C20" s="398"/>
      <c r="D20" s="398"/>
      <c r="E20" s="398"/>
      <c r="F20" s="398"/>
      <c r="G20" s="398"/>
      <c r="H20" s="398"/>
      <c r="I20" s="398"/>
      <c r="J20" s="398"/>
      <c r="K20" s="398"/>
      <c r="L20" s="398"/>
      <c r="M20" s="398"/>
      <c r="N20" s="398"/>
      <c r="O20" s="398"/>
      <c r="P20" s="436"/>
      <c r="Q20" s="398"/>
      <c r="R20" s="398"/>
      <c r="S20" s="398"/>
      <c r="T20" s="398"/>
      <c r="U20" s="398"/>
      <c r="V20" s="398"/>
      <c r="W20" s="398"/>
      <c r="X20" s="398"/>
      <c r="Y20" s="398"/>
      <c r="Z20" s="398"/>
      <c r="AA20" s="398"/>
      <c r="AB20" s="398"/>
      <c r="AC20" s="398"/>
      <c r="AD20" s="398"/>
      <c r="AE20" s="398"/>
      <c r="AF20" s="398"/>
      <c r="AG20" s="398"/>
      <c r="AH20" s="398"/>
      <c r="AI20" s="398"/>
      <c r="AJ20" s="398"/>
      <c r="AK20" s="398"/>
      <c r="AL20" s="398"/>
      <c r="AM20" s="398"/>
      <c r="AN20" s="398"/>
      <c r="AO20" s="398"/>
      <c r="AP20" s="398"/>
    </row>
    <row r="21" spans="1:42" s="373" customFormat="1" ht="14.1">
      <c r="A21" s="398"/>
      <c r="B21" s="435"/>
      <c r="C21" s="435"/>
      <c r="D21" s="827" t="s">
        <v>216</v>
      </c>
      <c r="E21" s="827"/>
      <c r="F21" s="827"/>
      <c r="G21" s="614" t="s">
        <v>217</v>
      </c>
      <c r="H21" s="614" t="s">
        <v>218</v>
      </c>
      <c r="I21" s="614" t="s">
        <v>219</v>
      </c>
      <c r="J21" s="827" t="s">
        <v>220</v>
      </c>
      <c r="K21" s="827"/>
      <c r="L21" s="827"/>
      <c r="M21" s="827" t="s">
        <v>221</v>
      </c>
      <c r="N21" s="827"/>
      <c r="O21" s="827"/>
      <c r="P21" s="537"/>
      <c r="Q21" s="436"/>
      <c r="R21" s="436"/>
      <c r="S21" s="436"/>
      <c r="T21" s="436"/>
      <c r="U21" s="436"/>
      <c r="V21" s="436"/>
      <c r="W21" s="436"/>
      <c r="X21" s="436"/>
      <c r="Y21" s="398"/>
      <c r="Z21" s="398"/>
      <c r="AA21" s="398"/>
      <c r="AB21" s="398"/>
      <c r="AC21" s="398"/>
      <c r="AD21" s="398"/>
      <c r="AE21" s="398"/>
      <c r="AF21" s="398"/>
      <c r="AG21" s="398"/>
      <c r="AH21" s="398"/>
      <c r="AI21" s="398"/>
      <c r="AJ21" s="398"/>
      <c r="AK21" s="398"/>
      <c r="AL21" s="398"/>
      <c r="AM21" s="398"/>
      <c r="AN21" s="398"/>
      <c r="AO21" s="398"/>
      <c r="AP21" s="398"/>
    </row>
    <row r="22" spans="1:42" s="373" customFormat="1" ht="14.25" customHeight="1">
      <c r="A22" s="398"/>
      <c r="B22" s="437" t="s">
        <v>222</v>
      </c>
      <c r="C22" s="435"/>
      <c r="D22" s="401" t="s">
        <v>223</v>
      </c>
      <c r="E22" s="401" t="s">
        <v>224</v>
      </c>
      <c r="F22" s="401" t="s">
        <v>225</v>
      </c>
      <c r="G22" s="401" t="s">
        <v>226</v>
      </c>
      <c r="H22" s="401" t="s">
        <v>227</v>
      </c>
      <c r="I22" s="401" t="s">
        <v>228</v>
      </c>
      <c r="J22" s="401" t="s">
        <v>223</v>
      </c>
      <c r="K22" s="401" t="s">
        <v>224</v>
      </c>
      <c r="L22" s="401" t="s">
        <v>225</v>
      </c>
      <c r="M22" s="401" t="s">
        <v>223</v>
      </c>
      <c r="N22" s="401" t="s">
        <v>224</v>
      </c>
      <c r="O22" s="401" t="s">
        <v>225</v>
      </c>
      <c r="P22" s="537" t="s">
        <v>229</v>
      </c>
      <c r="Q22" s="436"/>
      <c r="R22" s="436"/>
      <c r="S22" s="436"/>
      <c r="T22" s="436"/>
      <c r="U22" s="436"/>
      <c r="V22" s="436"/>
      <c r="W22" s="436"/>
      <c r="X22" s="436"/>
      <c r="Y22" s="398"/>
      <c r="Z22" s="398"/>
      <c r="AA22" s="398"/>
      <c r="AB22" s="398"/>
      <c r="AC22" s="398"/>
      <c r="AD22" s="398"/>
      <c r="AE22" s="398"/>
      <c r="AF22" s="398"/>
      <c r="AG22" s="398"/>
      <c r="AH22" s="398"/>
      <c r="AI22" s="398"/>
      <c r="AJ22" s="398"/>
      <c r="AK22" s="398"/>
      <c r="AL22" s="398"/>
      <c r="AM22" s="398"/>
      <c r="AN22" s="398"/>
      <c r="AO22" s="398"/>
      <c r="AP22" s="398"/>
    </row>
    <row r="23" spans="1:42" s="373" customFormat="1" ht="3.75" customHeight="1">
      <c r="A23" s="398"/>
      <c r="B23" s="438"/>
      <c r="C23" s="439"/>
      <c r="D23" s="532"/>
      <c r="E23" s="534"/>
      <c r="F23" s="529"/>
      <c r="G23" s="532"/>
      <c r="H23" s="534"/>
      <c r="I23" s="529"/>
      <c r="J23" s="439"/>
      <c r="K23" s="439"/>
      <c r="L23" s="529"/>
      <c r="M23" s="439"/>
      <c r="N23" s="439"/>
      <c r="O23" s="439"/>
      <c r="P23" s="538"/>
      <c r="Q23" s="436"/>
      <c r="R23" s="436"/>
      <c r="S23" s="436"/>
      <c r="T23" s="436"/>
      <c r="U23" s="436"/>
      <c r="V23" s="436"/>
      <c r="W23" s="436"/>
      <c r="X23" s="436"/>
      <c r="Y23" s="398"/>
      <c r="Z23" s="398"/>
      <c r="AA23" s="398"/>
      <c r="AB23" s="398"/>
      <c r="AC23" s="398"/>
      <c r="AD23" s="398"/>
      <c r="AE23" s="398"/>
      <c r="AF23" s="398"/>
      <c r="AG23" s="398"/>
      <c r="AH23" s="398"/>
      <c r="AI23" s="398"/>
      <c r="AJ23" s="398"/>
      <c r="AK23" s="398"/>
      <c r="AL23" s="398"/>
      <c r="AM23" s="398"/>
      <c r="AN23" s="398"/>
      <c r="AO23" s="398"/>
      <c r="AP23" s="398"/>
    </row>
    <row r="24" spans="1:42" s="373" customFormat="1" ht="14.1">
      <c r="A24" s="398"/>
      <c r="B24" s="398" t="s">
        <v>230</v>
      </c>
      <c r="C24" s="398"/>
      <c r="D24" s="533">
        <f ca="1">IFERROR(SMALL(K6:K17,2),"")</f>
        <v>9.662289586154742</v>
      </c>
      <c r="E24" s="535">
        <f ca="1">IFERROR(SMALL(M6:M17,2),"")</f>
        <v>31.179900408060451</v>
      </c>
      <c r="F24" s="530">
        <f ca="1">IFERROR(SMALL(O6:O17,2),"")</f>
        <v>38.132872010628873</v>
      </c>
      <c r="G24" s="533">
        <f>-Inputs!$Q$99+Inputs!$Q$100</f>
        <v>24680</v>
      </c>
      <c r="H24" s="535">
        <f>+Inputs!$Q$101</f>
        <v>0</v>
      </c>
      <c r="I24" s="530">
        <f>+Inputs!$Q$102</f>
        <v>5762</v>
      </c>
      <c r="J24" s="440">
        <f ca="1">IFERROR(+D24*$D$97+G24+H24+I24,"")</f>
        <v>543519.23931440292</v>
      </c>
      <c r="K24" s="440">
        <f ca="1">IFERROR(E24*$D$100+G24+H24+I24,"")</f>
        <v>216118.30692999999</v>
      </c>
      <c r="L24" s="531">
        <f ca="1">IFERROR(F24*$D$105,"")</f>
        <v>-495193.47593002656</v>
      </c>
      <c r="M24" s="536" cm="1">
        <f t="array" aca="1" ref="M24" ca="1">IFERROR(+(J24/_FV($A$6,"Shares outstanding",TRUE)*1000000)/$P$24-1,"")</f>
        <v>2.6928049155255036</v>
      </c>
      <c r="N24" s="536" cm="1">
        <f t="array" aca="1" ref="N24" ca="1">IFERROR((+K24/_FV($A$6,"Shares outstanding",TRUE)*1000000)/$P$24-1,"")</f>
        <v>0.4683615379887156</v>
      </c>
      <c r="O24" s="536" cm="1">
        <f t="array" aca="1" ref="O24" ca="1">IFERROR(+(L24/_FV($A$6,"Shares outstanding",TRUE)*1000000)/$P$24-1,"")</f>
        <v>-4.3644676577727619</v>
      </c>
      <c r="P24" s="541" cm="1">
        <f t="array" aca="1" ref="P24" ca="1">+_FV(A6,"Price")</f>
        <v>31.515000000000001</v>
      </c>
      <c r="Q24" s="398"/>
      <c r="R24" s="398"/>
      <c r="S24" s="398"/>
      <c r="T24" s="398"/>
      <c r="U24" s="398"/>
      <c r="V24" s="398"/>
      <c r="W24" s="398"/>
      <c r="X24" s="398"/>
      <c r="Y24" s="398"/>
      <c r="Z24" s="398"/>
      <c r="AA24" s="398"/>
      <c r="AB24" s="398"/>
      <c r="AC24" s="398"/>
      <c r="AD24" s="398"/>
      <c r="AE24" s="398"/>
      <c r="AF24" s="398"/>
      <c r="AG24" s="398"/>
      <c r="AH24" s="398"/>
      <c r="AI24" s="398"/>
      <c r="AJ24" s="398"/>
      <c r="AK24" s="398"/>
      <c r="AL24" s="398"/>
      <c r="AM24" s="398"/>
      <c r="AN24" s="398"/>
      <c r="AO24" s="398"/>
      <c r="AP24" s="398"/>
    </row>
    <row r="25" spans="1:42" ht="14.1">
      <c r="B25" s="398" t="s">
        <v>214</v>
      </c>
      <c r="C25" s="398"/>
      <c r="D25" s="533">
        <f ca="1">+IFERROR(AVERAGE(K6:K17),"")</f>
        <v>17.954038194120841</v>
      </c>
      <c r="E25" s="535">
        <f ca="1">IFERROR(+AVERAGE(M6:M17),"")</f>
        <v>49.054863275841441</v>
      </c>
      <c r="F25" s="530">
        <f ca="1">IFERROR(+AVERAGE(O6:O17),"")</f>
        <v>103.27844182222255</v>
      </c>
      <c r="G25" s="533">
        <f>-Inputs!$Q$99+Inputs!$Q$100</f>
        <v>24680</v>
      </c>
      <c r="H25" s="535">
        <f>+Inputs!$Q$101</f>
        <v>0</v>
      </c>
      <c r="I25" s="530">
        <f>+Inputs!$Q$102</f>
        <v>5762</v>
      </c>
      <c r="J25" s="440">
        <f ca="1">IFERROR(+D25*$D$97+G25+H25+I25,"")</f>
        <v>983819.38214601076</v>
      </c>
      <c r="K25" s="440">
        <f ca="1">IFERROR(E25*$D$100+G25+H25+I25,"")</f>
        <v>322563.7108076358</v>
      </c>
      <c r="L25" s="531">
        <f ca="1">IFERROR(+F25*$D$105,"")</f>
        <v>-1341173.8455033819</v>
      </c>
      <c r="M25" s="536" cm="1">
        <f t="array" aca="1" ref="M25" ca="1">IFERROR(+(J25/_FV($A$6,"Shares outstanding",TRUE)*1000000)/$P$24-1,"")</f>
        <v>5.6843136131865322</v>
      </c>
      <c r="N25" s="536" cm="1">
        <f t="array" aca="1" ref="N25" ca="1">IFERROR((+K25/_FV($A$6,"Shares outstanding",TRUE)*1000000)/$P$24-1,"")</f>
        <v>1.191578090856773</v>
      </c>
      <c r="O25" s="536" cm="1">
        <f t="array" aca="1" ref="O25" ca="1">IFERROR(+(L25/_FV($A$6,"Shares outstanding",TRUE)*1000000)/$P$24-1,"")</f>
        <v>-10.112268731271547</v>
      </c>
      <c r="P25" s="537"/>
    </row>
    <row r="26" spans="1:42" s="373" customFormat="1" ht="14.1">
      <c r="A26" s="398"/>
      <c r="B26" s="398" t="s">
        <v>231</v>
      </c>
      <c r="C26" s="398"/>
      <c r="D26" s="533">
        <f ca="1">IFERROR(MEDIAN(K6:K17),"")</f>
        <v>11.001759665074898</v>
      </c>
      <c r="E26" s="535">
        <f ca="1">IFERROR(MEDIAN(M6:M17),"")</f>
        <v>50.179685192145016</v>
      </c>
      <c r="F26" s="530">
        <f ca="1">IFERROR(MEDIAN(O6:O17),"")</f>
        <v>58.60441136112788</v>
      </c>
      <c r="G26" s="533">
        <f>-Inputs!$Q$99+Inputs!$Q$100</f>
        <v>24680</v>
      </c>
      <c r="H26" s="535">
        <f>+Inputs!$Q$101</f>
        <v>0</v>
      </c>
      <c r="I26" s="530">
        <f>+Inputs!$Q$102</f>
        <v>5762</v>
      </c>
      <c r="J26" s="440">
        <f ca="1">IFERROR(D26*$D$97+G26+H26+I26,"")</f>
        <v>614646.43997514213</v>
      </c>
      <c r="K26" s="440">
        <f ca="1">IFERROR(E26*$D$100+G26+H26+I26,"")</f>
        <v>329262.02531922358</v>
      </c>
      <c r="L26" s="531">
        <f ca="1">IFERROR(+F26*$D$105,"")</f>
        <v>-761036.88593560667</v>
      </c>
      <c r="M26" s="536" cm="1">
        <f t="array" aca="1" ref="M26" ca="1">IFERROR(+(J26/_FV($A$6,"Shares outstanding",TRUE)*1000000)/$P$24-1,"")</f>
        <v>3.1760608101261534</v>
      </c>
      <c r="N26" s="536" cm="1">
        <f t="array" aca="1" ref="N26" ca="1">IFERROR((+K26/_FV($A$6,"Shares outstanding",TRUE)*1000000)/$P$24-1,"")</f>
        <v>1.2370881058938274</v>
      </c>
      <c r="O26" s="536" cm="1">
        <f t="array" aca="1" ref="O26" ca="1">+IFERROR((L26/_FV($A$6,"Shares outstanding",TRUE)*1000000)/$P$24-1,"")</f>
        <v>-6.1706739154702772</v>
      </c>
      <c r="P26" s="538"/>
      <c r="Q26" s="398"/>
      <c r="R26" s="398"/>
      <c r="S26" s="398"/>
      <c r="T26" s="398"/>
      <c r="U26" s="398"/>
      <c r="V26" s="398"/>
      <c r="W26" s="398"/>
      <c r="X26" s="398"/>
      <c r="Y26" s="398"/>
      <c r="Z26" s="398"/>
      <c r="AA26" s="398"/>
      <c r="AB26" s="398"/>
      <c r="AC26" s="398"/>
      <c r="AD26" s="398"/>
      <c r="AE26" s="398"/>
      <c r="AF26" s="398"/>
      <c r="AG26" s="398"/>
      <c r="AH26" s="398"/>
      <c r="AI26" s="398"/>
      <c r="AJ26" s="398"/>
      <c r="AK26" s="398"/>
      <c r="AL26" s="398"/>
      <c r="AM26" s="398"/>
      <c r="AN26" s="398"/>
      <c r="AO26" s="398"/>
      <c r="AP26" s="398"/>
    </row>
    <row r="27" spans="1:42" s="373" customFormat="1" ht="14.1">
      <c r="A27" s="398"/>
      <c r="B27" s="398" t="s">
        <v>232</v>
      </c>
      <c r="C27" s="398"/>
      <c r="D27" s="533">
        <f ca="1">IFERROR(LARGE(K6:K17,2),"")</f>
        <v>32.740082147474652</v>
      </c>
      <c r="E27" s="535">
        <f ca="1">IFERROR(LARGE(M6:M17,2),"")</f>
        <v>51.27922537745745</v>
      </c>
      <c r="F27" s="530">
        <f ca="1">IFERROR(LARGE(O6:O17,2),"")</f>
        <v>153.08235038330287</v>
      </c>
      <c r="G27" s="533">
        <f>-Inputs!$Q$99+Inputs!$Q$100</f>
        <v>24680</v>
      </c>
      <c r="H27" s="535">
        <f>+Inputs!$Q$101</f>
        <v>0</v>
      </c>
      <c r="I27" s="530">
        <f>+Inputs!$Q$102</f>
        <v>5762</v>
      </c>
      <c r="J27" s="440">
        <f ca="1">IFERROR(+D27*$D$97+G27+H27+I27,"")</f>
        <v>1768973.1021130516</v>
      </c>
      <c r="K27" s="440">
        <f ca="1">IFERROR(E27*$D$100+G27+H27+I27,"")</f>
        <v>335809.78712275909</v>
      </c>
      <c r="L27" s="531">
        <f ca="1">IFERROR(+F27*$D$105,"")</f>
        <v>-1987927.402077571</v>
      </c>
      <c r="M27" s="536" cm="1">
        <f t="array" aca="1" ref="M27" ca="1">IFERROR(+(J27/_FV($A$6,"Shares outstanding",TRUE)*1000000)/$P$24-1,"")</f>
        <v>11.01884329827139</v>
      </c>
      <c r="N27" s="536" cm="1">
        <f t="array" aca="1" ref="N27" ca="1">IFERROR((+K27/_FV($A$6,"Shares outstanding",TRUE)*1000000)/$P$24-1,"")</f>
        <v>1.2815752283814992</v>
      </c>
      <c r="O27" s="536" cm="1">
        <f t="array" aca="1" ref="O27" ca="1">IFERROR(+(L27/_FV($A$6,"Shares outstanding",TRUE)*1000000)/$P$24-1,"")</f>
        <v>-14.506473278406661</v>
      </c>
      <c r="P27" s="538"/>
      <c r="Q27" s="398"/>
      <c r="R27" s="398"/>
      <c r="S27" s="398"/>
      <c r="T27" s="398"/>
      <c r="U27" s="398"/>
      <c r="V27" s="398"/>
      <c r="W27" s="398"/>
      <c r="X27" s="398"/>
      <c r="Y27" s="398"/>
      <c r="Z27" s="398"/>
      <c r="AA27" s="398"/>
      <c r="AB27" s="398"/>
      <c r="AC27" s="398"/>
      <c r="AD27" s="398"/>
      <c r="AE27" s="398"/>
      <c r="AF27" s="398"/>
      <c r="AG27" s="398"/>
      <c r="AH27" s="398"/>
      <c r="AI27" s="398"/>
      <c r="AJ27" s="398"/>
      <c r="AK27" s="398"/>
      <c r="AL27" s="398"/>
      <c r="AM27" s="398"/>
      <c r="AN27" s="398"/>
      <c r="AO27" s="398"/>
      <c r="AP27" s="398"/>
    </row>
    <row r="28" spans="1:42" s="373" customFormat="1" ht="14.25" customHeight="1">
      <c r="A28" s="398"/>
      <c r="B28" s="398"/>
      <c r="C28" s="398"/>
      <c r="D28" s="398"/>
      <c r="E28" s="398"/>
      <c r="F28" s="398"/>
      <c r="G28" s="398"/>
      <c r="H28" s="398"/>
      <c r="I28" s="398"/>
      <c r="J28" s="398"/>
      <c r="K28" s="398"/>
      <c r="L28" s="398"/>
      <c r="M28" s="398"/>
      <c r="N28" s="398"/>
      <c r="O28" s="442"/>
      <c r="P28" s="398"/>
      <c r="Q28" s="398"/>
      <c r="R28" s="398"/>
      <c r="S28" s="398"/>
      <c r="T28" s="398"/>
      <c r="U28" s="398"/>
      <c r="V28" s="398"/>
      <c r="W28" s="398"/>
      <c r="X28" s="398"/>
      <c r="Y28" s="398"/>
      <c r="Z28" s="398"/>
      <c r="AA28" s="398"/>
      <c r="AB28" s="398"/>
      <c r="AC28" s="398"/>
      <c r="AD28" s="398"/>
      <c r="AE28" s="398"/>
      <c r="AF28" s="398"/>
      <c r="AG28" s="398"/>
      <c r="AH28" s="398"/>
      <c r="AI28" s="398"/>
      <c r="AJ28" s="398"/>
      <c r="AK28" s="398"/>
      <c r="AL28" s="398"/>
      <c r="AM28" s="398"/>
      <c r="AN28" s="398"/>
      <c r="AO28" s="398"/>
      <c r="AP28" s="398"/>
    </row>
    <row r="29" spans="1:42" s="376" customFormat="1" ht="14.25" customHeight="1">
      <c r="A29" s="407"/>
      <c r="B29" s="611" t="s">
        <v>233</v>
      </c>
      <c r="C29" s="612"/>
      <c r="D29" s="383" t="str">
        <f ca="1">+LEFT(B6, FIND(" ", B6 &amp; " ") - 1)</f>
        <v>INTEL</v>
      </c>
      <c r="E29" s="383" t="str">
        <f>+LEFT(B8, FIND(" ", B8 &amp; " ") - 1)</f>
        <v>NVIDIA</v>
      </c>
      <c r="F29" s="383" t="str">
        <f>+LEFT(B9, FIND(" ", B9 &amp; " ") - 1)</f>
        <v>AMD</v>
      </c>
      <c r="G29" s="383" t="str">
        <f>+LEFT(B10, FIND(" ", B10 &amp; " ") - 1)</f>
        <v>Broadcom</v>
      </c>
      <c r="H29" s="383" t="str">
        <f>+LEFT(B11, FIND(" ", B11 &amp; " ") - 1)</f>
        <v>ASML</v>
      </c>
      <c r="I29" s="383" t="str">
        <f>+LEFT(B12, FIND(" ", B12 &amp; " ") - 1)</f>
        <v/>
      </c>
      <c r="J29" s="383" t="str">
        <f>+LEFT(C12, FIND(" ", C12 &amp; " ") - 1)</f>
        <v/>
      </c>
      <c r="K29" s="383" t="str">
        <f>+LEFT(B14, FIND(" ", B14 &amp; " ") - 1)</f>
        <v/>
      </c>
      <c r="L29" s="383" t="str">
        <f>+LEFT(B15, FIND(" ", B15 &amp; " ") - 1)</f>
        <v/>
      </c>
      <c r="M29" s="383" t="str">
        <f>+LEFT(B16, FIND(" ", B16 &amp; " ") - 1)</f>
        <v/>
      </c>
      <c r="N29" s="383" t="str">
        <f>+LEFT(B17, FIND(" ", B17 &amp; " ") - 1)</f>
        <v/>
      </c>
      <c r="O29" s="443" t="s">
        <v>214</v>
      </c>
      <c r="P29" s="407"/>
      <c r="Q29" s="407" t="s">
        <v>234</v>
      </c>
      <c r="R29" s="407"/>
      <c r="S29" s="407"/>
      <c r="T29" s="407"/>
      <c r="U29" s="407"/>
      <c r="V29" s="407"/>
      <c r="W29" s="407"/>
      <c r="X29" s="407"/>
      <c r="Y29" s="407"/>
      <c r="Z29" s="407"/>
      <c r="AA29" s="407"/>
      <c r="AB29" s="407"/>
      <c r="AC29" s="407"/>
      <c r="AD29" s="407"/>
      <c r="AE29" s="407"/>
      <c r="AF29" s="407"/>
      <c r="AG29" s="407"/>
      <c r="AH29" s="407"/>
      <c r="AI29" s="407"/>
      <c r="AJ29" s="407"/>
      <c r="AK29" s="407"/>
      <c r="AL29" s="407"/>
      <c r="AM29" s="407"/>
      <c r="AN29" s="407"/>
      <c r="AO29" s="407"/>
      <c r="AP29" s="407"/>
    </row>
    <row r="30" spans="1:42" s="373" customFormat="1" ht="3.75" customHeight="1">
      <c r="A30" s="398"/>
      <c r="B30" s="433"/>
      <c r="C30" s="433"/>
      <c r="D30" s="433"/>
      <c r="E30" s="433"/>
      <c r="F30" s="433"/>
      <c r="G30" s="433"/>
      <c r="H30" s="433"/>
      <c r="I30" s="433"/>
      <c r="J30" s="433"/>
      <c r="K30" s="433"/>
      <c r="L30" s="433"/>
      <c r="M30" s="433"/>
      <c r="N30" s="433"/>
      <c r="O30" s="444"/>
      <c r="P30" s="398"/>
      <c r="Q30" s="398"/>
      <c r="R30" s="445"/>
      <c r="S30" s="398"/>
      <c r="T30" s="398"/>
      <c r="U30" s="398"/>
      <c r="V30" s="398"/>
      <c r="W30" s="398"/>
      <c r="X30" s="398"/>
      <c r="Y30" s="398"/>
      <c r="Z30" s="398"/>
      <c r="AA30" s="398"/>
      <c r="AB30" s="398"/>
      <c r="AC30" s="398"/>
      <c r="AD30" s="398"/>
      <c r="AE30" s="398"/>
      <c r="AF30" s="398"/>
      <c r="AG30" s="398"/>
      <c r="AH30" s="398"/>
      <c r="AI30" s="398"/>
      <c r="AJ30" s="398"/>
      <c r="AK30" s="398"/>
      <c r="AL30" s="398"/>
      <c r="AM30" s="398"/>
      <c r="AN30" s="398"/>
      <c r="AO30" s="398"/>
      <c r="AP30" s="398"/>
    </row>
    <row r="31" spans="1:42" s="373" customFormat="1" ht="14.25" customHeight="1">
      <c r="A31" s="398"/>
      <c r="B31" s="398" t="s">
        <v>235</v>
      </c>
      <c r="C31" s="398"/>
      <c r="D31" s="446">
        <f>IFERROR(D101/D97,"")</f>
        <v>-0.10214496902129903</v>
      </c>
      <c r="E31" s="446">
        <f t="shared" ref="E31:N31" si="1">IFERROR(E101/E97,"")</f>
        <v>0.62417526839697468</v>
      </c>
      <c r="F31" s="446">
        <f t="shared" si="1"/>
        <v>7.3686251696722896E-2</v>
      </c>
      <c r="G31" s="446">
        <f t="shared" si="1"/>
        <v>0.30616201962229028</v>
      </c>
      <c r="H31" s="446">
        <f t="shared" si="1"/>
        <v>0.35284882579969912</v>
      </c>
      <c r="I31" s="446" t="str">
        <f t="shared" si="1"/>
        <v/>
      </c>
      <c r="J31" s="446" t="str">
        <f t="shared" si="1"/>
        <v/>
      </c>
      <c r="K31" s="446" t="str">
        <f t="shared" si="1"/>
        <v/>
      </c>
      <c r="L31" s="446" t="str">
        <f t="shared" si="1"/>
        <v/>
      </c>
      <c r="M31" s="446" t="str">
        <f t="shared" si="1"/>
        <v/>
      </c>
      <c r="N31" s="446" t="str">
        <f t="shared" si="1"/>
        <v/>
      </c>
      <c r="O31" s="675">
        <f t="shared" ref="O31:O36" si="2">IFERROR(+AVERAGE(D31:N31),"")</f>
        <v>0.25094547929887756</v>
      </c>
      <c r="P31" s="398"/>
      <c r="Q31" s="398"/>
      <c r="R31" s="445"/>
      <c r="S31" s="398"/>
      <c r="T31" s="398"/>
      <c r="U31" s="398"/>
      <c r="V31" s="398"/>
      <c r="W31" s="398"/>
      <c r="X31" s="398"/>
      <c r="Y31" s="398"/>
      <c r="Z31" s="398"/>
      <c r="AA31" s="398"/>
      <c r="AB31" s="398"/>
      <c r="AC31" s="398"/>
      <c r="AD31" s="398"/>
      <c r="AE31" s="398"/>
      <c r="AF31" s="398"/>
      <c r="AG31" s="398"/>
      <c r="AH31" s="398"/>
      <c r="AI31" s="398"/>
      <c r="AJ31" s="398"/>
      <c r="AK31" s="398"/>
      <c r="AL31" s="398"/>
      <c r="AM31" s="398"/>
      <c r="AN31" s="398"/>
      <c r="AO31" s="398"/>
      <c r="AP31" s="398"/>
    </row>
    <row r="32" spans="1:42" s="373" customFormat="1" ht="14.25" customHeight="1">
      <c r="A32" s="398"/>
      <c r="B32" s="398" t="s">
        <v>43</v>
      </c>
      <c r="C32" s="398"/>
      <c r="D32" s="446">
        <f>IFERROR(D105/D97,"")</f>
        <v>-0.2445528332799759</v>
      </c>
      <c r="E32" s="446">
        <f t="shared" ref="E32:N32" si="3">IFERROR(E105/E97,"")</f>
        <v>0.55848027157712443</v>
      </c>
      <c r="F32" s="446">
        <f t="shared" si="3"/>
        <v>6.3641652123327522E-2</v>
      </c>
      <c r="G32" s="446">
        <f t="shared" si="3"/>
        <v>0.11430177996664986</v>
      </c>
      <c r="H32" s="446">
        <f t="shared" si="3"/>
        <v>0.29541440439589195</v>
      </c>
      <c r="I32" s="446" t="str">
        <f t="shared" si="3"/>
        <v/>
      </c>
      <c r="J32" s="446" t="str">
        <f t="shared" si="3"/>
        <v/>
      </c>
      <c r="K32" s="446" t="str">
        <f t="shared" si="3"/>
        <v/>
      </c>
      <c r="L32" s="446" t="str">
        <f t="shared" si="3"/>
        <v/>
      </c>
      <c r="M32" s="446" t="str">
        <f t="shared" si="3"/>
        <v/>
      </c>
      <c r="N32" s="446" t="str">
        <f t="shared" si="3"/>
        <v/>
      </c>
      <c r="O32" s="675">
        <f t="shared" si="2"/>
        <v>0.15745705495660359</v>
      </c>
      <c r="P32" s="398"/>
      <c r="Q32" s="398"/>
      <c r="R32" s="445"/>
      <c r="S32" s="398"/>
      <c r="T32" s="398"/>
      <c r="U32" s="398"/>
      <c r="V32" s="398"/>
      <c r="W32" s="398"/>
      <c r="X32" s="398"/>
      <c r="Y32" s="398"/>
      <c r="Z32" s="398"/>
      <c r="AA32" s="398"/>
      <c r="AB32" s="398"/>
      <c r="AC32" s="398"/>
      <c r="AD32" s="398"/>
      <c r="AE32" s="398"/>
      <c r="AF32" s="398"/>
      <c r="AG32" s="398"/>
      <c r="AH32" s="398"/>
      <c r="AI32" s="398"/>
      <c r="AJ32" s="398"/>
      <c r="AK32" s="398"/>
      <c r="AL32" s="398"/>
      <c r="AM32" s="398"/>
      <c r="AN32" s="398"/>
      <c r="AO32" s="398"/>
      <c r="AP32" s="398"/>
    </row>
    <row r="33" spans="2:18" s="373" customFormat="1" ht="14.25" customHeight="1">
      <c r="B33" s="398" t="s">
        <v>236</v>
      </c>
      <c r="C33" s="398"/>
      <c r="D33" s="446">
        <f>IFERROR(D105/D117,"")</f>
        <v>-6.609155915209812E-2</v>
      </c>
      <c r="E33" s="446">
        <f t="shared" ref="E33:N33" si="4">IFERROR(E105/E117,"")</f>
        <v>0.65304074336251472</v>
      </c>
      <c r="F33" s="446">
        <f t="shared" si="4"/>
        <v>2.370496634212579E-2</v>
      </c>
      <c r="G33" s="446">
        <f t="shared" si="4"/>
        <v>3.5588155392556373E-2</v>
      </c>
      <c r="H33" s="446">
        <f t="shared" si="4"/>
        <v>0.1858833989166406</v>
      </c>
      <c r="I33" s="446" t="str">
        <f t="shared" si="4"/>
        <v/>
      </c>
      <c r="J33" s="446" t="str">
        <f t="shared" si="4"/>
        <v/>
      </c>
      <c r="K33" s="446" t="str">
        <f t="shared" si="4"/>
        <v/>
      </c>
      <c r="L33" s="446" t="str">
        <f t="shared" si="4"/>
        <v/>
      </c>
      <c r="M33" s="446" t="str">
        <f t="shared" si="4"/>
        <v/>
      </c>
      <c r="N33" s="446" t="str">
        <f t="shared" si="4"/>
        <v/>
      </c>
      <c r="O33" s="675">
        <f t="shared" si="2"/>
        <v>0.1664251409723479</v>
      </c>
      <c r="P33" s="398"/>
      <c r="Q33" s="398"/>
      <c r="R33" s="445"/>
    </row>
    <row r="34" spans="2:18" s="373" customFormat="1" ht="14.25" customHeight="1">
      <c r="B34" s="398" t="s">
        <v>237</v>
      </c>
      <c r="C34" s="398"/>
      <c r="D34" s="446">
        <f>IFERROR(+(D102/D121)*(1-(D104/D103)),"")</f>
        <v>-1.1811533541265136E-2</v>
      </c>
      <c r="E34" s="446">
        <f t="shared" ref="E34:N34" si="5">IFERROR(+(E102/E121)*(1-(E104/E103)),"")</f>
        <v>0.22357173385995727</v>
      </c>
      <c r="F34" s="446">
        <f t="shared" si="5"/>
        <v>-4.3217358458155532E-2</v>
      </c>
      <c r="G34" s="446">
        <f t="shared" si="5"/>
        <v>3.7089748319856168E-2</v>
      </c>
      <c r="H34" s="446">
        <f t="shared" si="5"/>
        <v>-3.6622002130491235E-3</v>
      </c>
      <c r="I34" s="446" t="str">
        <f t="shared" si="5"/>
        <v/>
      </c>
      <c r="J34" s="446" t="str">
        <f t="shared" si="5"/>
        <v/>
      </c>
      <c r="K34" s="446" t="str">
        <f t="shared" si="5"/>
        <v/>
      </c>
      <c r="L34" s="446" t="str">
        <f t="shared" si="5"/>
        <v/>
      </c>
      <c r="M34" s="446" t="str">
        <f t="shared" si="5"/>
        <v/>
      </c>
      <c r="N34" s="446" t="str">
        <f t="shared" si="5"/>
        <v/>
      </c>
      <c r="O34" s="675">
        <f t="shared" si="2"/>
        <v>4.0394077993468738E-2</v>
      </c>
      <c r="P34" s="398"/>
      <c r="Q34" s="398"/>
      <c r="R34" s="445"/>
    </row>
    <row r="35" spans="2:18" s="373" customFormat="1" ht="14.25" customHeight="1">
      <c r="B35" s="398" t="s">
        <v>238</v>
      </c>
      <c r="C35" s="398"/>
      <c r="D35" s="446">
        <f>IFERROR(+D105/D122,"")</f>
        <v>-0.12363851016832965</v>
      </c>
      <c r="E35" s="446">
        <f t="shared" ref="E35:N35" si="6">IFERROR(+E105/E122,"")</f>
        <v>0.9187288060811577</v>
      </c>
      <c r="F35" s="446">
        <f t="shared" si="6"/>
        <v>2.8505419677598665E-2</v>
      </c>
      <c r="G35" s="446">
        <f t="shared" si="6"/>
        <v>8.7103637814356219E-2</v>
      </c>
      <c r="H35" s="446">
        <f t="shared" si="6"/>
        <v>0.1858833989166406</v>
      </c>
      <c r="I35" s="446" t="str">
        <f t="shared" si="6"/>
        <v/>
      </c>
      <c r="J35" s="446" t="str">
        <f t="shared" si="6"/>
        <v/>
      </c>
      <c r="K35" s="446" t="str">
        <f t="shared" si="6"/>
        <v/>
      </c>
      <c r="L35" s="446" t="str">
        <f t="shared" si="6"/>
        <v/>
      </c>
      <c r="M35" s="446" t="str">
        <f t="shared" si="6"/>
        <v/>
      </c>
      <c r="N35" s="446" t="str">
        <f t="shared" si="6"/>
        <v/>
      </c>
      <c r="O35" s="675">
        <f t="shared" si="2"/>
        <v>0.21931655046428472</v>
      </c>
      <c r="P35" s="398"/>
      <c r="Q35" s="398"/>
      <c r="R35" s="445"/>
    </row>
    <row r="36" spans="2:18" s="373" customFormat="1" ht="14.25" customHeight="1">
      <c r="B36" s="398" t="s">
        <v>239</v>
      </c>
      <c r="C36" s="398"/>
      <c r="D36" s="446">
        <f>IFERROR(+D105/(D121+D122),"")</f>
        <v>-8.5561426858355188E-2</v>
      </c>
      <c r="E36" s="446">
        <f t="shared" ref="E36:N36" si="7">IFERROR(+E105/(E121+E122),"")</f>
        <v>0.81604317593971487</v>
      </c>
      <c r="F36" s="446">
        <f t="shared" si="7"/>
        <v>2.7677984111723928E-2</v>
      </c>
      <c r="G36" s="446">
        <f t="shared" si="7"/>
        <v>4.400140326782262E-2</v>
      </c>
      <c r="H36" s="446">
        <f t="shared" si="7"/>
        <v>0.16952842867117643</v>
      </c>
      <c r="I36" s="446" t="str">
        <f t="shared" si="7"/>
        <v/>
      </c>
      <c r="J36" s="446" t="str">
        <f t="shared" si="7"/>
        <v/>
      </c>
      <c r="K36" s="446" t="str">
        <f t="shared" si="7"/>
        <v/>
      </c>
      <c r="L36" s="446" t="str">
        <f t="shared" si="7"/>
        <v/>
      </c>
      <c r="M36" s="446" t="str">
        <f t="shared" si="7"/>
        <v/>
      </c>
      <c r="N36" s="446" t="str">
        <f t="shared" si="7"/>
        <v/>
      </c>
      <c r="O36" s="675">
        <f t="shared" si="2"/>
        <v>0.19433791302641654</v>
      </c>
      <c r="P36" s="398"/>
      <c r="Q36" s="398"/>
      <c r="R36" s="445"/>
    </row>
    <row r="37" spans="2:18" s="373" customFormat="1" ht="3.75" customHeight="1">
      <c r="B37" s="398"/>
      <c r="C37" s="398"/>
      <c r="D37" s="398"/>
      <c r="E37" s="398"/>
      <c r="F37" s="398"/>
      <c r="G37" s="398"/>
      <c r="H37" s="398"/>
      <c r="I37" s="398"/>
      <c r="J37" s="398"/>
      <c r="K37" s="398"/>
      <c r="L37" s="398"/>
      <c r="M37" s="398"/>
      <c r="N37" s="398"/>
      <c r="O37" s="442"/>
      <c r="P37" s="398"/>
      <c r="Q37" s="398"/>
      <c r="R37" s="445"/>
    </row>
    <row r="38" spans="2:18" s="376" customFormat="1" ht="14.25" customHeight="1">
      <c r="B38" s="611" t="s">
        <v>240</v>
      </c>
      <c r="C38" s="612"/>
      <c r="D38" s="383" t="str">
        <f ca="1">+D29</f>
        <v>INTEL</v>
      </c>
      <c r="E38" s="383" t="str">
        <f t="shared" ref="E38:O38" si="8">+E29</f>
        <v>NVIDIA</v>
      </c>
      <c r="F38" s="383" t="str">
        <f t="shared" si="8"/>
        <v>AMD</v>
      </c>
      <c r="G38" s="383" t="str">
        <f t="shared" si="8"/>
        <v>Broadcom</v>
      </c>
      <c r="H38" s="383" t="str">
        <f t="shared" si="8"/>
        <v>ASML</v>
      </c>
      <c r="I38" s="383" t="str">
        <f t="shared" si="8"/>
        <v/>
      </c>
      <c r="J38" s="383" t="str">
        <f t="shared" si="8"/>
        <v/>
      </c>
      <c r="K38" s="383" t="str">
        <f t="shared" si="8"/>
        <v/>
      </c>
      <c r="L38" s="383" t="str">
        <f t="shared" si="8"/>
        <v/>
      </c>
      <c r="M38" s="383" t="str">
        <f t="shared" si="8"/>
        <v/>
      </c>
      <c r="N38" s="383" t="str">
        <f t="shared" si="8"/>
        <v/>
      </c>
      <c r="O38" s="383" t="str">
        <f t="shared" si="8"/>
        <v>Average</v>
      </c>
      <c r="P38" s="407"/>
      <c r="Q38" s="407"/>
      <c r="R38" s="613"/>
    </row>
    <row r="39" spans="2:18" s="373" customFormat="1" ht="3.75" customHeight="1">
      <c r="B39" s="433"/>
      <c r="C39" s="433"/>
      <c r="D39" s="433"/>
      <c r="E39" s="433"/>
      <c r="F39" s="433"/>
      <c r="G39" s="433"/>
      <c r="H39" s="433"/>
      <c r="I39" s="433"/>
      <c r="J39" s="433"/>
      <c r="K39" s="433"/>
      <c r="L39" s="433"/>
      <c r="M39" s="433"/>
      <c r="N39" s="433"/>
      <c r="O39" s="444"/>
      <c r="P39" s="398"/>
      <c r="Q39" s="398"/>
      <c r="R39" s="445"/>
    </row>
    <row r="40" spans="2:18" s="373" customFormat="1" ht="14.25" customHeight="1">
      <c r="B40" s="398" t="s">
        <v>241</v>
      </c>
      <c r="C40" s="398"/>
      <c r="D40" s="447">
        <f>IFERROR(D121/D117,"")</f>
        <v>0.23789093315011325</v>
      </c>
      <c r="E40" s="447">
        <f t="shared" ref="E40:N40" si="9">IFERROR(E121/E117,"")</f>
        <v>8.9443642978109514E-2</v>
      </c>
      <c r="F40" s="447">
        <f t="shared" si="9"/>
        <v>2.4860601508103892E-2</v>
      </c>
      <c r="G40" s="447">
        <f t="shared" si="9"/>
        <v>0.40022336925352409</v>
      </c>
      <c r="H40" s="447">
        <f t="shared" si="9"/>
        <v>9.6473319393450455E-2</v>
      </c>
      <c r="I40" s="447" t="str">
        <f t="shared" si="9"/>
        <v/>
      </c>
      <c r="J40" s="447" t="str">
        <f t="shared" si="9"/>
        <v/>
      </c>
      <c r="K40" s="447" t="str">
        <f t="shared" si="9"/>
        <v/>
      </c>
      <c r="L40" s="447" t="str">
        <f t="shared" si="9"/>
        <v/>
      </c>
      <c r="M40" s="447" t="str">
        <f t="shared" si="9"/>
        <v/>
      </c>
      <c r="N40" s="447" t="str">
        <f t="shared" si="9"/>
        <v/>
      </c>
      <c r="O40" s="674">
        <f t="shared" ref="O40:O42" si="10">IFERROR(+AVERAGE(D40:N40),"")</f>
        <v>0.16977837325666026</v>
      </c>
      <c r="P40" s="398"/>
      <c r="Q40" s="398"/>
      <c r="R40" s="445"/>
    </row>
    <row r="41" spans="2:18" s="373" customFormat="1" ht="14.25" customHeight="1">
      <c r="B41" s="398" t="s">
        <v>242</v>
      </c>
      <c r="C41" s="398"/>
      <c r="D41" s="447">
        <f>IFERROR(+(D121-D111)/D100,"")</f>
        <v>6.463979848866499</v>
      </c>
      <c r="E41" s="447">
        <f t="shared" ref="E41:N41" si="11">IFERROR(+(E121-E111)/E100,"")</f>
        <v>1.6719076310041048E-2</v>
      </c>
      <c r="F41" s="447">
        <f t="shared" si="11"/>
        <v>-0.41611278952668679</v>
      </c>
      <c r="G41" s="447">
        <f t="shared" si="11"/>
        <v>2.9014622713608804</v>
      </c>
      <c r="H41" s="447">
        <f t="shared" si="11"/>
        <v>-0.62842976497228076</v>
      </c>
      <c r="I41" s="447" t="str">
        <f t="shared" si="11"/>
        <v/>
      </c>
      <c r="J41" s="447" t="str">
        <f t="shared" si="11"/>
        <v/>
      </c>
      <c r="K41" s="447" t="str">
        <f t="shared" si="11"/>
        <v/>
      </c>
      <c r="L41" s="447" t="str">
        <f t="shared" si="11"/>
        <v/>
      </c>
      <c r="M41" s="447" t="str">
        <f t="shared" si="11"/>
        <v/>
      </c>
      <c r="N41" s="447" t="str">
        <f t="shared" si="11"/>
        <v/>
      </c>
      <c r="O41" s="674">
        <f t="shared" si="10"/>
        <v>1.6675237284076907</v>
      </c>
      <c r="P41" s="398"/>
      <c r="Q41" s="398"/>
      <c r="R41" s="445"/>
    </row>
    <row r="42" spans="2:18" s="373" customFormat="1" ht="14.25" customHeight="1">
      <c r="B42" s="398" t="s">
        <v>243</v>
      </c>
      <c r="C42" s="398"/>
      <c r="D42" s="447">
        <f t="shared" ref="D42:N42" si="12">IFERROR(D101/D102,"")</f>
        <v>25.706161137440759</v>
      </c>
      <c r="E42" s="447">
        <f t="shared" si="12"/>
        <v>31.656820831713954</v>
      </c>
      <c r="F42" s="447">
        <f t="shared" si="12"/>
        <v>-20.652173913043477</v>
      </c>
      <c r="G42" s="447">
        <f t="shared" si="12"/>
        <v>3.9944346066278777</v>
      </c>
      <c r="H42" s="447">
        <f t="shared" si="12"/>
        <v>-513.71428571428567</v>
      </c>
      <c r="I42" s="447" t="str">
        <f t="shared" si="12"/>
        <v/>
      </c>
      <c r="J42" s="447" t="str">
        <f t="shared" si="12"/>
        <v/>
      </c>
      <c r="K42" s="447" t="str">
        <f t="shared" si="12"/>
        <v/>
      </c>
      <c r="L42" s="447" t="str">
        <f t="shared" si="12"/>
        <v/>
      </c>
      <c r="M42" s="447" t="str">
        <f t="shared" si="12"/>
        <v/>
      </c>
      <c r="N42" s="447" t="str">
        <f t="shared" si="12"/>
        <v/>
      </c>
      <c r="O42" s="674">
        <f t="shared" si="10"/>
        <v>-94.601808610309305</v>
      </c>
      <c r="P42" s="398"/>
      <c r="Q42" s="398"/>
      <c r="R42" s="445"/>
    </row>
    <row r="43" spans="2:18" s="373" customFormat="1" ht="3.75" customHeight="1">
      <c r="B43" s="398"/>
      <c r="C43" s="398"/>
      <c r="D43" s="398"/>
      <c r="E43" s="398"/>
      <c r="F43" s="398"/>
      <c r="G43" s="398"/>
      <c r="H43" s="398"/>
      <c r="I43" s="398"/>
      <c r="J43" s="398"/>
      <c r="K43" s="398"/>
      <c r="L43" s="398"/>
      <c r="M43" s="398"/>
      <c r="N43" s="398"/>
      <c r="O43" s="442"/>
      <c r="P43" s="398"/>
      <c r="Q43" s="398"/>
      <c r="R43" s="445"/>
    </row>
    <row r="44" spans="2:18" s="376" customFormat="1" ht="14.25" customHeight="1">
      <c r="B44" s="611" t="s">
        <v>244</v>
      </c>
      <c r="C44" s="612"/>
      <c r="D44" s="383" t="str">
        <f ca="1">+D29</f>
        <v>INTEL</v>
      </c>
      <c r="E44" s="383" t="str">
        <f t="shared" ref="E44:O44" si="13">+E29</f>
        <v>NVIDIA</v>
      </c>
      <c r="F44" s="383" t="str">
        <f t="shared" si="13"/>
        <v>AMD</v>
      </c>
      <c r="G44" s="383" t="str">
        <f t="shared" si="13"/>
        <v>Broadcom</v>
      </c>
      <c r="H44" s="383" t="str">
        <f t="shared" si="13"/>
        <v>ASML</v>
      </c>
      <c r="I44" s="383" t="str">
        <f t="shared" si="13"/>
        <v/>
      </c>
      <c r="J44" s="383" t="str">
        <f t="shared" si="13"/>
        <v/>
      </c>
      <c r="K44" s="383" t="str">
        <f t="shared" si="13"/>
        <v/>
      </c>
      <c r="L44" s="383" t="str">
        <f t="shared" si="13"/>
        <v/>
      </c>
      <c r="M44" s="383" t="str">
        <f t="shared" si="13"/>
        <v/>
      </c>
      <c r="N44" s="383" t="str">
        <f t="shared" si="13"/>
        <v/>
      </c>
      <c r="O44" s="383" t="str">
        <f t="shared" si="13"/>
        <v>Average</v>
      </c>
      <c r="P44" s="407"/>
      <c r="Q44" s="407"/>
      <c r="R44" s="613"/>
    </row>
    <row r="45" spans="2:18" s="373" customFormat="1" ht="3.75" customHeight="1">
      <c r="B45" s="433"/>
      <c r="C45" s="433"/>
      <c r="D45" s="433"/>
      <c r="E45" s="433"/>
      <c r="F45" s="433"/>
      <c r="G45" s="433"/>
      <c r="H45" s="433"/>
      <c r="I45" s="433"/>
      <c r="J45" s="433"/>
      <c r="K45" s="433"/>
      <c r="L45" s="433"/>
      <c r="M45" s="433"/>
      <c r="N45" s="433"/>
      <c r="O45" s="444"/>
      <c r="P45" s="398"/>
      <c r="Q45" s="398"/>
      <c r="R45" s="445"/>
    </row>
    <row r="46" spans="2:18" s="373" customFormat="1" ht="14.25" customHeight="1">
      <c r="B46" s="398" t="s">
        <v>51</v>
      </c>
      <c r="C46" s="398"/>
      <c r="D46" s="447">
        <f>IFERROR(D111/D119,"")</f>
        <v>0.23128469691022263</v>
      </c>
      <c r="E46" s="447">
        <f t="shared" ref="E46:N46" si="14">IFERROR(E111/E119,"")</f>
        <v>0.47592397628414695</v>
      </c>
      <c r="F46" s="447">
        <f t="shared" si="14"/>
        <v>0.52012086251888479</v>
      </c>
      <c r="G46" s="447">
        <f t="shared" si="14"/>
        <v>0.55986105288375154</v>
      </c>
      <c r="H46" s="447">
        <f t="shared" si="14"/>
        <v>0.63516263203566825</v>
      </c>
      <c r="I46" s="447" t="str">
        <f t="shared" si="14"/>
        <v/>
      </c>
      <c r="J46" s="447" t="str">
        <f t="shared" si="14"/>
        <v/>
      </c>
      <c r="K46" s="447" t="str">
        <f t="shared" si="14"/>
        <v/>
      </c>
      <c r="L46" s="447" t="str">
        <f t="shared" si="14"/>
        <v/>
      </c>
      <c r="M46" s="447" t="str">
        <f t="shared" si="14"/>
        <v/>
      </c>
      <c r="N46" s="447" t="str">
        <f t="shared" si="14"/>
        <v/>
      </c>
      <c r="O46" s="674">
        <f t="shared" ref="O46:O48" si="15">IFERROR(+AVERAGE(D46:N46),"")</f>
        <v>0.48447064412653484</v>
      </c>
      <c r="P46" s="398"/>
      <c r="Q46" s="398"/>
      <c r="R46" s="445"/>
    </row>
    <row r="47" spans="2:18" s="373" customFormat="1" ht="14.25" customHeight="1">
      <c r="B47" s="398" t="s">
        <v>54</v>
      </c>
      <c r="C47" s="398"/>
      <c r="D47" s="447">
        <f>IFERROR(+(D111+D112)/D119,"")</f>
        <v>0.32880053832781919</v>
      </c>
      <c r="E47" s="447">
        <f t="shared" ref="E47:N47" si="16">IFERROR(+(E111+E112)/E119,"")</f>
        <v>1.7539757300382335</v>
      </c>
      <c r="F47" s="447">
        <f t="shared" si="16"/>
        <v>1.3705534953989837</v>
      </c>
      <c r="G47" s="447">
        <f t="shared" si="16"/>
        <v>0.824339701742828</v>
      </c>
      <c r="H47" s="447">
        <f t="shared" si="16"/>
        <v>0.85846374816721027</v>
      </c>
      <c r="I47" s="447" t="str">
        <f t="shared" si="16"/>
        <v/>
      </c>
      <c r="J47" s="447" t="str">
        <f t="shared" si="16"/>
        <v/>
      </c>
      <c r="K47" s="447" t="str">
        <f t="shared" si="16"/>
        <v/>
      </c>
      <c r="L47" s="447" t="str">
        <f t="shared" si="16"/>
        <v/>
      </c>
      <c r="M47" s="447" t="str">
        <f t="shared" si="16"/>
        <v/>
      </c>
      <c r="N47" s="447" t="str">
        <f t="shared" si="16"/>
        <v/>
      </c>
      <c r="O47" s="674">
        <f t="shared" si="15"/>
        <v>1.027226642735015</v>
      </c>
      <c r="P47" s="398"/>
      <c r="Q47" s="398"/>
      <c r="R47" s="445"/>
    </row>
    <row r="48" spans="2:18" s="373" customFormat="1" ht="14.25" customHeight="1">
      <c r="B48" s="398" t="s">
        <v>56</v>
      </c>
      <c r="C48" s="398"/>
      <c r="D48" s="447">
        <f>IFERROR(D115/D119,"")</f>
        <v>1.3268659227275277</v>
      </c>
      <c r="E48" s="447">
        <f t="shared" ref="E48:N48" si="17">IFERROR(E115/E119,"")</f>
        <v>4.4398514988640772</v>
      </c>
      <c r="F48" s="447">
        <f t="shared" si="17"/>
        <v>2.6162615025408598</v>
      </c>
      <c r="G48" s="447">
        <f t="shared" si="17"/>
        <v>1.1735641133137689</v>
      </c>
      <c r="H48" s="447">
        <f t="shared" si="17"/>
        <v>1.5329303689517939</v>
      </c>
      <c r="I48" s="447" t="str">
        <f t="shared" si="17"/>
        <v/>
      </c>
      <c r="J48" s="447" t="str">
        <f t="shared" si="17"/>
        <v/>
      </c>
      <c r="K48" s="447" t="str">
        <f t="shared" si="17"/>
        <v/>
      </c>
      <c r="L48" s="447" t="str">
        <f t="shared" si="17"/>
        <v/>
      </c>
      <c r="M48" s="447" t="str">
        <f t="shared" si="17"/>
        <v/>
      </c>
      <c r="N48" s="447" t="str">
        <f t="shared" si="17"/>
        <v/>
      </c>
      <c r="O48" s="674">
        <f t="shared" si="15"/>
        <v>2.2178946812796054</v>
      </c>
      <c r="P48" s="398"/>
      <c r="Q48" s="398"/>
      <c r="R48" s="445"/>
    </row>
    <row r="49" spans="2:18" s="373" customFormat="1" ht="3.75" customHeight="1">
      <c r="B49" s="398"/>
      <c r="C49" s="398"/>
      <c r="D49" s="447"/>
      <c r="E49" s="398"/>
      <c r="F49" s="398"/>
      <c r="G49" s="398"/>
      <c r="H49" s="398"/>
      <c r="I49" s="398"/>
      <c r="J49" s="398"/>
      <c r="K49" s="398"/>
      <c r="L49" s="398"/>
      <c r="M49" s="398"/>
      <c r="N49" s="398"/>
      <c r="O49" s="442"/>
      <c r="P49" s="398"/>
      <c r="Q49" s="398"/>
      <c r="R49" s="445"/>
    </row>
    <row r="50" spans="2:18" s="376" customFormat="1" ht="14.25" customHeight="1">
      <c r="B50" s="611" t="s">
        <v>245</v>
      </c>
      <c r="C50" s="612"/>
      <c r="D50" s="383" t="str">
        <f ca="1">+D29</f>
        <v>INTEL</v>
      </c>
      <c r="E50" s="383" t="str">
        <f t="shared" ref="E50:O50" si="18">+E29</f>
        <v>NVIDIA</v>
      </c>
      <c r="F50" s="383" t="str">
        <f t="shared" si="18"/>
        <v>AMD</v>
      </c>
      <c r="G50" s="383" t="str">
        <f t="shared" si="18"/>
        <v>Broadcom</v>
      </c>
      <c r="H50" s="383" t="str">
        <f t="shared" si="18"/>
        <v>ASML</v>
      </c>
      <c r="I50" s="383" t="str">
        <f t="shared" si="18"/>
        <v/>
      </c>
      <c r="J50" s="383" t="str">
        <f t="shared" si="18"/>
        <v/>
      </c>
      <c r="K50" s="383" t="str">
        <f t="shared" si="18"/>
        <v/>
      </c>
      <c r="L50" s="383" t="str">
        <f t="shared" si="18"/>
        <v/>
      </c>
      <c r="M50" s="383" t="str">
        <f t="shared" si="18"/>
        <v/>
      </c>
      <c r="N50" s="383" t="str">
        <f t="shared" si="18"/>
        <v/>
      </c>
      <c r="O50" s="383" t="str">
        <f t="shared" si="18"/>
        <v>Average</v>
      </c>
      <c r="P50" s="407"/>
      <c r="Q50" s="407"/>
      <c r="R50" s="613"/>
    </row>
    <row r="51" spans="2:18" s="373" customFormat="1" ht="3.75" customHeight="1">
      <c r="B51" s="433"/>
      <c r="C51" s="433"/>
      <c r="D51" s="433"/>
      <c r="E51" s="433"/>
      <c r="F51" s="433"/>
      <c r="G51" s="433"/>
      <c r="H51" s="433"/>
      <c r="I51" s="433"/>
      <c r="J51" s="433"/>
      <c r="K51" s="433"/>
      <c r="L51" s="433"/>
      <c r="M51" s="433"/>
      <c r="N51" s="433"/>
      <c r="O51" s="444"/>
      <c r="P51" s="398"/>
      <c r="Q51" s="398"/>
      <c r="R51" s="445"/>
    </row>
    <row r="52" spans="2:18" s="373" customFormat="1" ht="14.25" customHeight="1">
      <c r="B52" s="398" t="s">
        <v>246</v>
      </c>
      <c r="C52" s="398"/>
      <c r="D52" s="731">
        <f>IFERROR(D98/(AVERAGE(D113:D114)),"")</f>
        <v>3.0658949624866025</v>
      </c>
      <c r="E52" s="731">
        <f t="shared" ref="E52:N52" si="19">IFERROR(E98/(AVERAGE(E113:E114)),"")</f>
        <v>3.2510583196374321</v>
      </c>
      <c r="F52" s="731">
        <f t="shared" si="19"/>
        <v>2.4023797719385227</v>
      </c>
      <c r="G52" s="731">
        <f t="shared" si="19"/>
        <v>10.423728813559322</v>
      </c>
      <c r="H52" s="731">
        <f t="shared" si="19"/>
        <v>1.5319467941769407</v>
      </c>
      <c r="I52" s="731" t="str">
        <f t="shared" si="19"/>
        <v/>
      </c>
      <c r="J52" s="731" t="str">
        <f t="shared" si="19"/>
        <v/>
      </c>
      <c r="K52" s="731" t="str">
        <f t="shared" si="19"/>
        <v/>
      </c>
      <c r="L52" s="731" t="str">
        <f t="shared" si="19"/>
        <v/>
      </c>
      <c r="M52" s="731" t="str">
        <f t="shared" si="19"/>
        <v/>
      </c>
      <c r="N52" s="731" t="str">
        <f t="shared" si="19"/>
        <v/>
      </c>
      <c r="O52" s="674">
        <f t="shared" ref="O52:O57" si="20">IFERROR(+AVERAGE(D52:N52),"")</f>
        <v>4.1350017323597639</v>
      </c>
      <c r="P52" s="398"/>
      <c r="Q52" s="398"/>
      <c r="R52" s="445"/>
    </row>
    <row r="53" spans="2:18" s="373" customFormat="1" ht="14.25" customHeight="1">
      <c r="B53" s="398" t="s">
        <v>247</v>
      </c>
      <c r="C53" s="398"/>
      <c r="D53" s="731">
        <f>IFERROR(D97/D112,"")</f>
        <v>15.267682576193215</v>
      </c>
      <c r="E53" s="731">
        <f t="shared" ref="E53:N53" si="21">IFERROR(E97/E112,"")</f>
        <v>5.6577931931497938</v>
      </c>
      <c r="F53" s="731">
        <f t="shared" si="21"/>
        <v>4.1642441860465116</v>
      </c>
      <c r="G53" s="731">
        <f t="shared" si="21"/>
        <v>11.678894927536232</v>
      </c>
      <c r="H53" s="731">
        <f t="shared" si="21"/>
        <v>6.8283640424343943</v>
      </c>
      <c r="I53" s="731" t="str">
        <f t="shared" si="21"/>
        <v/>
      </c>
      <c r="J53" s="731" t="str">
        <f t="shared" si="21"/>
        <v/>
      </c>
      <c r="K53" s="731" t="str">
        <f t="shared" si="21"/>
        <v/>
      </c>
      <c r="L53" s="731" t="str">
        <f t="shared" si="21"/>
        <v/>
      </c>
      <c r="M53" s="731" t="str">
        <f t="shared" si="21"/>
        <v/>
      </c>
      <c r="N53" s="731" t="str">
        <f t="shared" si="21"/>
        <v/>
      </c>
      <c r="O53" s="674">
        <f t="shared" si="20"/>
        <v>8.7193957850720292</v>
      </c>
      <c r="P53" s="398"/>
      <c r="Q53" s="398"/>
      <c r="R53" s="445"/>
    </row>
    <row r="54" spans="2:18" s="373" customFormat="1" ht="14.25" customHeight="1">
      <c r="B54" s="398" t="s">
        <v>248</v>
      </c>
      <c r="C54" s="398"/>
      <c r="D54" s="731">
        <f>IFERROR(D98/D118,"")</f>
        <v>2.8477222045237336</v>
      </c>
      <c r="E54" s="731">
        <f t="shared" ref="E54:N54" si="22">IFERROR(E98/E118,"")</f>
        <v>5.1725832012678286</v>
      </c>
      <c r="F54" s="731">
        <f t="shared" si="22"/>
        <v>6.0874371859296481</v>
      </c>
      <c r="G54" s="731">
        <f t="shared" si="22"/>
        <v>11.471119133574007</v>
      </c>
      <c r="H54" s="731">
        <f t="shared" si="22"/>
        <v>4.3200777054050965</v>
      </c>
      <c r="I54" s="731" t="str">
        <f t="shared" si="22"/>
        <v/>
      </c>
      <c r="J54" s="731" t="str">
        <f t="shared" si="22"/>
        <v/>
      </c>
      <c r="K54" s="731" t="str">
        <f t="shared" si="22"/>
        <v/>
      </c>
      <c r="L54" s="731" t="str">
        <f t="shared" si="22"/>
        <v/>
      </c>
      <c r="M54" s="731" t="str">
        <f t="shared" si="22"/>
        <v/>
      </c>
      <c r="N54" s="731" t="str">
        <f t="shared" si="22"/>
        <v/>
      </c>
      <c r="O54" s="674">
        <f t="shared" si="20"/>
        <v>5.9797878861400635</v>
      </c>
      <c r="P54" s="398"/>
      <c r="Q54" s="398"/>
      <c r="R54" s="445"/>
    </row>
    <row r="55" spans="2:18" s="373" customFormat="1" ht="14.25" customHeight="1">
      <c r="B55" s="398" t="s">
        <v>249</v>
      </c>
      <c r="C55" s="398"/>
      <c r="D55" s="447">
        <f>IFERROR(D97/D116,"")</f>
        <v>0.48997010408208458</v>
      </c>
      <c r="E55" s="447">
        <f t="shared" ref="E55:N55" si="23">IFERROR(E97/E116,"")</f>
        <v>20.769855164730224</v>
      </c>
      <c r="F55" s="447">
        <f t="shared" si="23"/>
        <v>14.309100998890122</v>
      </c>
      <c r="G55" s="447">
        <f t="shared" si="23"/>
        <v>20.457754859182863</v>
      </c>
      <c r="H55" s="447">
        <f t="shared" si="23"/>
        <v>4.4654437109306535</v>
      </c>
      <c r="I55" s="447" t="str">
        <f t="shared" si="23"/>
        <v/>
      </c>
      <c r="J55" s="447" t="str">
        <f t="shared" si="23"/>
        <v/>
      </c>
      <c r="K55" s="447" t="str">
        <f t="shared" si="23"/>
        <v/>
      </c>
      <c r="L55" s="447" t="str">
        <f t="shared" si="23"/>
        <v/>
      </c>
      <c r="M55" s="447" t="str">
        <f t="shared" si="23"/>
        <v/>
      </c>
      <c r="N55" s="447" t="str">
        <f t="shared" si="23"/>
        <v/>
      </c>
      <c r="O55" s="674">
        <f t="shared" si="20"/>
        <v>12.09842496756319</v>
      </c>
      <c r="P55" s="398"/>
      <c r="Q55" s="398"/>
      <c r="R55" s="445"/>
    </row>
    <row r="56" spans="2:18" s="373" customFormat="1" ht="14.25" customHeight="1">
      <c r="B56" s="398" t="s">
        <v>250</v>
      </c>
      <c r="C56" s="398"/>
      <c r="D56" s="447">
        <f>IFERROR(D97/D117,"")</f>
        <v>0.27025472682393059</v>
      </c>
      <c r="E56" s="447">
        <f t="shared" ref="E56:N56" si="24">IFERROR(E97/E117,"")</f>
        <v>1.169317479234057</v>
      </c>
      <c r="F56" s="447">
        <f t="shared" si="24"/>
        <v>0.3724756594343166</v>
      </c>
      <c r="G56" s="447">
        <f t="shared" si="24"/>
        <v>0.31135259138519122</v>
      </c>
      <c r="H56" s="447">
        <f t="shared" si="24"/>
        <v>0.62922930009714018</v>
      </c>
      <c r="I56" s="447" t="str">
        <f t="shared" si="24"/>
        <v/>
      </c>
      <c r="J56" s="447" t="str">
        <f t="shared" si="24"/>
        <v/>
      </c>
      <c r="K56" s="447" t="str">
        <f t="shared" si="24"/>
        <v/>
      </c>
      <c r="L56" s="447" t="str">
        <f t="shared" si="24"/>
        <v/>
      </c>
      <c r="M56" s="447" t="str">
        <f t="shared" si="24"/>
        <v/>
      </c>
      <c r="N56" s="447" t="str">
        <f t="shared" si="24"/>
        <v/>
      </c>
      <c r="O56" s="674">
        <f t="shared" si="20"/>
        <v>0.5505259513949271</v>
      </c>
      <c r="P56" s="398"/>
      <c r="Q56" s="398"/>
      <c r="R56" s="445"/>
    </row>
    <row r="57" spans="2:18" s="373" customFormat="1" ht="14.25" customHeight="1">
      <c r="B57" s="398" t="s">
        <v>251</v>
      </c>
      <c r="C57" s="398"/>
      <c r="D57" s="732">
        <f>IFERROR(365/D52+365/D53-365/D54,"")</f>
        <v>14.785789319184005</v>
      </c>
      <c r="E57" s="732">
        <f t="shared" ref="E57:N57" si="25">IFERROR(365/E52+365/E53-365/E54,"")</f>
        <v>106.21956290295611</v>
      </c>
      <c r="F57" s="732">
        <f t="shared" si="25"/>
        <v>179.62409012289012</v>
      </c>
      <c r="G57" s="732">
        <f t="shared" si="25"/>
        <v>34.45017695299213</v>
      </c>
      <c r="H57" s="732">
        <f t="shared" si="25"/>
        <v>207.22321263518202</v>
      </c>
      <c r="I57" s="732" t="str">
        <f t="shared" si="25"/>
        <v/>
      </c>
      <c r="J57" s="732" t="str">
        <f t="shared" si="25"/>
        <v/>
      </c>
      <c r="K57" s="732" t="str">
        <f t="shared" si="25"/>
        <v/>
      </c>
      <c r="L57" s="732" t="str">
        <f t="shared" si="25"/>
        <v/>
      </c>
      <c r="M57" s="732" t="str">
        <f t="shared" si="25"/>
        <v/>
      </c>
      <c r="N57" s="732" t="str">
        <f t="shared" si="25"/>
        <v/>
      </c>
      <c r="O57" s="674">
        <f t="shared" si="20"/>
        <v>108.46056638664088</v>
      </c>
      <c r="P57" s="398"/>
      <c r="Q57" s="398"/>
      <c r="R57" s="445"/>
    </row>
    <row r="58" spans="2:18" s="373" customFormat="1" ht="3.95" customHeight="1">
      <c r="B58" s="398"/>
      <c r="C58" s="398"/>
      <c r="D58" s="674"/>
      <c r="E58" s="674"/>
      <c r="F58" s="674"/>
      <c r="G58" s="674"/>
      <c r="H58" s="674"/>
      <c r="I58" s="674"/>
      <c r="J58" s="674"/>
      <c r="K58" s="674"/>
      <c r="L58" s="674"/>
      <c r="M58" s="674"/>
      <c r="N58" s="674"/>
      <c r="O58" s="674"/>
      <c r="P58" s="398"/>
      <c r="Q58" s="398"/>
      <c r="R58" s="445"/>
    </row>
    <row r="59" spans="2:18" s="373" customFormat="1" ht="14.25" customHeight="1">
      <c r="B59" s="611" t="s">
        <v>252</v>
      </c>
      <c r="C59" s="612"/>
      <c r="D59" s="383" t="str">
        <f ca="1">+D38</f>
        <v>INTEL</v>
      </c>
      <c r="E59" s="383" t="str">
        <f t="shared" ref="E59:O59" si="26">+E38</f>
        <v>NVIDIA</v>
      </c>
      <c r="F59" s="383" t="str">
        <f t="shared" si="26"/>
        <v>AMD</v>
      </c>
      <c r="G59" s="383" t="str">
        <f t="shared" si="26"/>
        <v>Broadcom</v>
      </c>
      <c r="H59" s="383" t="str">
        <f t="shared" si="26"/>
        <v>ASML</v>
      </c>
      <c r="I59" s="383" t="str">
        <f t="shared" si="26"/>
        <v/>
      </c>
      <c r="J59" s="383" t="str">
        <f t="shared" si="26"/>
        <v/>
      </c>
      <c r="K59" s="383" t="str">
        <f t="shared" si="26"/>
        <v/>
      </c>
      <c r="L59" s="383" t="str">
        <f t="shared" si="26"/>
        <v/>
      </c>
      <c r="M59" s="383" t="str">
        <f t="shared" si="26"/>
        <v/>
      </c>
      <c r="N59" s="383" t="str">
        <f t="shared" si="26"/>
        <v/>
      </c>
      <c r="O59" s="383" t="str">
        <f t="shared" si="26"/>
        <v>Average</v>
      </c>
      <c r="P59" s="398"/>
      <c r="Q59" s="398"/>
      <c r="R59" s="445"/>
    </row>
    <row r="60" spans="2:18" s="373" customFormat="1" ht="3.95" customHeight="1">
      <c r="B60" s="433"/>
      <c r="C60" s="433"/>
      <c r="D60" s="433"/>
      <c r="E60" s="433"/>
      <c r="F60" s="433"/>
      <c r="G60" s="433"/>
      <c r="H60" s="433"/>
      <c r="I60" s="433"/>
      <c r="J60" s="433"/>
      <c r="K60" s="433"/>
      <c r="L60" s="433"/>
      <c r="M60" s="433"/>
      <c r="N60" s="433"/>
      <c r="O60" s="444"/>
      <c r="P60" s="398"/>
      <c r="Q60" s="398"/>
      <c r="R60" s="445"/>
    </row>
    <row r="61" spans="2:18" s="373" customFormat="1" ht="14.25" customHeight="1">
      <c r="B61" s="398" t="s">
        <v>253</v>
      </c>
      <c r="C61" s="398"/>
      <c r="D61" s="675">
        <f>IFERROR(D132/D97,"")</f>
        <v>2.2033483361895256E-2</v>
      </c>
      <c r="E61" s="675">
        <f t="shared" ref="E61:N61" si="27">IFERROR(E132/E97,"")</f>
        <v>1.0030881935983203E-2</v>
      </c>
      <c r="F61" s="675">
        <f t="shared" si="27"/>
        <v>-4.7314330036843126E-3</v>
      </c>
      <c r="G61" s="675">
        <f t="shared" si="27"/>
        <v>-9.3865125838600849E-2</v>
      </c>
      <c r="H61" s="675">
        <f t="shared" si="27"/>
        <v>0.18745339177078563</v>
      </c>
      <c r="I61" s="675" t="str">
        <f t="shared" si="27"/>
        <v/>
      </c>
      <c r="J61" s="675" t="str">
        <f t="shared" si="27"/>
        <v/>
      </c>
      <c r="K61" s="675" t="str">
        <f t="shared" si="27"/>
        <v/>
      </c>
      <c r="L61" s="675" t="str">
        <f t="shared" si="27"/>
        <v/>
      </c>
      <c r="M61" s="675" t="str">
        <f t="shared" si="27"/>
        <v/>
      </c>
      <c r="N61" s="675" t="str">
        <f t="shared" si="27"/>
        <v/>
      </c>
      <c r="O61" s="675">
        <f>IFERROR(+AVERAGE(D61:N61),"")</f>
        <v>2.4184239645275784E-2</v>
      </c>
      <c r="P61" s="398"/>
      <c r="Q61" s="398"/>
      <c r="R61" s="445"/>
    </row>
    <row r="62" spans="2:18" s="373" customFormat="1" ht="14.25" customHeight="1">
      <c r="B62" s="398" t="s">
        <v>254</v>
      </c>
      <c r="C62" s="398"/>
      <c r="D62" s="675">
        <f>IFERROR(D132/D96,"")</f>
        <v>0.6167633104902478</v>
      </c>
      <c r="E62" s="675">
        <f t="shared" ref="E62:N62" si="28">IFERROR(E132/E96,"")</f>
        <v>4.3985215053763439E-2</v>
      </c>
      <c r="F62" s="675">
        <f t="shared" si="28"/>
        <v>-0.14285714285714285</v>
      </c>
      <c r="G62" s="675">
        <f t="shared" si="28"/>
        <v>-0.34377219145007809</v>
      </c>
      <c r="H62" s="675">
        <f t="shared" si="28"/>
        <v>0.65297937791956251</v>
      </c>
      <c r="I62" s="675" t="str">
        <f t="shared" si="28"/>
        <v/>
      </c>
      <c r="J62" s="675" t="str">
        <f t="shared" si="28"/>
        <v/>
      </c>
      <c r="K62" s="675" t="str">
        <f t="shared" si="28"/>
        <v/>
      </c>
      <c r="L62" s="675" t="str">
        <f t="shared" si="28"/>
        <v/>
      </c>
      <c r="M62" s="675" t="str">
        <f t="shared" si="28"/>
        <v/>
      </c>
      <c r="N62" s="675" t="str">
        <f t="shared" si="28"/>
        <v/>
      </c>
      <c r="O62" s="675">
        <f t="shared" ref="O62:O68" si="29">IFERROR(+AVERAGE(D62:N62),"")</f>
        <v>0.16541971383127055</v>
      </c>
      <c r="P62" s="398"/>
      <c r="Q62" s="398"/>
      <c r="R62" s="445"/>
    </row>
    <row r="63" spans="2:18" s="373" customFormat="1" ht="14.25" customHeight="1">
      <c r="B63" s="398" t="s">
        <v>255</v>
      </c>
      <c r="C63" s="398"/>
      <c r="D63" s="675">
        <f>+IFERROR(D126/D105,"")</f>
        <v>-0.63822578161096566</v>
      </c>
      <c r="E63" s="675">
        <f t="shared" ref="E63:N63" si="30">+IFERROR(E126/E105,"")</f>
        <v>0.87937705817782652</v>
      </c>
      <c r="F63" s="675">
        <f t="shared" si="30"/>
        <v>1.8531383302864106</v>
      </c>
      <c r="G63" s="675">
        <f t="shared" si="30"/>
        <v>3.386259541984733</v>
      </c>
      <c r="H63" s="675">
        <f t="shared" si="30"/>
        <v>1.2362931798051373</v>
      </c>
      <c r="I63" s="675" t="str">
        <f t="shared" si="30"/>
        <v/>
      </c>
      <c r="J63" s="675" t="str">
        <f t="shared" si="30"/>
        <v/>
      </c>
      <c r="K63" s="675" t="str">
        <f t="shared" si="30"/>
        <v/>
      </c>
      <c r="L63" s="675" t="str">
        <f t="shared" si="30"/>
        <v/>
      </c>
      <c r="M63" s="675" t="str">
        <f t="shared" si="30"/>
        <v/>
      </c>
      <c r="N63" s="675" t="str">
        <f t="shared" si="30"/>
        <v/>
      </c>
      <c r="O63" s="675">
        <f t="shared" si="29"/>
        <v>1.3433684657286284</v>
      </c>
      <c r="P63" s="398"/>
      <c r="Q63" s="398"/>
      <c r="R63" s="445"/>
    </row>
    <row r="64" spans="2:18" s="373" customFormat="1" ht="14.25" customHeight="1">
      <c r="B64" s="398" t="s">
        <v>256</v>
      </c>
      <c r="C64" s="398"/>
      <c r="D64" s="675">
        <f t="shared" ref="D64:N64" si="31">IFERROR(-D127/D126,"")</f>
        <v>2.8889961389961392</v>
      </c>
      <c r="E64" s="675">
        <f t="shared" si="31"/>
        <v>5.0492284167329808E-2</v>
      </c>
      <c r="F64" s="675">
        <f t="shared" si="31"/>
        <v>0.20914172969417955</v>
      </c>
      <c r="G64" s="675">
        <f t="shared" si="31"/>
        <v>2.7452159102294361E-2</v>
      </c>
      <c r="H64" s="675">
        <f t="shared" si="31"/>
        <v>0.18513012484103811</v>
      </c>
      <c r="I64" s="675" t="str">
        <f t="shared" si="31"/>
        <v/>
      </c>
      <c r="J64" s="675" t="str">
        <f t="shared" si="31"/>
        <v/>
      </c>
      <c r="K64" s="675" t="str">
        <f t="shared" si="31"/>
        <v/>
      </c>
      <c r="L64" s="675" t="str">
        <f t="shared" si="31"/>
        <v/>
      </c>
      <c r="M64" s="675" t="str">
        <f t="shared" si="31"/>
        <v/>
      </c>
      <c r="N64" s="675" t="str">
        <f t="shared" si="31"/>
        <v/>
      </c>
      <c r="O64" s="675">
        <f t="shared" si="29"/>
        <v>0.67224248736019621</v>
      </c>
      <c r="P64" s="398"/>
      <c r="Q64" s="398"/>
      <c r="R64" s="445"/>
    </row>
    <row r="65" spans="1:52" s="373" customFormat="1" ht="14.25" customHeight="1">
      <c r="A65" s="398"/>
      <c r="B65" s="398" t="s">
        <v>257</v>
      </c>
      <c r="C65" s="398"/>
      <c r="D65" s="675">
        <f>IFERROR(-D128/D126,"")</f>
        <v>2.2027027027027026</v>
      </c>
      <c r="E65" s="675">
        <f t="shared" ref="E65:N65" si="32">IFERROR(-E128/E126,"")</f>
        <v>0.31863502317090298</v>
      </c>
      <c r="F65" s="675">
        <f t="shared" si="32"/>
        <v>0.36205195659322592</v>
      </c>
      <c r="G65" s="675">
        <f t="shared" si="32"/>
        <v>1.1556958220619176</v>
      </c>
      <c r="H65" s="675">
        <f t="shared" si="32"/>
        <v>0.2336784223818309</v>
      </c>
      <c r="I65" s="675" t="str">
        <f t="shared" si="32"/>
        <v/>
      </c>
      <c r="J65" s="675" t="str">
        <f t="shared" si="32"/>
        <v/>
      </c>
      <c r="K65" s="675" t="str">
        <f t="shared" si="32"/>
        <v/>
      </c>
      <c r="L65" s="675" t="str">
        <f t="shared" si="32"/>
        <v/>
      </c>
      <c r="M65" s="675" t="str">
        <f t="shared" si="32"/>
        <v/>
      </c>
      <c r="N65" s="675" t="str">
        <f t="shared" si="32"/>
        <v/>
      </c>
      <c r="O65" s="675">
        <f t="shared" si="29"/>
        <v>0.8545527853821161</v>
      </c>
      <c r="P65" s="398"/>
      <c r="Q65" s="398"/>
      <c r="R65" s="445"/>
      <c r="S65" s="398"/>
      <c r="T65" s="398"/>
      <c r="U65" s="398"/>
      <c r="V65" s="398"/>
      <c r="W65" s="398"/>
      <c r="X65" s="398"/>
      <c r="Y65" s="398"/>
      <c r="Z65" s="398"/>
      <c r="AA65" s="398"/>
      <c r="AB65" s="398"/>
      <c r="AC65" s="398"/>
      <c r="AD65" s="398"/>
      <c r="AE65" s="398"/>
      <c r="AF65" s="398"/>
      <c r="AG65" s="398"/>
      <c r="AH65" s="398"/>
      <c r="AI65" s="398"/>
      <c r="AJ65" s="398"/>
      <c r="AK65" s="398"/>
      <c r="AL65" s="398"/>
      <c r="AM65" s="398"/>
      <c r="AN65" s="398"/>
      <c r="AO65" s="398"/>
      <c r="AP65" s="398"/>
      <c r="AQ65" s="398"/>
      <c r="AR65" s="398"/>
      <c r="AS65" s="398"/>
      <c r="AT65" s="398"/>
      <c r="AU65" s="398"/>
      <c r="AV65" s="398"/>
      <c r="AW65" s="398"/>
      <c r="AX65" s="398"/>
      <c r="AY65" s="398"/>
      <c r="AZ65" s="398"/>
    </row>
    <row r="66" spans="1:52" s="373" customFormat="1" ht="14.25" customHeight="1">
      <c r="A66" s="398"/>
      <c r="B66" s="398" t="s">
        <v>258</v>
      </c>
      <c r="C66" s="398"/>
      <c r="D66" s="675">
        <f>IFERROR((D129+D130)/D126,"")</f>
        <v>8.2890926640926635E-2</v>
      </c>
      <c r="E66" s="675">
        <f t="shared" ref="E66:N66" si="33">IFERROR((E129+E130)/E126,"")</f>
        <v>-1.9504127073288708E-2</v>
      </c>
      <c r="F66" s="675">
        <f t="shared" si="33"/>
        <v>-0.24662939822426833</v>
      </c>
      <c r="G66" s="675">
        <f t="shared" si="33"/>
        <v>1.0192365494439435</v>
      </c>
      <c r="H66" s="675">
        <f t="shared" si="33"/>
        <v>-1.0298937866060074E-2</v>
      </c>
      <c r="I66" s="675" t="str">
        <f t="shared" si="33"/>
        <v/>
      </c>
      <c r="J66" s="675" t="str">
        <f t="shared" si="33"/>
        <v/>
      </c>
      <c r="K66" s="675" t="str">
        <f t="shared" si="33"/>
        <v/>
      </c>
      <c r="L66" s="675" t="str">
        <f t="shared" si="33"/>
        <v/>
      </c>
      <c r="M66" s="675" t="str">
        <f t="shared" si="33"/>
        <v/>
      </c>
      <c r="N66" s="675" t="str">
        <f t="shared" si="33"/>
        <v/>
      </c>
      <c r="O66" s="675">
        <f t="shared" si="29"/>
        <v>0.1651390025842506</v>
      </c>
      <c r="P66" s="398"/>
      <c r="Q66" s="398"/>
      <c r="R66" s="445"/>
      <c r="S66" s="398"/>
      <c r="T66" s="398"/>
      <c r="U66" s="398"/>
      <c r="V66" s="398"/>
      <c r="W66" s="398"/>
      <c r="X66" s="398"/>
      <c r="Y66" s="398"/>
      <c r="Z66" s="398"/>
      <c r="AA66" s="398"/>
      <c r="AB66" s="398"/>
      <c r="AC66" s="398"/>
      <c r="AD66" s="398"/>
      <c r="AE66" s="398"/>
      <c r="AF66" s="398"/>
      <c r="AG66" s="398"/>
      <c r="AH66" s="398"/>
      <c r="AI66" s="398"/>
      <c r="AJ66" s="398"/>
      <c r="AK66" s="398"/>
      <c r="AL66" s="398"/>
      <c r="AM66" s="398"/>
      <c r="AN66" s="398"/>
      <c r="AO66" s="398"/>
      <c r="AP66" s="398"/>
      <c r="AQ66" s="398"/>
      <c r="AR66" s="398"/>
      <c r="AS66" s="398"/>
      <c r="AT66" s="398"/>
      <c r="AU66" s="398"/>
      <c r="AV66" s="398"/>
      <c r="AW66" s="398"/>
      <c r="AX66" s="398"/>
      <c r="AY66" s="398"/>
      <c r="AZ66" s="398"/>
    </row>
    <row r="67" spans="1:52" s="373" customFormat="1" ht="14.25" customHeight="1">
      <c r="A67" s="398"/>
      <c r="B67" s="398" t="s">
        <v>259</v>
      </c>
      <c r="C67" s="398"/>
      <c r="D67" s="675">
        <f>+IFERROR(-D130/D129,"")</f>
        <v>0.76907563025210079</v>
      </c>
      <c r="E67" s="675" t="str">
        <f t="shared" ref="E67:N67" si="34">+IFERROR(-E130/E129,"")</f>
        <v/>
      </c>
      <c r="F67" s="675" t="str">
        <f t="shared" si="34"/>
        <v/>
      </c>
      <c r="G67" s="675">
        <f t="shared" si="34"/>
        <v>0.49076437903589126</v>
      </c>
      <c r="H67" s="675" t="str">
        <f t="shared" si="34"/>
        <v/>
      </c>
      <c r="I67" s="675" t="str">
        <f t="shared" si="34"/>
        <v/>
      </c>
      <c r="J67" s="675" t="str">
        <f t="shared" si="34"/>
        <v/>
      </c>
      <c r="K67" s="675" t="str">
        <f t="shared" si="34"/>
        <v/>
      </c>
      <c r="L67" s="675" t="str">
        <f t="shared" si="34"/>
        <v/>
      </c>
      <c r="M67" s="675" t="str">
        <f t="shared" si="34"/>
        <v/>
      </c>
      <c r="N67" s="675" t="str">
        <f t="shared" si="34"/>
        <v/>
      </c>
      <c r="O67" s="675">
        <f>IFERROR(+AVERAGE(D67:N67),"")</f>
        <v>0.629920004643996</v>
      </c>
      <c r="P67" s="398"/>
      <c r="Q67" s="398"/>
      <c r="R67" s="445"/>
      <c r="S67" s="398"/>
      <c r="T67" s="398"/>
      <c r="U67" s="398"/>
      <c r="V67" s="398"/>
      <c r="W67" s="398"/>
      <c r="X67" s="398"/>
      <c r="Y67" s="398"/>
      <c r="Z67" s="398"/>
      <c r="AA67" s="398"/>
      <c r="AB67" s="398"/>
      <c r="AC67" s="398"/>
      <c r="AD67" s="398"/>
      <c r="AE67" s="398"/>
      <c r="AF67" s="398"/>
      <c r="AG67" s="398"/>
      <c r="AH67" s="398"/>
      <c r="AI67" s="398"/>
      <c r="AJ67" s="398"/>
      <c r="AK67" s="398"/>
      <c r="AL67" s="398"/>
      <c r="AM67" s="398"/>
      <c r="AN67" s="398"/>
      <c r="AO67" s="398"/>
      <c r="AP67" s="398"/>
      <c r="AQ67" s="398"/>
      <c r="AR67" s="398"/>
      <c r="AS67" s="398"/>
      <c r="AT67" s="398"/>
      <c r="AU67" s="398"/>
      <c r="AV67" s="398"/>
      <c r="AW67" s="398"/>
      <c r="AX67" s="398"/>
      <c r="AY67" s="398"/>
      <c r="AZ67" s="398"/>
    </row>
    <row r="68" spans="1:52" s="373" customFormat="1" ht="14.25" customHeight="1">
      <c r="A68" s="398"/>
      <c r="B68" s="398" t="s">
        <v>260</v>
      </c>
      <c r="C68" s="398"/>
      <c r="D68" s="675">
        <f t="shared" ref="D68:N68" si="35">IFERROR(-D131/D126,"")</f>
        <v>-1.3438706563706564</v>
      </c>
      <c r="E68" s="675">
        <f t="shared" si="35"/>
        <v>0.66094025495794906</v>
      </c>
      <c r="F68" s="675">
        <f t="shared" si="35"/>
        <v>0.67806642551792173</v>
      </c>
      <c r="G68" s="675">
        <f t="shared" si="35"/>
        <v>8.6814948401963729E-2</v>
      </c>
      <c r="H68" s="675">
        <f t="shared" si="35"/>
        <v>-0.25363149504755422</v>
      </c>
      <c r="I68" s="675" t="str">
        <f t="shared" si="35"/>
        <v/>
      </c>
      <c r="J68" s="675" t="str">
        <f t="shared" si="35"/>
        <v/>
      </c>
      <c r="K68" s="675" t="str">
        <f t="shared" si="35"/>
        <v/>
      </c>
      <c r="L68" s="675" t="str">
        <f t="shared" si="35"/>
        <v/>
      </c>
      <c r="M68" s="675" t="str">
        <f t="shared" si="35"/>
        <v/>
      </c>
      <c r="N68" s="675" t="str">
        <f t="shared" si="35"/>
        <v/>
      </c>
      <c r="O68" s="675">
        <f t="shared" si="29"/>
        <v>-3.4336104508075213E-2</v>
      </c>
      <c r="P68" s="398"/>
      <c r="Q68" s="398"/>
      <c r="R68" s="445"/>
      <c r="S68" s="398"/>
      <c r="T68" s="398"/>
      <c r="U68" s="398"/>
      <c r="V68" s="398"/>
      <c r="W68" s="398"/>
      <c r="X68" s="398"/>
      <c r="Y68" s="398"/>
      <c r="Z68" s="398"/>
      <c r="AA68" s="398"/>
      <c r="AB68" s="398"/>
      <c r="AC68" s="398"/>
      <c r="AD68" s="398"/>
      <c r="AE68" s="398"/>
      <c r="AF68" s="398"/>
      <c r="AG68" s="398"/>
      <c r="AH68" s="398"/>
      <c r="AI68" s="398"/>
      <c r="AJ68" s="398"/>
      <c r="AK68" s="398"/>
      <c r="AL68" s="398"/>
      <c r="AM68" s="398"/>
      <c r="AN68" s="398"/>
      <c r="AO68" s="398"/>
      <c r="AP68" s="398"/>
      <c r="AQ68" s="398"/>
      <c r="AR68" s="398"/>
      <c r="AS68" s="398"/>
      <c r="AT68" s="398"/>
      <c r="AU68" s="398"/>
      <c r="AV68" s="398"/>
      <c r="AW68" s="398"/>
      <c r="AX68" s="398"/>
      <c r="AY68" s="398"/>
      <c r="AZ68" s="398"/>
    </row>
    <row r="69" spans="1:52" s="373" customFormat="1" ht="14.25" customHeight="1">
      <c r="A69" s="398"/>
      <c r="B69" s="398" t="s">
        <v>261</v>
      </c>
      <c r="C69" s="398"/>
      <c r="D69" s="448"/>
      <c r="E69" s="448"/>
      <c r="F69" s="448"/>
      <c r="G69" s="448"/>
      <c r="H69" s="448"/>
      <c r="I69" s="448"/>
      <c r="J69" s="448"/>
      <c r="K69" s="448"/>
      <c r="L69" s="448"/>
      <c r="M69" s="448"/>
      <c r="N69" s="448"/>
      <c r="O69" s="675" t="str">
        <f>IFERROR(+AVERAGE(D69:N69),"")</f>
        <v/>
      </c>
      <c r="P69" s="398"/>
      <c r="Q69" s="398"/>
      <c r="R69" s="445"/>
      <c r="S69" s="398"/>
      <c r="T69" s="398"/>
      <c r="U69" s="398"/>
      <c r="V69" s="398"/>
      <c r="W69" s="398"/>
      <c r="X69" s="398"/>
      <c r="Y69" s="398"/>
      <c r="Z69" s="398"/>
      <c r="AA69" s="398"/>
      <c r="AB69" s="398"/>
      <c r="AC69" s="398"/>
      <c r="AD69" s="398"/>
      <c r="AE69" s="398"/>
      <c r="AF69" s="398"/>
      <c r="AG69" s="398"/>
      <c r="AH69" s="398"/>
      <c r="AI69" s="398"/>
      <c r="AJ69" s="398"/>
      <c r="AK69" s="398"/>
      <c r="AL69" s="398"/>
      <c r="AM69" s="398"/>
      <c r="AN69" s="398"/>
      <c r="AO69" s="398"/>
      <c r="AP69" s="398"/>
      <c r="AQ69" s="398"/>
      <c r="AR69" s="398"/>
      <c r="AS69" s="398"/>
      <c r="AT69" s="398"/>
      <c r="AU69" s="398"/>
      <c r="AV69" s="398"/>
      <c r="AW69" s="398"/>
      <c r="AX69" s="398"/>
      <c r="AY69" s="398"/>
      <c r="AZ69" s="398"/>
    </row>
    <row r="70" spans="1:52" s="373" customFormat="1" ht="3.75" customHeight="1">
      <c r="A70" s="398"/>
      <c r="B70" s="398"/>
      <c r="C70" s="398"/>
      <c r="D70" s="398"/>
      <c r="E70" s="398"/>
      <c r="F70" s="398"/>
      <c r="G70" s="398"/>
      <c r="H70" s="398"/>
      <c r="I70" s="398"/>
      <c r="J70" s="398"/>
      <c r="K70" s="398"/>
      <c r="L70" s="398"/>
      <c r="M70" s="398"/>
      <c r="N70" s="398"/>
      <c r="O70" s="442"/>
      <c r="P70" s="398"/>
      <c r="Q70" s="398"/>
      <c r="R70" s="445"/>
      <c r="S70" s="398"/>
      <c r="T70" s="398"/>
      <c r="U70" s="398"/>
      <c r="V70" s="398"/>
      <c r="W70" s="398"/>
      <c r="X70" s="398"/>
      <c r="Y70" s="398"/>
      <c r="Z70" s="398"/>
      <c r="AA70" s="398"/>
      <c r="AB70" s="398"/>
      <c r="AC70" s="398"/>
      <c r="AD70" s="398"/>
      <c r="AE70" s="398"/>
      <c r="AF70" s="398"/>
      <c r="AG70" s="398"/>
      <c r="AH70" s="398"/>
      <c r="AI70" s="398"/>
      <c r="AJ70" s="398"/>
      <c r="AK70" s="398"/>
      <c r="AL70" s="398"/>
      <c r="AM70" s="398"/>
      <c r="AN70" s="398"/>
      <c r="AO70" s="398"/>
      <c r="AP70" s="398"/>
      <c r="AQ70" s="398"/>
      <c r="AR70" s="398"/>
      <c r="AS70" s="398"/>
      <c r="AT70" s="398"/>
      <c r="AU70" s="398"/>
      <c r="AV70" s="398"/>
      <c r="AW70" s="398"/>
      <c r="AX70" s="398"/>
      <c r="AY70" s="398"/>
      <c r="AZ70" s="398"/>
    </row>
    <row r="71" spans="1:52" s="376" customFormat="1" ht="14.25" customHeight="1">
      <c r="A71" s="407"/>
      <c r="B71" s="611" t="s">
        <v>262</v>
      </c>
      <c r="C71" s="612"/>
      <c r="D71" s="383" t="str">
        <f t="shared" ref="D71:O71" ca="1" si="36">+D29</f>
        <v>INTEL</v>
      </c>
      <c r="E71" s="383" t="str">
        <f t="shared" si="36"/>
        <v>NVIDIA</v>
      </c>
      <c r="F71" s="383" t="str">
        <f t="shared" si="36"/>
        <v>AMD</v>
      </c>
      <c r="G71" s="383" t="str">
        <f t="shared" si="36"/>
        <v>Broadcom</v>
      </c>
      <c r="H71" s="383" t="str">
        <f t="shared" si="36"/>
        <v>ASML</v>
      </c>
      <c r="I71" s="383" t="str">
        <f t="shared" si="36"/>
        <v/>
      </c>
      <c r="J71" s="383" t="str">
        <f t="shared" si="36"/>
        <v/>
      </c>
      <c r="K71" s="383" t="str">
        <f t="shared" si="36"/>
        <v/>
      </c>
      <c r="L71" s="383" t="str">
        <f t="shared" si="36"/>
        <v/>
      </c>
      <c r="M71" s="383" t="str">
        <f t="shared" si="36"/>
        <v/>
      </c>
      <c r="N71" s="383" t="str">
        <f t="shared" si="36"/>
        <v/>
      </c>
      <c r="O71" s="383" t="str">
        <f t="shared" si="36"/>
        <v>Average</v>
      </c>
      <c r="P71" s="407"/>
      <c r="Q71" s="407"/>
      <c r="R71" s="613"/>
      <c r="S71" s="407"/>
      <c r="T71" s="407"/>
      <c r="U71" s="407"/>
      <c r="V71" s="407"/>
      <c r="W71" s="407"/>
      <c r="X71" s="407"/>
      <c r="Y71" s="407"/>
      <c r="Z71" s="407"/>
      <c r="AA71" s="407"/>
      <c r="AB71" s="407"/>
      <c r="AC71" s="407"/>
      <c r="AD71" s="407"/>
      <c r="AE71" s="407"/>
      <c r="AF71" s="407"/>
      <c r="AG71" s="407"/>
      <c r="AH71" s="407"/>
      <c r="AI71" s="407"/>
      <c r="AJ71" s="407"/>
      <c r="AK71" s="407"/>
      <c r="AL71" s="407"/>
      <c r="AM71" s="407"/>
      <c r="AN71" s="407"/>
      <c r="AO71" s="407"/>
      <c r="AP71" s="407"/>
      <c r="AQ71" s="407"/>
      <c r="AR71" s="407"/>
      <c r="AS71" s="407"/>
      <c r="AT71" s="407"/>
      <c r="AU71" s="407"/>
      <c r="AV71" s="407"/>
      <c r="AW71" s="407"/>
      <c r="AX71" s="407"/>
      <c r="AY71" s="407"/>
      <c r="AZ71" s="407"/>
    </row>
    <row r="72" spans="1:52" s="373" customFormat="1" ht="3.75" customHeight="1">
      <c r="A72" s="398"/>
      <c r="B72" s="433"/>
      <c r="C72" s="433"/>
      <c r="D72" s="433"/>
      <c r="E72" s="433"/>
      <c r="F72" s="433"/>
      <c r="G72" s="433"/>
      <c r="H72" s="433"/>
      <c r="I72" s="433"/>
      <c r="J72" s="433"/>
      <c r="K72" s="433"/>
      <c r="L72" s="433"/>
      <c r="M72" s="433"/>
      <c r="N72" s="433"/>
      <c r="O72" s="444"/>
      <c r="P72" s="398"/>
      <c r="Q72" s="398"/>
      <c r="R72" s="445"/>
      <c r="S72" s="398"/>
      <c r="T72" s="398"/>
      <c r="U72" s="398"/>
      <c r="V72" s="398"/>
      <c r="W72" s="398"/>
      <c r="X72" s="398"/>
      <c r="Y72" s="398"/>
      <c r="Z72" s="398"/>
      <c r="AA72" s="398"/>
      <c r="AB72" s="398"/>
      <c r="AC72" s="398"/>
      <c r="AD72" s="398"/>
      <c r="AE72" s="398"/>
      <c r="AF72" s="398"/>
      <c r="AG72" s="398"/>
      <c r="AH72" s="398"/>
      <c r="AI72" s="398"/>
      <c r="AJ72" s="398"/>
      <c r="AK72" s="398"/>
      <c r="AL72" s="398"/>
      <c r="AM72" s="398"/>
      <c r="AN72" s="398"/>
      <c r="AO72" s="398"/>
      <c r="AP72" s="398"/>
      <c r="AQ72" s="398"/>
      <c r="AR72" s="398"/>
      <c r="AS72" s="398"/>
      <c r="AT72" s="398"/>
      <c r="AU72" s="398"/>
      <c r="AV72" s="398"/>
      <c r="AW72" s="398"/>
      <c r="AX72" s="398"/>
      <c r="AY72" s="398"/>
      <c r="AZ72" s="398"/>
    </row>
    <row r="73" spans="1:52" s="373" customFormat="1" ht="14.25" customHeight="1">
      <c r="A73" s="398"/>
      <c r="B73" s="398" t="s">
        <v>263</v>
      </c>
      <c r="C73" s="398"/>
      <c r="D73" s="448">
        <f>4.32/4.36</f>
        <v>0.99082568807339444</v>
      </c>
      <c r="E73" s="448">
        <f>23.41/24.4</f>
        <v>0.95942622950819678</v>
      </c>
      <c r="F73" s="448">
        <f>1.61/1.62</f>
        <v>0.99382716049382713</v>
      </c>
      <c r="G73" s="448">
        <v>8.6300000000000005E-4</v>
      </c>
      <c r="H73" s="448">
        <f>392.08/393.2</f>
        <v>0.99715157680569688</v>
      </c>
      <c r="I73" s="448"/>
      <c r="J73" s="448"/>
      <c r="K73" s="448"/>
      <c r="L73" s="448"/>
      <c r="M73" s="448"/>
      <c r="N73" s="448"/>
      <c r="O73" s="675">
        <f>IFERROR(+AVERAGE(D73:N73),"")</f>
        <v>0.78841873097622306</v>
      </c>
      <c r="P73" s="398"/>
      <c r="Q73" s="398"/>
      <c r="R73" s="445"/>
      <c r="S73" s="398"/>
      <c r="T73" s="398"/>
      <c r="U73" s="398"/>
      <c r="V73" s="398"/>
      <c r="W73" s="398"/>
      <c r="X73" s="398"/>
      <c r="Y73" s="398"/>
      <c r="Z73" s="398"/>
      <c r="AA73" s="398"/>
      <c r="AB73" s="398"/>
      <c r="AC73" s="398"/>
      <c r="AD73" s="398"/>
      <c r="AE73" s="398"/>
      <c r="AF73" s="398"/>
      <c r="AG73" s="398"/>
      <c r="AH73" s="398"/>
      <c r="AI73" s="398"/>
      <c r="AJ73" s="398"/>
      <c r="AK73" s="398"/>
      <c r="AL73" s="398"/>
      <c r="AM73" s="398"/>
      <c r="AN73" s="398"/>
      <c r="AO73" s="398"/>
      <c r="AP73" s="398"/>
      <c r="AQ73" s="398"/>
      <c r="AR73" s="398"/>
      <c r="AS73" s="398"/>
      <c r="AT73" s="398"/>
      <c r="AU73" s="398"/>
      <c r="AV73" s="398"/>
      <c r="AW73" s="398"/>
      <c r="AX73" s="398"/>
      <c r="AY73" s="398"/>
      <c r="AZ73" s="398"/>
    </row>
    <row r="74" spans="1:52" s="373" customFormat="1" ht="14.25" customHeight="1">
      <c r="A74" s="398"/>
      <c r="B74" s="398" t="s">
        <v>264</v>
      </c>
      <c r="C74" s="398"/>
      <c r="D74" s="423" cm="1">
        <f t="array" aca="1" ref="D74" ca="1">IFERROR(_FV(D91,"Beta"),"")</f>
        <v>1.266</v>
      </c>
      <c r="E74" s="423" cm="1">
        <f t="array" aca="1" ref="E74" ca="1">IFERROR(_FV(E91,"Beta"),"")</f>
        <v>2.1215999999999999</v>
      </c>
      <c r="F74" s="423" cm="1">
        <f t="array" aca="1" ref="F74" ca="1">IFERROR(_FV(F91,"Beta"),"")</f>
        <v>1.9023000000000001</v>
      </c>
      <c r="G74" s="423" cm="1">
        <f t="array" aca="1" ref="G74" ca="1">IFERROR(_FV(G91,"Beta"),"")</f>
        <v>1.2089000000000001</v>
      </c>
      <c r="H74" s="423" cm="1">
        <f t="array" aca="1" ref="H74" ca="1">IFERROR(_FV(H91,"Beta"),"")</f>
        <v>1.8327</v>
      </c>
      <c r="I74" s="423" t="str" cm="1">
        <f t="array" ref="I74">IFERROR(_FV(I91,"Beta"),"")</f>
        <v/>
      </c>
      <c r="J74" s="423" t="str" cm="1">
        <f t="array" ref="J74">IFERROR(_FV(J91,"Beta"),"")</f>
        <v/>
      </c>
      <c r="K74" s="423" t="str" cm="1">
        <f t="array" ref="K74">IFERROR(_FV(K91,"Beta"),"")</f>
        <v/>
      </c>
      <c r="L74" s="423" t="str" cm="1">
        <f t="array" ref="L74">IFERROR(_FV(L91,"Beta"),"")</f>
        <v/>
      </c>
      <c r="M74" s="423" t="str" cm="1">
        <f t="array" ref="M74">IFERROR(_FV(M91,"Beta"),"")</f>
        <v/>
      </c>
      <c r="N74" s="423" t="str" cm="1">
        <f t="array" ref="N74">IFERROR(_FV(N91,"Beta"),"")</f>
        <v/>
      </c>
      <c r="O74" s="676">
        <f t="shared" ref="O74:O75" ca="1" si="37">IFERROR(+AVERAGE(D74:N74),"")</f>
        <v>1.6663000000000001</v>
      </c>
      <c r="P74" s="398"/>
      <c r="Q74" s="398"/>
      <c r="R74" s="445"/>
      <c r="S74" s="398"/>
      <c r="T74" s="398"/>
      <c r="U74" s="398"/>
      <c r="V74" s="398"/>
      <c r="W74" s="398"/>
      <c r="X74" s="398"/>
      <c r="Y74" s="398"/>
      <c r="Z74" s="398"/>
      <c r="AA74" s="398"/>
      <c r="AB74" s="398"/>
      <c r="AC74" s="398"/>
      <c r="AD74" s="398"/>
      <c r="AE74" s="398"/>
      <c r="AF74" s="398"/>
      <c r="AG74" s="398"/>
      <c r="AH74" s="398"/>
      <c r="AI74" s="398"/>
      <c r="AJ74" s="398"/>
      <c r="AK74" s="398"/>
      <c r="AL74" s="398"/>
      <c r="AM74" s="398"/>
      <c r="AN74" s="398"/>
      <c r="AO74" s="398"/>
      <c r="AP74" s="398"/>
      <c r="AQ74" s="398"/>
      <c r="AR74" s="398"/>
      <c r="AS74" s="398"/>
      <c r="AT74" s="398"/>
      <c r="AU74" s="398"/>
      <c r="AV74" s="398"/>
      <c r="AW74" s="398"/>
      <c r="AX74" s="398"/>
      <c r="AY74" s="398"/>
      <c r="AZ74" s="398"/>
    </row>
    <row r="75" spans="1:52" s="373" customFormat="1" ht="14.1" customHeight="1">
      <c r="A75" s="398"/>
      <c r="B75" s="398" t="s">
        <v>265</v>
      </c>
      <c r="C75" s="398"/>
      <c r="D75" s="423">
        <f ca="1">IFERROR(D74/(1+(1-D104/D103)*(D121/D122)),"")</f>
        <v>0.58490904239246089</v>
      </c>
      <c r="E75" s="423">
        <f ca="1">+E74/(1+(1-E104/E103)*(E121/E122))</f>
        <v>1.9128302199114884</v>
      </c>
      <c r="F75" s="423">
        <f t="shared" ref="F75:H75" ca="1" si="38">+F74/(1+(1-F104/F103)*(F121/F122))</f>
        <v>1.8574090751301358</v>
      </c>
      <c r="G75" s="423">
        <f t="shared" ca="1" si="38"/>
        <v>0.75118967076346177</v>
      </c>
      <c r="H75" s="423">
        <f t="shared" ca="1" si="38"/>
        <v>1.6987307561741662</v>
      </c>
      <c r="I75" s="423" t="str">
        <f t="shared" ref="I75:N75" si="39">IFERROR(I74/(1+(1-I104/I103)*(I121/I122)),"")</f>
        <v/>
      </c>
      <c r="J75" s="423" t="str">
        <f t="shared" si="39"/>
        <v/>
      </c>
      <c r="K75" s="423" t="str">
        <f t="shared" si="39"/>
        <v/>
      </c>
      <c r="L75" s="423" t="str">
        <f t="shared" si="39"/>
        <v/>
      </c>
      <c r="M75" s="423" t="str">
        <f t="shared" si="39"/>
        <v/>
      </c>
      <c r="N75" s="423" t="str">
        <f t="shared" si="39"/>
        <v/>
      </c>
      <c r="O75" s="676">
        <f t="shared" ca="1" si="37"/>
        <v>1.3610137528743427</v>
      </c>
      <c r="P75" s="398"/>
      <c r="Q75" s="398"/>
      <c r="R75" s="445"/>
      <c r="S75" s="398"/>
      <c r="T75" s="398"/>
      <c r="U75" s="398"/>
      <c r="V75" s="398"/>
      <c r="W75" s="398"/>
      <c r="X75" s="398"/>
      <c r="Y75" s="398"/>
      <c r="Z75" s="398"/>
      <c r="AA75" s="398"/>
      <c r="AB75" s="398"/>
      <c r="AC75" s="398"/>
      <c r="AD75" s="398"/>
      <c r="AE75" s="398"/>
      <c r="AF75" s="398"/>
      <c r="AG75" s="398"/>
      <c r="AH75" s="398"/>
      <c r="AI75" s="398"/>
      <c r="AJ75" s="398"/>
      <c r="AK75" s="398"/>
      <c r="AL75" s="398"/>
      <c r="AM75" s="398"/>
      <c r="AN75" s="398"/>
      <c r="AO75" s="398"/>
      <c r="AP75" s="398"/>
      <c r="AQ75" s="398"/>
      <c r="AR75" s="398"/>
      <c r="AS75" s="398"/>
      <c r="AT75" s="398"/>
      <c r="AU75" s="398"/>
      <c r="AV75" s="398"/>
      <c r="AW75" s="398"/>
      <c r="AX75" s="398"/>
      <c r="AY75" s="398"/>
      <c r="AZ75" s="398"/>
    </row>
    <row r="76" spans="1:52" s="373" customFormat="1" ht="14.25" customHeight="1">
      <c r="A76" s="398"/>
      <c r="B76" s="398" t="s">
        <v>44</v>
      </c>
      <c r="C76" s="398"/>
      <c r="D76" s="448">
        <v>8.0000000000000004E-4</v>
      </c>
      <c r="E76" s="795">
        <v>4.3200000000000002E-2</v>
      </c>
      <c r="F76" s="448">
        <v>4.7000000000000002E-3</v>
      </c>
      <c r="G76" s="448">
        <v>2.0199999999999999E-2</v>
      </c>
      <c r="H76" s="448">
        <v>1E-4</v>
      </c>
      <c r="I76" s="448"/>
      <c r="J76" s="448"/>
      <c r="K76" s="448"/>
      <c r="L76" s="448"/>
      <c r="M76" s="448"/>
      <c r="N76" s="448"/>
      <c r="O76" s="675">
        <f t="shared" ref="O76:O78" si="40">IFERROR(+AVERAGE(D76:N76),"")</f>
        <v>1.3800000000000002E-2</v>
      </c>
      <c r="P76" s="398"/>
      <c r="Q76" s="398"/>
      <c r="R76" s="445"/>
      <c r="S76" s="398"/>
      <c r="T76" s="398"/>
      <c r="U76" s="398"/>
      <c r="V76" s="398"/>
      <c r="W76" s="398"/>
      <c r="X76" s="398"/>
      <c r="Y76" s="398"/>
      <c r="Z76" s="398"/>
      <c r="AA76" s="398"/>
      <c r="AB76" s="398"/>
      <c r="AC76" s="398"/>
      <c r="AD76" s="398"/>
      <c r="AE76" s="398"/>
      <c r="AF76" s="398"/>
      <c r="AG76" s="398"/>
      <c r="AH76" s="398"/>
      <c r="AI76" s="398"/>
      <c r="AJ76" s="398"/>
      <c r="AK76" s="398"/>
      <c r="AL76" s="398"/>
      <c r="AM76" s="398"/>
      <c r="AN76" s="398"/>
      <c r="AO76" s="398"/>
      <c r="AP76" s="398"/>
      <c r="AQ76" s="398"/>
      <c r="AR76" s="398"/>
      <c r="AS76" s="398"/>
      <c r="AT76" s="398"/>
      <c r="AU76" s="398"/>
      <c r="AV76" s="398"/>
      <c r="AW76" s="398"/>
      <c r="AX76" s="398"/>
      <c r="AY76" s="398"/>
      <c r="AZ76" s="398"/>
    </row>
    <row r="77" spans="1:52" s="373" customFormat="1" ht="14.25" customHeight="1">
      <c r="A77" s="398"/>
      <c r="B77" s="398" t="s">
        <v>45</v>
      </c>
      <c r="C77" s="398"/>
      <c r="D77" s="448">
        <v>0.66059999999999997</v>
      </c>
      <c r="E77" s="448">
        <v>0.67610000000000003</v>
      </c>
      <c r="F77" s="448">
        <v>0.7016</v>
      </c>
      <c r="G77" s="448">
        <v>0.78939999999999999</v>
      </c>
      <c r="H77" s="448">
        <v>0.1867</v>
      </c>
      <c r="I77" s="448"/>
      <c r="J77" s="448"/>
      <c r="K77" s="448"/>
      <c r="L77" s="448"/>
      <c r="M77" s="448"/>
      <c r="N77" s="448"/>
      <c r="O77" s="675">
        <f t="shared" si="40"/>
        <v>0.60288000000000008</v>
      </c>
      <c r="P77" s="398"/>
      <c r="Q77" s="398"/>
      <c r="R77" s="445"/>
      <c r="S77" s="398"/>
      <c r="T77" s="398"/>
      <c r="U77" s="398"/>
      <c r="V77" s="398"/>
      <c r="W77" s="398"/>
      <c r="X77" s="398"/>
      <c r="Y77" s="398"/>
      <c r="Z77" s="398"/>
      <c r="AA77" s="398"/>
      <c r="AB77" s="398"/>
      <c r="AC77" s="398"/>
      <c r="AD77" s="398"/>
      <c r="AE77" s="398"/>
      <c r="AF77" s="398"/>
      <c r="AG77" s="398"/>
      <c r="AH77" s="398"/>
      <c r="AI77" s="398"/>
      <c r="AJ77" s="398"/>
      <c r="AK77" s="398"/>
      <c r="AL77" s="398"/>
      <c r="AM77" s="398"/>
      <c r="AN77" s="398"/>
      <c r="AO77" s="398"/>
      <c r="AP77" s="398"/>
      <c r="AQ77" s="398"/>
      <c r="AR77" s="398"/>
      <c r="AS77" s="398"/>
      <c r="AT77" s="398"/>
      <c r="AU77" s="398"/>
      <c r="AV77" s="398"/>
      <c r="AW77" s="398"/>
      <c r="AX77" s="398"/>
      <c r="AY77" s="398"/>
      <c r="AZ77" s="398"/>
    </row>
    <row r="78" spans="1:52" s="373" customFormat="1" ht="14.25" customHeight="1">
      <c r="A78" s="398"/>
      <c r="B78" s="398" t="s">
        <v>266</v>
      </c>
      <c r="C78" s="398"/>
      <c r="D78" s="448">
        <v>2.6100000000000002E-2</v>
      </c>
      <c r="E78" s="448">
        <v>0.01</v>
      </c>
      <c r="F78" s="448">
        <v>2.8500000000000001E-2</v>
      </c>
      <c r="G78" s="796">
        <v>1.3299999999999999E-2</v>
      </c>
      <c r="H78" s="448">
        <v>5.4999999999999997E-3</v>
      </c>
      <c r="I78" s="448"/>
      <c r="J78" s="448"/>
      <c r="K78" s="448"/>
      <c r="L78" s="448"/>
      <c r="M78" s="448"/>
      <c r="N78" s="448"/>
      <c r="O78" s="675">
        <f t="shared" si="40"/>
        <v>1.668E-2</v>
      </c>
      <c r="P78" s="398"/>
      <c r="Q78" s="398"/>
      <c r="R78" s="445"/>
      <c r="S78" s="398"/>
      <c r="T78" s="398"/>
      <c r="U78" s="398"/>
      <c r="V78" s="398"/>
      <c r="W78" s="398"/>
      <c r="X78" s="398"/>
      <c r="Y78" s="398"/>
      <c r="Z78" s="398"/>
      <c r="AA78" s="398"/>
      <c r="AB78" s="398"/>
      <c r="AC78" s="398"/>
      <c r="AD78" s="398"/>
      <c r="AE78" s="398"/>
      <c r="AF78" s="398"/>
      <c r="AG78" s="398"/>
      <c r="AH78" s="398"/>
      <c r="AI78" s="398"/>
      <c r="AJ78" s="398"/>
      <c r="AK78" s="398"/>
      <c r="AL78" s="398"/>
      <c r="AM78" s="398"/>
      <c r="AN78" s="398"/>
      <c r="AO78" s="398"/>
      <c r="AP78" s="398"/>
      <c r="AQ78" s="398"/>
      <c r="AR78" s="398"/>
      <c r="AS78" s="398"/>
      <c r="AT78" s="398"/>
      <c r="AU78" s="398"/>
      <c r="AV78" s="398"/>
      <c r="AW78" s="398"/>
      <c r="AX78" s="398"/>
      <c r="AY78" s="398"/>
      <c r="AZ78" s="398"/>
    </row>
    <row r="79" spans="1:52" s="373" customFormat="1" ht="3.75" customHeight="1">
      <c r="A79" s="398"/>
      <c r="B79" s="398"/>
      <c r="C79" s="398"/>
      <c r="D79" s="398"/>
      <c r="E79" s="398"/>
      <c r="F79" s="398"/>
      <c r="G79" s="398"/>
      <c r="H79" s="398"/>
      <c r="I79" s="398"/>
      <c r="J79" s="398"/>
      <c r="K79" s="398"/>
      <c r="L79" s="398"/>
      <c r="M79" s="398"/>
      <c r="N79" s="398"/>
      <c r="O79" s="398"/>
      <c r="P79" s="398"/>
      <c r="Q79" s="398"/>
      <c r="R79" s="445"/>
      <c r="S79" s="398"/>
      <c r="T79" s="398"/>
      <c r="U79" s="398"/>
      <c r="V79" s="398"/>
      <c r="W79" s="398"/>
      <c r="X79" s="398"/>
      <c r="Y79" s="398"/>
      <c r="Z79" s="398"/>
      <c r="AA79" s="398"/>
      <c r="AB79" s="398"/>
      <c r="AC79" s="398"/>
      <c r="AD79" s="398"/>
      <c r="AE79" s="398"/>
      <c r="AF79" s="398"/>
      <c r="AG79" s="398"/>
      <c r="AH79" s="398"/>
      <c r="AI79" s="398"/>
      <c r="AJ79" s="398"/>
      <c r="AK79" s="398"/>
      <c r="AL79" s="398"/>
      <c r="AM79" s="398"/>
      <c r="AN79" s="398"/>
      <c r="AO79" s="398"/>
      <c r="AP79" s="398"/>
      <c r="AQ79" s="398"/>
      <c r="AR79" s="398"/>
      <c r="AS79" s="398"/>
      <c r="AT79" s="398"/>
      <c r="AU79" s="398"/>
      <c r="AV79" s="398"/>
      <c r="AW79" s="398"/>
      <c r="AX79" s="398"/>
      <c r="AY79" s="398"/>
      <c r="AZ79" s="398"/>
    </row>
    <row r="80" spans="1:52" s="376" customFormat="1" ht="14.25" customHeight="1">
      <c r="A80" s="407"/>
      <c r="B80" s="611" t="s">
        <v>91</v>
      </c>
      <c r="C80" s="612"/>
      <c r="D80" s="383" t="str">
        <f t="shared" ref="D80:O80" ca="1" si="41">+D29</f>
        <v>INTEL</v>
      </c>
      <c r="E80" s="383" t="str">
        <f t="shared" si="41"/>
        <v>NVIDIA</v>
      </c>
      <c r="F80" s="383" t="str">
        <f t="shared" si="41"/>
        <v>AMD</v>
      </c>
      <c r="G80" s="383" t="str">
        <f t="shared" si="41"/>
        <v>Broadcom</v>
      </c>
      <c r="H80" s="383" t="str">
        <f t="shared" si="41"/>
        <v>ASML</v>
      </c>
      <c r="I80" s="383" t="str">
        <f t="shared" si="41"/>
        <v/>
      </c>
      <c r="J80" s="383" t="str">
        <f t="shared" si="41"/>
        <v/>
      </c>
      <c r="K80" s="383" t="str">
        <f t="shared" si="41"/>
        <v/>
      </c>
      <c r="L80" s="383" t="str">
        <f t="shared" si="41"/>
        <v/>
      </c>
      <c r="M80" s="383" t="str">
        <f t="shared" si="41"/>
        <v/>
      </c>
      <c r="N80" s="383" t="str">
        <f t="shared" si="41"/>
        <v/>
      </c>
      <c r="O80" s="383" t="str">
        <f t="shared" si="41"/>
        <v>Average</v>
      </c>
      <c r="P80" s="407"/>
      <c r="Q80" s="407"/>
      <c r="R80" s="613"/>
      <c r="S80" s="407"/>
      <c r="T80" s="407"/>
      <c r="U80" s="407"/>
      <c r="V80" s="407"/>
      <c r="W80" s="407"/>
      <c r="X80" s="407"/>
      <c r="Y80" s="407"/>
      <c r="Z80" s="407"/>
      <c r="AA80" s="407"/>
      <c r="AB80" s="407"/>
      <c r="AC80" s="407"/>
      <c r="AD80" s="407"/>
      <c r="AE80" s="407"/>
      <c r="AF80" s="407"/>
      <c r="AG80" s="407"/>
      <c r="AH80" s="407"/>
      <c r="AI80" s="407"/>
      <c r="AJ80" s="407"/>
      <c r="AK80" s="407"/>
      <c r="AL80" s="407"/>
      <c r="AM80" s="407"/>
      <c r="AN80" s="407"/>
      <c r="AO80" s="407"/>
      <c r="AP80" s="407"/>
      <c r="AQ80" s="407"/>
      <c r="AR80" s="407"/>
      <c r="AS80" s="407"/>
      <c r="AT80" s="407"/>
      <c r="AU80" s="407"/>
      <c r="AV80" s="407"/>
      <c r="AW80" s="407"/>
      <c r="AX80" s="407"/>
      <c r="AY80" s="407"/>
      <c r="AZ80" s="407"/>
    </row>
    <row r="81" spans="1:52" s="373" customFormat="1" ht="3.75" customHeight="1">
      <c r="A81" s="398"/>
      <c r="B81" s="433"/>
      <c r="C81" s="433"/>
      <c r="D81" s="433"/>
      <c r="E81" s="433"/>
      <c r="F81" s="433"/>
      <c r="G81" s="433"/>
      <c r="H81" s="433"/>
      <c r="I81" s="433"/>
      <c r="J81" s="433"/>
      <c r="K81" s="433"/>
      <c r="L81" s="433"/>
      <c r="M81" s="433"/>
      <c r="N81" s="433"/>
      <c r="O81" s="433"/>
      <c r="P81" s="398"/>
      <c r="Q81" s="398"/>
      <c r="R81" s="445"/>
      <c r="S81" s="398"/>
      <c r="T81" s="398"/>
      <c r="U81" s="398"/>
      <c r="V81" s="398"/>
      <c r="W81" s="398"/>
      <c r="X81" s="398"/>
      <c r="Y81" s="398"/>
      <c r="Z81" s="398"/>
      <c r="AA81" s="398"/>
      <c r="AB81" s="398"/>
      <c r="AC81" s="398"/>
      <c r="AD81" s="398"/>
      <c r="AE81" s="398"/>
      <c r="AF81" s="398"/>
      <c r="AG81" s="398"/>
      <c r="AH81" s="398"/>
      <c r="AI81" s="398"/>
      <c r="AJ81" s="398"/>
      <c r="AK81" s="398"/>
      <c r="AL81" s="398"/>
      <c r="AM81" s="398"/>
      <c r="AN81" s="398"/>
      <c r="AO81" s="398"/>
      <c r="AP81" s="398"/>
      <c r="AQ81" s="398"/>
      <c r="AR81" s="398"/>
      <c r="AS81" s="398"/>
      <c r="AT81" s="398"/>
      <c r="AU81" s="398"/>
      <c r="AV81" s="398"/>
      <c r="AW81" s="398"/>
      <c r="AX81" s="398"/>
      <c r="AY81" s="398"/>
      <c r="AZ81" s="398"/>
    </row>
    <row r="82" spans="1:52" s="373" customFormat="1" ht="14.25" customHeight="1">
      <c r="A82" s="398"/>
      <c r="B82" s="398" t="s">
        <v>267</v>
      </c>
      <c r="C82" s="398"/>
      <c r="D82" s="449" cm="1">
        <f t="array" aca="1" ref="D82" ca="1">IFERROR((D85/_xlfn.STOCKHISTORY(C6,TODAY()-1,TODAY()-1,0,0,1))-1,"Non-trading days")</f>
        <v>0.26566265060240979</v>
      </c>
      <c r="E82" s="449" cm="1">
        <f t="array" aca="1" ref="E82" ca="1">IFERROR((E85/_xlfn.STOCKHISTORY(C8,TODAY()-1,TODAY()-1,0,0,1))-1,"Non-trading days")</f>
        <v>3.2151036467203076E-2</v>
      </c>
      <c r="F82" s="449" cm="1">
        <f t="array" aca="1" ref="F82" ca="1">IFERROR((F85/_xlfn.STOCKHISTORY(C9,TODAY()-1,TODAY()-1,0,0,1))-1,"Non-trading days")</f>
        <v>-2.7425232470470018E-2</v>
      </c>
      <c r="G82" s="449" t="str" cm="1">
        <f t="array" aca="1" ref="G82" ca="1">IFERROR((G85/_xlfn.STOCKHISTORY(C10,TODAY()-1,TODAY()-1,0,0,1))-1,"Non-trading days")</f>
        <v>Non-trading days</v>
      </c>
      <c r="H82" s="449" t="str" cm="1">
        <f t="array" aca="1" ref="H82" ca="1">IFERROR((K85/_xlfn.STOCKHISTORY(C11,TODAY()-1,TODAY()-1,0,0,1))-1,"Non-trading days")</f>
        <v>Non-trading days</v>
      </c>
      <c r="I82" s="449" t="str" cm="1">
        <f t="array" aca="1" ref="I82" ca="1">IFERROR((L85/_xlfn.STOCKHISTORY(C12,TODAY()-1,TODAY()-1,0,0,1))-1,"Non-trading days")</f>
        <v>Non-trading days</v>
      </c>
      <c r="J82" s="449" t="str" cm="1">
        <f t="array" aca="1" ref="J82" ca="1">IFERROR((M85/_xlfn.STOCKHISTORY(C13,TODAY()-1,TODAY()-1,0,0,1))-1,"Non-trading days")</f>
        <v>Non-trading days</v>
      </c>
      <c r="K82" s="449" t="str" cm="1">
        <f t="array" aca="1" ref="K82" ca="1">IFERROR((N85/_xlfn.STOCKHISTORY(C14,TODAY()-1,TODAY()-1,0,0,1))-1,"Non-trading days")</f>
        <v>Non-trading days</v>
      </c>
      <c r="L82" s="449" t="str" cm="1">
        <f t="array" aca="1" ref="L82" ca="1">IFERROR((L85/_xlfn.STOCKHISTORY(C15,TODAY()-1,TODAY()-1,0,0,1))-1,"Non-trading days")</f>
        <v>Non-trading days</v>
      </c>
      <c r="M82" s="449" t="str" cm="1">
        <f t="array" aca="1" ref="M82" ca="1">IFERROR((M85/_xlfn.STOCKHISTORY(C16,TODAY()-1,TODAY()-1,0,0,1))-1,"Non-trading days")</f>
        <v>Non-trading days</v>
      </c>
      <c r="N82" s="449" t="str" cm="1">
        <f t="array" aca="1" ref="N82" ca="1">IFERROR((N85/_xlfn.STOCKHISTORY(C17,TODAY()-1,TODAY()-1,0,0,1))-1,"Non-trading days")</f>
        <v>Non-trading days</v>
      </c>
      <c r="O82" s="446">
        <f ca="1">IFERROR(+AVERAGE(D82:N82),"")</f>
        <v>9.0129484866380949E-2</v>
      </c>
      <c r="P82" s="398"/>
      <c r="Q82" s="398"/>
      <c r="R82" s="445"/>
      <c r="S82" s="398"/>
      <c r="T82" s="398"/>
      <c r="U82" s="398"/>
      <c r="V82" s="398"/>
      <c r="W82" s="398"/>
      <c r="X82" s="398"/>
      <c r="Y82" s="398"/>
      <c r="Z82" s="398"/>
      <c r="AA82" s="398"/>
      <c r="AB82" s="398"/>
      <c r="AC82" s="398"/>
      <c r="AD82" s="398"/>
      <c r="AE82" s="398"/>
      <c r="AF82" s="398"/>
      <c r="AG82" s="398"/>
      <c r="AH82" s="398"/>
      <c r="AI82" s="398"/>
      <c r="AJ82" s="398"/>
      <c r="AK82" s="398"/>
      <c r="AL82" s="398"/>
      <c r="AM82" s="398"/>
      <c r="AN82" s="398"/>
      <c r="AO82" s="398"/>
      <c r="AP82" s="398"/>
      <c r="AQ82" s="398"/>
      <c r="AR82" s="398"/>
      <c r="AS82" s="398"/>
      <c r="AT82" s="398"/>
      <c r="AU82" s="398"/>
      <c r="AV82" s="398"/>
      <c r="AW82" s="398"/>
      <c r="AX82" s="398"/>
      <c r="AY82" s="398"/>
      <c r="AZ82" s="398"/>
    </row>
    <row r="83" spans="1:52" s="373" customFormat="1" ht="14.25" customHeight="1">
      <c r="A83" s="398"/>
      <c r="B83" s="398" t="s">
        <v>268</v>
      </c>
      <c r="C83" s="398"/>
      <c r="D83" s="449" cm="1">
        <f t="array" aca="1" ref="D83" ca="1">IFERROR((D85/_xlfn.STOCKHISTORY(C6,TODAY()-29,TODAY()-29,0,0,1))-1,"Non-trading days")</f>
        <v>0.33878504672897214</v>
      </c>
      <c r="E83" s="449" t="str" cm="1">
        <f t="array" aca="1" ref="E83" ca="1">IFERROR((E85/_xlfn.STOCKHISTORY(C8,TODAY()-29,TODAY()-29,0,0,1))-1,"Non-trading days")</f>
        <v>Non-trading days</v>
      </c>
      <c r="F83" s="449" cm="1">
        <f t="array" aca="1" ref="F83" ca="1">IFERROR((F85/_xlfn.STOCKHISTORY(C9,TODAY()-29,TODAY()-29,0,0,1))-1,"Non-trading days")</f>
        <v>-6.2984261501210614E-2</v>
      </c>
      <c r="G83" s="449" cm="1">
        <f t="array" aca="1" ref="G83" ca="1">IFERROR((G85/_xlfn.STOCKHISTORY(C10,TODAY()-29,TODAY()-29,0,0,1))-1,"Non-trading days")</f>
        <v>0.19145172923034659</v>
      </c>
      <c r="H83" s="449" t="str" cm="1">
        <f t="array" aca="1" ref="H83" ca="1">IFERROR((K85/_xlfn.STOCKHISTORY(C11,TODAY()-29,TODAY()-29,0,0,1))-1,"Non-trading days")</f>
        <v>Non-trading days</v>
      </c>
      <c r="I83" s="449" t="str" cm="1">
        <f t="array" aca="1" ref="I83" ca="1">IFERROR((L85/_xlfn.STOCKHISTORY(C12,TODAY()-29,TODAY()-29,0,0,1))-1,"Non-trading days")</f>
        <v>Non-trading days</v>
      </c>
      <c r="J83" s="449" t="str" cm="1">
        <f t="array" aca="1" ref="J83" ca="1">IFERROR((M85/_xlfn.STOCKHISTORY(C13,TODAY()-29,TODAY()-29,0,0,1))-1,"Non-trading days")</f>
        <v>Non-trading days</v>
      </c>
      <c r="K83" s="449" t="str" cm="1">
        <f t="array" aca="1" ref="K83" ca="1">IFERROR((N85/_xlfn.STOCKHISTORY(C14,TODAY()-29,TODAY()-29,0,0,1))-1,"Non-trading days")</f>
        <v>Non-trading days</v>
      </c>
      <c r="L83" s="449" t="str" cm="1">
        <f t="array" aca="1" ref="L83" ca="1">IFERROR((L85/_xlfn.STOCKHISTORY(C15,TODAY()-29,TODAY()-29,0,0,1))-1,"Non-trading days")</f>
        <v>Non-trading days</v>
      </c>
      <c r="M83" s="449" t="str" cm="1">
        <f t="array" aca="1" ref="M83" ca="1">IFERROR((M85/_xlfn.STOCKHISTORY(C16,TODAY()-29,TODAY()-29,0,0,1))-1,"Non-trading days")</f>
        <v>Non-trading days</v>
      </c>
      <c r="N83" s="449" t="str" cm="1">
        <f t="array" aca="1" ref="N83" ca="1">IFERROR((N85/_xlfn.STOCKHISTORY(C17,TODAY()-29,TODAY()-29,0,0,1))-1,"Non-trading days")</f>
        <v>Non-trading days</v>
      </c>
      <c r="O83" s="446">
        <f ca="1">IFERROR(AVERAGE(D83:N83),"")</f>
        <v>0.15575083815270271</v>
      </c>
      <c r="P83" s="398"/>
      <c r="Q83" s="398"/>
      <c r="R83" s="445"/>
      <c r="S83" s="398"/>
      <c r="T83" s="398"/>
      <c r="U83" s="398"/>
      <c r="V83" s="398"/>
      <c r="W83" s="398"/>
      <c r="X83" s="398"/>
      <c r="Y83" s="398"/>
      <c r="Z83" s="398"/>
      <c r="AA83" s="398"/>
      <c r="AB83" s="398"/>
      <c r="AC83" s="398"/>
      <c r="AD83" s="398"/>
      <c r="AE83" s="398"/>
      <c r="AF83" s="398"/>
      <c r="AG83" s="398"/>
      <c r="AH83" s="398"/>
      <c r="AI83" s="398"/>
      <c r="AJ83" s="398"/>
      <c r="AK83" s="398"/>
      <c r="AL83" s="398"/>
      <c r="AM83" s="398"/>
      <c r="AN83" s="398"/>
      <c r="AO83" s="398"/>
      <c r="AP83" s="398"/>
      <c r="AQ83" s="398"/>
      <c r="AR83" s="398"/>
      <c r="AS83" s="398"/>
      <c r="AT83" s="398"/>
      <c r="AU83" s="398"/>
      <c r="AV83" s="398"/>
      <c r="AW83" s="398"/>
      <c r="AX83" s="398"/>
      <c r="AY83" s="398"/>
      <c r="AZ83" s="398"/>
    </row>
    <row r="84" spans="1:52" s="373" customFormat="1" ht="14.25" customHeight="1">
      <c r="A84" s="398"/>
      <c r="B84" s="398" t="s">
        <v>269</v>
      </c>
      <c r="C84" s="398"/>
      <c r="D84" s="449" cm="1">
        <f t="array" aca="1" ref="D84" ca="1">IFERROR((D85/_xlfn.STOCKHISTORY(C6,"2025-01-02","2025-01-02",0,0,1))-1,"Non-trading days")</f>
        <v>0.55860534124629102</v>
      </c>
      <c r="E84" s="449" cm="1">
        <f t="array" aca="1" ref="E84" ca="1">IFERROR((E85/_xlfn.STOCKHISTORY(C8,"2025-01-02","2025-01-02",0,0,1))-1,"Non-trading days")</f>
        <v>0.27080471404815265</v>
      </c>
      <c r="F84" s="449" cm="1">
        <f t="array" aca="1" ref="F84" ca="1">IFERROR((F85/_xlfn.STOCKHISTORY(C9,"2025-01-02","2025-01-02",0,0,1))-1,"Non-trading days")</f>
        <v>0.28322142087374602</v>
      </c>
      <c r="G84" s="449" cm="1">
        <f t="array" aca="1" ref="G84" ca="1">IFERROR((G85/_xlfn.STOCKHISTORY(C10,"2025-01-02","2025-01-02",0,0,1))-1,"Non-trading days")</f>
        <v>0.49545219415466857</v>
      </c>
      <c r="H84" s="449" t="str" cm="1">
        <f t="array" aca="1" ref="H84" ca="1">IFERROR((K85/_xlfn.STOCKHISTORY(C11,"2025-01-02","2025-01-02",0,0,1))-1,"Non-trading days")</f>
        <v>Non-trading days</v>
      </c>
      <c r="I84" s="449" t="str" cm="1">
        <f t="array" ref="I84">IFERROR((L85/_xlfn.STOCKHISTORY(C12,"2025-01-02","2025-01-02",0,0,1))-1,"Non-trading days")</f>
        <v>Non-trading days</v>
      </c>
      <c r="J84" s="449" t="str" cm="1">
        <f t="array" ref="J84">IFERROR((M85/_xlfn.STOCKHISTORY(C13,"2025-01-02","2025-01-02",0,0,1))-1,"Non-trading days")</f>
        <v>Non-trading days</v>
      </c>
      <c r="K84" s="449" t="str" cm="1">
        <f t="array" ref="K84">IFERROR((N85/_xlfn.STOCKHISTORY(C14,"2025-01-02","2025-01-02",0,0,1))-1,"Non-trading days")</f>
        <v>Non-trading days</v>
      </c>
      <c r="L84" s="449" t="str" cm="1">
        <f t="array" ref="L84">IFERROR((L85/_xlfn.STOCKHISTORY(C15,"2025-01-02","2025-01-02",0,0,1))-1,"Non-trading days")</f>
        <v>Non-trading days</v>
      </c>
      <c r="M84" s="449" t="str" cm="1">
        <f t="array" ref="M84">IFERROR((M85/_xlfn.STOCKHISTORY(C16,"2025-01-02","2025-01-02",0,0,1))-1,"Non-trading days")</f>
        <v>Non-trading days</v>
      </c>
      <c r="N84" s="449" t="str" cm="1">
        <f t="array" ref="N84">IFERROR((N85/_xlfn.STOCKHISTORY(C17,"2025-01-02","2025-01-02",0,0,1))-1,"Non-trading days")</f>
        <v>Non-trading days</v>
      </c>
      <c r="O84" s="446">
        <f ca="1">IFERROR(AVERAGE(D84:N84),"")</f>
        <v>0.40202091758071457</v>
      </c>
      <c r="P84" s="398"/>
      <c r="Q84" s="398"/>
      <c r="R84" s="445"/>
      <c r="S84" s="398"/>
      <c r="T84" s="398"/>
      <c r="U84" s="398"/>
      <c r="V84" s="398"/>
      <c r="W84" s="398"/>
      <c r="X84" s="398"/>
      <c r="Y84" s="398"/>
      <c r="Z84" s="398"/>
      <c r="AA84" s="398"/>
      <c r="AB84" s="398"/>
      <c r="AC84" s="398"/>
      <c r="AD84" s="398"/>
      <c r="AE84" s="398"/>
      <c r="AF84" s="398"/>
      <c r="AG84" s="398"/>
      <c r="AH84" s="398"/>
      <c r="AI84" s="398"/>
      <c r="AJ84" s="398"/>
      <c r="AK84" s="398"/>
      <c r="AL84" s="398"/>
      <c r="AM84" s="398"/>
      <c r="AN84" s="398"/>
      <c r="AO84" s="398"/>
      <c r="AP84" s="398"/>
      <c r="AQ84" s="398"/>
      <c r="AR84" s="398"/>
      <c r="AS84" s="398"/>
      <c r="AT84" s="398"/>
      <c r="AU84" s="398"/>
      <c r="AV84" s="398"/>
      <c r="AW84" s="398"/>
      <c r="AX84" s="398"/>
      <c r="AY84" s="398"/>
      <c r="AZ84" s="398"/>
    </row>
    <row r="85" spans="1:52" s="373" customFormat="1" ht="14.25" customHeight="1">
      <c r="A85" s="398"/>
      <c r="B85" s="398" t="s">
        <v>229</v>
      </c>
      <c r="C85" s="398"/>
      <c r="D85" s="441" cm="1">
        <f t="array" aca="1" ref="D85" ca="1">+IFERROR(_FV(D91,"Price"),"")</f>
        <v>31.515000000000001</v>
      </c>
      <c r="E85" s="441" cm="1">
        <f t="array" aca="1" ref="E85" ca="1">+IFERROR(_FV(E91,"Price"),"")</f>
        <v>175.76499999999999</v>
      </c>
      <c r="F85" s="441" cm="1">
        <f t="array" aca="1" ref="F85" ca="1">+IFERROR(_FV(F91,"Price"),"")</f>
        <v>154.79499999999999</v>
      </c>
      <c r="G85" s="441" cm="1">
        <f t="array" aca="1" ref="G85" ca="1">+IFERROR(_FV(G91,"Price"),"")</f>
        <v>346.91500000000002</v>
      </c>
      <c r="H85" s="441" cm="1">
        <f t="array" aca="1" ref="H85" ca="1">+IFERROR(_FV(H91,"Price"),"")</f>
        <v>936</v>
      </c>
      <c r="I85" s="441" t="str" cm="1">
        <f t="array" ref="I85">+IFERROR(_FV(I91,"Price"),"")</f>
        <v/>
      </c>
      <c r="J85" s="441" t="str" cm="1">
        <f t="array" ref="J85">+IFERROR(_FV(J91,"Price"),"")</f>
        <v/>
      </c>
      <c r="K85" s="441" t="str" cm="1">
        <f t="array" ref="K85">+IFERROR(_FV(K91,"Price"),"")</f>
        <v/>
      </c>
      <c r="L85" s="441" t="str" cm="1">
        <f t="array" ref="L85">+IFERROR(_FV(L91,"Price"),"")</f>
        <v/>
      </c>
      <c r="M85" s="441" t="str" cm="1">
        <f t="array" ref="M85">+IFERROR(_FV(M91,"Price"),"")</f>
        <v/>
      </c>
      <c r="N85" s="441" t="str" cm="1">
        <f t="array" ref="N85">+IFERROR(_FV(N91,"Price"),"")</f>
        <v/>
      </c>
      <c r="O85" s="446">
        <f ca="1">IFERROR(AVERAGE(D85:N85),"")</f>
        <v>328.99799999999999</v>
      </c>
      <c r="P85" s="398"/>
      <c r="Q85" s="398"/>
      <c r="R85" s="445"/>
      <c r="S85" s="398"/>
      <c r="T85" s="398"/>
      <c r="U85" s="398"/>
      <c r="V85" s="398"/>
      <c r="W85" s="398"/>
      <c r="X85" s="398"/>
      <c r="Y85" s="398"/>
      <c r="Z85" s="398"/>
      <c r="AA85" s="398"/>
      <c r="AB85" s="398"/>
      <c r="AC85" s="398"/>
      <c r="AD85" s="398"/>
      <c r="AE85" s="398"/>
      <c r="AF85" s="398"/>
      <c r="AG85" s="398"/>
      <c r="AH85" s="398"/>
      <c r="AI85" s="398"/>
      <c r="AJ85" s="398"/>
      <c r="AK85" s="398"/>
      <c r="AL85" s="398"/>
      <c r="AM85" s="398"/>
      <c r="AN85" s="398"/>
      <c r="AO85" s="398"/>
      <c r="AP85" s="398"/>
      <c r="AQ85" s="398"/>
      <c r="AR85" s="398"/>
      <c r="AS85" s="398"/>
      <c r="AT85" s="398"/>
      <c r="AU85" s="398"/>
      <c r="AV85" s="398"/>
      <c r="AW85" s="398"/>
      <c r="AX85" s="398"/>
      <c r="AY85" s="398"/>
      <c r="AZ85" s="398"/>
    </row>
    <row r="86" spans="1:52" s="373" customFormat="1" ht="3.75" customHeight="1">
      <c r="A86" s="398"/>
      <c r="B86" s="398"/>
      <c r="C86" s="398"/>
      <c r="D86" s="398"/>
      <c r="E86" s="398"/>
      <c r="F86" s="398"/>
      <c r="G86" s="398"/>
      <c r="H86" s="398"/>
      <c r="I86" s="398"/>
      <c r="J86" s="398"/>
      <c r="K86" s="398"/>
      <c r="L86" s="398"/>
      <c r="M86" s="398"/>
      <c r="N86" s="398"/>
      <c r="O86" s="398"/>
      <c r="P86" s="398"/>
      <c r="Q86" s="398"/>
      <c r="R86" s="445"/>
      <c r="S86" s="398"/>
      <c r="T86" s="398"/>
      <c r="U86" s="398"/>
      <c r="V86" s="398"/>
      <c r="W86" s="398"/>
      <c r="X86" s="398"/>
      <c r="Y86" s="398"/>
      <c r="Z86" s="398"/>
      <c r="AA86" s="398"/>
      <c r="AB86" s="398"/>
      <c r="AC86" s="398"/>
      <c r="AD86" s="398"/>
      <c r="AE86" s="398"/>
      <c r="AF86" s="398"/>
      <c r="AG86" s="398"/>
      <c r="AH86" s="398"/>
      <c r="AI86" s="398"/>
      <c r="AJ86" s="398"/>
      <c r="AK86" s="398"/>
      <c r="AL86" s="398"/>
      <c r="AM86" s="398"/>
      <c r="AN86" s="398"/>
      <c r="AO86" s="398"/>
      <c r="AP86" s="398"/>
      <c r="AQ86" s="398"/>
      <c r="AR86" s="398"/>
      <c r="AS86" s="398"/>
      <c r="AT86" s="398"/>
      <c r="AU86" s="398"/>
      <c r="AV86" s="398"/>
      <c r="AW86" s="398"/>
      <c r="AX86" s="398"/>
      <c r="AY86" s="398"/>
      <c r="AZ86" s="398"/>
    </row>
    <row r="87" spans="1:52" s="376" customFormat="1" ht="14.25" customHeight="1">
      <c r="A87" s="407"/>
      <c r="B87" s="611" t="s">
        <v>270</v>
      </c>
      <c r="C87" s="612"/>
      <c r="D87" s="611"/>
      <c r="E87" s="611"/>
      <c r="F87" s="611"/>
      <c r="G87" s="611"/>
      <c r="H87" s="611"/>
      <c r="I87" s="611"/>
      <c r="J87" s="611"/>
      <c r="K87" s="611"/>
      <c r="L87" s="611"/>
      <c r="M87" s="611"/>
      <c r="N87" s="611"/>
      <c r="O87" s="611"/>
      <c r="P87" s="407"/>
      <c r="Q87" s="407"/>
      <c r="R87" s="613"/>
      <c r="S87" s="407"/>
      <c r="T87" s="407"/>
      <c r="U87" s="407"/>
      <c r="V87" s="407"/>
      <c r="W87" s="407"/>
      <c r="X87" s="407"/>
      <c r="Y87" s="407"/>
      <c r="Z87" s="407"/>
      <c r="AA87" s="407"/>
      <c r="AB87" s="407"/>
      <c r="AC87" s="407"/>
      <c r="AD87" s="407"/>
      <c r="AE87" s="407"/>
      <c r="AF87" s="407"/>
      <c r="AG87" s="407"/>
      <c r="AH87" s="407"/>
      <c r="AI87" s="407"/>
      <c r="AJ87" s="407"/>
      <c r="AK87" s="407"/>
      <c r="AL87" s="407"/>
      <c r="AM87" s="407"/>
      <c r="AN87" s="407"/>
      <c r="AO87" s="407"/>
      <c r="AP87" s="407"/>
      <c r="AQ87" s="407"/>
      <c r="AR87" s="407"/>
      <c r="AS87" s="407"/>
      <c r="AT87" s="407"/>
      <c r="AU87" s="407"/>
      <c r="AV87" s="407"/>
      <c r="AW87" s="407"/>
      <c r="AX87" s="407"/>
      <c r="AY87" s="407"/>
      <c r="AZ87" s="407"/>
    </row>
    <row r="88" spans="1:52" s="373" customFormat="1" ht="3.75" customHeight="1">
      <c r="A88" s="398"/>
      <c r="B88" s="433"/>
      <c r="C88" s="433"/>
      <c r="D88" s="433"/>
      <c r="E88" s="433"/>
      <c r="F88" s="433"/>
      <c r="G88" s="433"/>
      <c r="H88" s="433"/>
      <c r="I88" s="433"/>
      <c r="J88" s="433"/>
      <c r="K88" s="433"/>
      <c r="L88" s="433"/>
      <c r="M88" s="433"/>
      <c r="N88" s="433"/>
      <c r="O88" s="433"/>
      <c r="P88" s="398"/>
      <c r="Q88" s="398"/>
      <c r="R88" s="445"/>
      <c r="S88" s="398"/>
      <c r="T88" s="398"/>
      <c r="U88" s="398"/>
      <c r="V88" s="398"/>
      <c r="W88" s="398"/>
      <c r="X88" s="398"/>
      <c r="Y88" s="398"/>
      <c r="Z88" s="398"/>
      <c r="AA88" s="398"/>
      <c r="AB88" s="398"/>
      <c r="AC88" s="398"/>
      <c r="AD88" s="398"/>
      <c r="AE88" s="398"/>
      <c r="AF88" s="398"/>
      <c r="AG88" s="398"/>
      <c r="AH88" s="398"/>
      <c r="AI88" s="398"/>
      <c r="AJ88" s="398"/>
      <c r="AK88" s="398"/>
      <c r="AL88" s="398"/>
      <c r="AM88" s="398"/>
      <c r="AN88" s="398"/>
      <c r="AO88" s="398"/>
      <c r="AP88" s="398"/>
      <c r="AQ88" s="398"/>
      <c r="AR88" s="398"/>
      <c r="AS88" s="398"/>
      <c r="AT88" s="398"/>
      <c r="AU88" s="398"/>
      <c r="AV88" s="398"/>
      <c r="AW88" s="398"/>
      <c r="AX88" s="398"/>
      <c r="AY88" s="398"/>
      <c r="AZ88" s="398"/>
    </row>
    <row r="89" spans="1:52" s="373" customFormat="1" ht="14.25" customHeight="1">
      <c r="A89" s="398"/>
      <c r="B89" s="398" t="s">
        <v>271</v>
      </c>
      <c r="C89" s="398"/>
      <c r="D89" s="449">
        <f>Segments!I7/Segments!I11</f>
        <v>0.24470348957646748</v>
      </c>
      <c r="E89" s="398"/>
      <c r="F89" s="398"/>
      <c r="G89" s="398"/>
      <c r="H89" s="398"/>
      <c r="I89" s="398"/>
      <c r="J89" s="398"/>
      <c r="K89" s="398"/>
      <c r="L89" s="398"/>
      <c r="M89" s="398"/>
      <c r="N89" s="398"/>
      <c r="O89" s="398"/>
      <c r="P89" s="398"/>
      <c r="Q89" s="398"/>
      <c r="R89" s="445"/>
      <c r="S89" s="398"/>
      <c r="T89" s="398"/>
      <c r="U89" s="398"/>
      <c r="V89" s="398"/>
      <c r="W89" s="398"/>
      <c r="X89" s="398"/>
      <c r="Y89" s="398"/>
      <c r="Z89" s="398"/>
      <c r="AA89" s="398"/>
      <c r="AB89" s="398"/>
      <c r="AC89" s="398"/>
      <c r="AD89" s="398"/>
      <c r="AE89" s="398"/>
      <c r="AF89" s="398"/>
      <c r="AG89" s="398"/>
      <c r="AH89" s="398"/>
      <c r="AI89" s="398"/>
      <c r="AJ89" s="398"/>
      <c r="AK89" s="398"/>
      <c r="AL89" s="398"/>
      <c r="AM89" s="398"/>
      <c r="AN89" s="398"/>
      <c r="AO89" s="398"/>
      <c r="AP89" s="398"/>
      <c r="AQ89" s="398"/>
      <c r="AR89" s="398"/>
      <c r="AS89" s="398"/>
      <c r="AT89" s="398"/>
      <c r="AU89" s="398"/>
      <c r="AV89" s="398"/>
      <c r="AW89" s="398"/>
      <c r="AX89" s="398"/>
      <c r="AY89" s="398"/>
      <c r="AZ89" s="398"/>
    </row>
    <row r="90" spans="1:52" s="373" customFormat="1" ht="5.25" customHeight="1">
      <c r="A90" s="398"/>
      <c r="B90" s="398"/>
      <c r="C90" s="398"/>
      <c r="D90" s="398"/>
      <c r="E90" s="398"/>
      <c r="F90" s="398"/>
      <c r="G90" s="398"/>
      <c r="H90" s="398"/>
      <c r="I90" s="398"/>
      <c r="J90" s="398"/>
      <c r="K90" s="398"/>
      <c r="L90" s="398"/>
      <c r="M90" s="398"/>
      <c r="N90" s="398"/>
      <c r="O90" s="398"/>
      <c r="P90" s="398"/>
      <c r="Q90" s="398"/>
      <c r="R90" s="445"/>
      <c r="S90" s="398"/>
      <c r="T90" s="398"/>
      <c r="U90" s="398"/>
      <c r="V90" s="398"/>
      <c r="W90" s="398"/>
      <c r="X90" s="398"/>
      <c r="Y90" s="398"/>
      <c r="Z90" s="398"/>
      <c r="AA90" s="398"/>
      <c r="AB90" s="398"/>
      <c r="AC90" s="398"/>
      <c r="AD90" s="398"/>
      <c r="AE90" s="398"/>
      <c r="AF90" s="398"/>
      <c r="AG90" s="398"/>
      <c r="AH90" s="398"/>
      <c r="AI90" s="398"/>
      <c r="AJ90" s="398"/>
      <c r="AK90" s="398"/>
      <c r="AL90" s="398"/>
      <c r="AM90" s="398"/>
      <c r="AN90" s="398"/>
      <c r="AO90" s="398"/>
      <c r="AP90" s="398"/>
      <c r="AQ90" s="398"/>
      <c r="AR90" s="398"/>
      <c r="AS90" s="398"/>
      <c r="AT90" s="398"/>
      <c r="AU90" s="398"/>
      <c r="AV90" s="398"/>
      <c r="AW90" s="398"/>
      <c r="AX90" s="398"/>
      <c r="AY90" s="398"/>
      <c r="AZ90" s="398"/>
    </row>
    <row r="91" spans="1:52" s="373" customFormat="1" ht="24.75" customHeight="1">
      <c r="A91" s="398"/>
      <c r="B91" s="450" t="s">
        <v>272</v>
      </c>
      <c r="C91" s="435"/>
      <c r="D91" s="384" t="e" vm="1">
        <f>+DCF!R4</f>
        <v>#VALUE!</v>
      </c>
      <c r="E91" s="385" t="e" vm="2">
        <v>#VALUE!</v>
      </c>
      <c r="F91" s="387" t="e" vm="3">
        <v>#VALUE!</v>
      </c>
      <c r="G91" s="659" t="e" vm="4">
        <v>#VALUE!</v>
      </c>
      <c r="H91" s="667" t="e" vm="5">
        <v>#VALUE!</v>
      </c>
      <c r="I91" s="667" t="s">
        <v>273</v>
      </c>
      <c r="J91" s="667" t="s">
        <v>274</v>
      </c>
      <c r="K91" s="667" t="s">
        <v>275</v>
      </c>
      <c r="L91" s="667" t="s">
        <v>276</v>
      </c>
      <c r="M91" s="667" t="s">
        <v>277</v>
      </c>
      <c r="N91" s="386" t="s">
        <v>278</v>
      </c>
      <c r="O91" s="398"/>
      <c r="P91" s="398"/>
      <c r="Q91" s="398"/>
      <c r="R91" s="445"/>
      <c r="S91" s="398"/>
      <c r="T91" s="398"/>
      <c r="U91" s="398"/>
      <c r="V91" s="398"/>
      <c r="W91" s="398"/>
      <c r="X91" s="398"/>
      <c r="Y91" s="398"/>
      <c r="Z91" s="398"/>
      <c r="AA91" s="398"/>
      <c r="AB91" s="398"/>
      <c r="AC91" s="398"/>
      <c r="AD91" s="398"/>
      <c r="AE91" s="398"/>
      <c r="AF91" s="398"/>
      <c r="AG91" s="398"/>
      <c r="AH91" s="398"/>
      <c r="AI91" s="398"/>
      <c r="AJ91" s="398"/>
      <c r="AK91" s="398"/>
      <c r="AL91" s="398"/>
      <c r="AM91" s="398"/>
      <c r="AN91" s="398"/>
      <c r="AO91" s="398"/>
      <c r="AP91" s="398"/>
      <c r="AQ91" s="398"/>
      <c r="AR91" s="398"/>
      <c r="AS91" s="398"/>
      <c r="AT91" s="398"/>
      <c r="AU91" s="398"/>
      <c r="AV91" s="398"/>
      <c r="AW91" s="398"/>
      <c r="AX91" s="398"/>
      <c r="AY91" s="398"/>
      <c r="AZ91" s="398"/>
    </row>
    <row r="92" spans="1:52" s="373" customFormat="1" ht="3.75" customHeight="1">
      <c r="A92" s="398"/>
      <c r="B92" s="451"/>
      <c r="C92" s="439"/>
      <c r="D92" s="388"/>
      <c r="E92" s="389"/>
      <c r="F92" s="391"/>
      <c r="G92" s="660"/>
      <c r="H92" s="668"/>
      <c r="I92" s="668"/>
      <c r="J92" s="668"/>
      <c r="K92" s="668"/>
      <c r="L92" s="668"/>
      <c r="M92" s="668"/>
      <c r="N92" s="390"/>
      <c r="O92" s="398"/>
      <c r="P92" s="398"/>
      <c r="Q92" s="398"/>
      <c r="R92" s="445"/>
      <c r="S92" s="398"/>
      <c r="T92" s="398"/>
      <c r="U92" s="398"/>
      <c r="V92" s="398"/>
      <c r="W92" s="398"/>
      <c r="X92" s="398"/>
      <c r="Y92" s="398"/>
      <c r="Z92" s="398"/>
      <c r="AA92" s="398"/>
      <c r="AB92" s="398"/>
      <c r="AC92" s="398"/>
      <c r="AD92" s="398"/>
      <c r="AE92" s="398"/>
      <c r="AF92" s="398"/>
      <c r="AG92" s="398"/>
      <c r="AH92" s="398"/>
      <c r="AI92" s="398"/>
      <c r="AJ92" s="398"/>
      <c r="AK92" s="398"/>
      <c r="AL92" s="398"/>
      <c r="AM92" s="398"/>
      <c r="AN92" s="398"/>
      <c r="AO92" s="398"/>
      <c r="AP92" s="398"/>
      <c r="AQ92" s="398"/>
      <c r="AR92" s="398"/>
      <c r="AS92" s="398"/>
      <c r="AT92" s="398"/>
      <c r="AU92" s="398"/>
      <c r="AV92" s="398"/>
      <c r="AW92" s="398"/>
      <c r="AX92" s="398"/>
      <c r="AY92" s="398"/>
      <c r="AZ92" s="398"/>
    </row>
    <row r="93" spans="1:52" s="373" customFormat="1" ht="14.25" customHeight="1">
      <c r="A93" s="398"/>
      <c r="B93" s="452" t="str">
        <f>+Inputs!$B$6&amp;" ("&amp;Inputs!O$4&amp;")"</f>
        <v>Revenue (Sales) (2022)</v>
      </c>
      <c r="C93" s="453"/>
      <c r="D93" s="454">
        <f>+_xlfn.XLOOKUP("Revenue (Sales)",Inputs!$B:$B,Inputs!O:O)</f>
        <v>63054</v>
      </c>
      <c r="E93" s="455">
        <v>26974</v>
      </c>
      <c r="F93" s="456">
        <v>23601</v>
      </c>
      <c r="G93" s="661">
        <v>33203</v>
      </c>
      <c r="H93" s="669">
        <v>22301</v>
      </c>
      <c r="I93" s="669"/>
      <c r="J93" s="669"/>
      <c r="K93" s="669"/>
      <c r="L93" s="669"/>
      <c r="M93" s="669"/>
      <c r="N93" s="457"/>
      <c r="O93" s="398"/>
      <c r="P93" s="398"/>
      <c r="Q93" s="398"/>
      <c r="R93" s="445"/>
      <c r="S93" s="398"/>
      <c r="T93" s="398"/>
      <c r="U93" s="398"/>
      <c r="V93" s="398"/>
      <c r="W93" s="398"/>
      <c r="X93" s="398"/>
      <c r="Y93" s="398"/>
      <c r="Z93" s="398"/>
      <c r="AA93" s="398"/>
      <c r="AB93" s="398"/>
      <c r="AC93" s="398"/>
      <c r="AD93" s="398"/>
      <c r="AE93" s="398"/>
      <c r="AF93" s="398"/>
      <c r="AG93" s="398"/>
      <c r="AH93" s="398"/>
      <c r="AI93" s="398"/>
      <c r="AJ93" s="398"/>
      <c r="AK93" s="398"/>
      <c r="AL93" s="398"/>
      <c r="AM93" s="398"/>
      <c r="AN93" s="398"/>
      <c r="AO93" s="398"/>
      <c r="AP93" s="398"/>
      <c r="AQ93" s="398"/>
      <c r="AR93" s="398"/>
      <c r="AS93" s="398"/>
      <c r="AT93" s="398"/>
      <c r="AU93" s="398"/>
      <c r="AV93" s="398"/>
      <c r="AW93" s="398"/>
      <c r="AX93" s="398"/>
      <c r="AY93" s="398"/>
      <c r="AZ93" s="398"/>
    </row>
    <row r="94" spans="1:52" s="373" customFormat="1" ht="14.25" customHeight="1">
      <c r="A94" s="398"/>
      <c r="B94" s="458" t="str">
        <f>+Inputs!$B$6&amp;" ("&amp;Inputs!P$4&amp;")"</f>
        <v>Revenue (Sales) (2023)</v>
      </c>
      <c r="C94" s="398"/>
      <c r="D94" s="459">
        <f>+_xlfn.XLOOKUP("Revenue (Sales)",Inputs!$B:$B,Inputs!P:P)</f>
        <v>54228</v>
      </c>
      <c r="E94" s="460">
        <v>60922</v>
      </c>
      <c r="F94" s="461">
        <v>22680</v>
      </c>
      <c r="G94" s="662">
        <v>35819</v>
      </c>
      <c r="H94" s="670">
        <v>29805</v>
      </c>
      <c r="I94" s="670"/>
      <c r="J94" s="670"/>
      <c r="K94" s="670"/>
      <c r="L94" s="670"/>
      <c r="M94" s="670"/>
      <c r="N94" s="462"/>
      <c r="O94" s="398"/>
      <c r="P94" s="398"/>
      <c r="Q94" s="398"/>
      <c r="R94" s="445"/>
      <c r="S94" s="398"/>
      <c r="T94" s="398"/>
      <c r="U94" s="398"/>
      <c r="V94" s="398"/>
      <c r="W94" s="398"/>
      <c r="X94" s="398"/>
      <c r="Y94" s="398"/>
      <c r="Z94" s="398"/>
      <c r="AA94" s="398"/>
      <c r="AB94" s="398"/>
      <c r="AC94" s="398"/>
      <c r="AD94" s="398"/>
      <c r="AE94" s="398"/>
      <c r="AF94" s="398"/>
      <c r="AG94" s="398"/>
      <c r="AH94" s="398"/>
      <c r="AI94" s="398"/>
      <c r="AJ94" s="398"/>
      <c r="AK94" s="398"/>
      <c r="AL94" s="398"/>
      <c r="AM94" s="398"/>
      <c r="AN94" s="398"/>
      <c r="AO94" s="398"/>
      <c r="AP94" s="398"/>
      <c r="AQ94" s="398"/>
      <c r="AR94" s="398"/>
      <c r="AS94" s="398"/>
      <c r="AT94" s="398"/>
      <c r="AU94" s="398"/>
      <c r="AV94" s="398"/>
      <c r="AW94" s="398"/>
      <c r="AX94" s="398"/>
      <c r="AY94" s="398"/>
      <c r="AZ94" s="398"/>
    </row>
    <row r="95" spans="1:52" s="373" customFormat="1" ht="14.25" customHeight="1">
      <c r="A95" s="398"/>
      <c r="B95" s="458" t="s">
        <v>279</v>
      </c>
      <c r="C95" s="398"/>
      <c r="D95" s="459">
        <f>+_xlfn.XLOOKUP("EBITDA",Inputs!$B:$B,Inputs!P:P)</f>
        <v>9480</v>
      </c>
      <c r="E95" s="460">
        <f>E94-11329+1508</f>
        <v>51101</v>
      </c>
      <c r="F95" s="461">
        <f>1900+1448+642+946</f>
        <v>4936</v>
      </c>
      <c r="G95" s="662">
        <f>16207+1394+502</f>
        <v>18103</v>
      </c>
      <c r="H95" s="656">
        <v>11461</v>
      </c>
      <c r="I95" s="670"/>
      <c r="J95" s="670"/>
      <c r="K95" s="670"/>
      <c r="L95" s="670"/>
      <c r="M95" s="670"/>
      <c r="N95" s="462"/>
      <c r="O95" s="398"/>
      <c r="P95" s="398"/>
      <c r="Q95" s="398"/>
      <c r="R95" s="445"/>
      <c r="S95" s="398"/>
      <c r="T95" s="398"/>
      <c r="U95" s="398"/>
      <c r="V95" s="398"/>
      <c r="W95" s="398"/>
      <c r="X95" s="398"/>
      <c r="Y95" s="398"/>
      <c r="Z95" s="398"/>
      <c r="AA95" s="398"/>
      <c r="AB95" s="398"/>
      <c r="AC95" s="398"/>
      <c r="AD95" s="398"/>
      <c r="AE95" s="398"/>
      <c r="AF95" s="398"/>
      <c r="AG95" s="398"/>
      <c r="AH95" s="398"/>
      <c r="AI95" s="398"/>
      <c r="AJ95" s="398"/>
      <c r="AK95" s="398"/>
      <c r="AL95" s="398"/>
      <c r="AM95" s="398"/>
      <c r="AN95" s="398"/>
      <c r="AO95" s="398"/>
      <c r="AP95" s="398"/>
      <c r="AQ95" s="398"/>
      <c r="AR95" s="398"/>
      <c r="AS95" s="398"/>
      <c r="AT95" s="398"/>
      <c r="AU95" s="398"/>
      <c r="AV95" s="398"/>
      <c r="AW95" s="398"/>
      <c r="AX95" s="398"/>
      <c r="AY95" s="398"/>
      <c r="AZ95" s="398"/>
    </row>
    <row r="96" spans="1:52" s="373" customFormat="1" ht="14.25" customHeight="1">
      <c r="A96" s="398"/>
      <c r="B96" s="452" t="s">
        <v>280</v>
      </c>
      <c r="C96" s="453"/>
      <c r="D96" s="454">
        <f>+_xlfn.XLOOKUP("Net Income",Inputs!$B:$B,Inputs!P:P)</f>
        <v>1897</v>
      </c>
      <c r="E96" s="455">
        <v>29760</v>
      </c>
      <c r="F96" s="456">
        <v>854</v>
      </c>
      <c r="G96" s="661">
        <v>14082</v>
      </c>
      <c r="H96" s="669">
        <v>8777</v>
      </c>
      <c r="I96" s="669"/>
      <c r="J96" s="669"/>
      <c r="K96" s="669"/>
      <c r="L96" s="669"/>
      <c r="M96" s="669"/>
      <c r="N96" s="457"/>
      <c r="O96" s="398"/>
      <c r="P96" s="398"/>
      <c r="Q96" s="398"/>
      <c r="R96" s="445"/>
      <c r="S96" s="398"/>
      <c r="T96" s="398"/>
      <c r="U96" s="398"/>
      <c r="V96" s="398"/>
      <c r="W96" s="398"/>
      <c r="X96" s="398"/>
      <c r="Y96" s="398"/>
      <c r="Z96" s="398"/>
      <c r="AA96" s="398"/>
      <c r="AB96" s="398"/>
      <c r="AC96" s="398"/>
      <c r="AD96" s="398"/>
      <c r="AE96" s="398"/>
      <c r="AF96" s="398"/>
      <c r="AG96" s="398"/>
      <c r="AH96" s="398"/>
      <c r="AI96" s="398"/>
      <c r="AJ96" s="398"/>
      <c r="AK96" s="398"/>
      <c r="AL96" s="398"/>
      <c r="AM96" s="398"/>
      <c r="AN96" s="398"/>
      <c r="AO96" s="398"/>
      <c r="AP96" s="398"/>
      <c r="AQ96" s="398"/>
      <c r="AR96" s="398"/>
      <c r="AS96" s="398"/>
      <c r="AT96" s="398"/>
      <c r="AU96" s="398"/>
      <c r="AV96" s="398"/>
      <c r="AW96" s="398"/>
      <c r="AX96" s="398"/>
      <c r="AY96" s="398"/>
      <c r="AZ96" s="398"/>
    </row>
    <row r="97" spans="1:52" s="373" customFormat="1" ht="14.25" customHeight="1">
      <c r="A97" s="398"/>
      <c r="B97" s="458" t="str">
        <f>+Inputs!$B$6&amp;" ("&amp;Inputs!Q$4&amp;")"</f>
        <v>Revenue (Sales) (2024)</v>
      </c>
      <c r="C97" s="398"/>
      <c r="D97" s="459">
        <f>+_xlfn.XLOOKUP("Revenue (Sales)",Inputs!$B:$B,Inputs!Q:Q)</f>
        <v>53101</v>
      </c>
      <c r="E97" s="463">
        <v>130497</v>
      </c>
      <c r="F97" s="461">
        <v>25785</v>
      </c>
      <c r="G97" s="663">
        <v>51574</v>
      </c>
      <c r="H97" s="656">
        <v>30574</v>
      </c>
      <c r="I97" s="670"/>
      <c r="J97" s="670"/>
      <c r="K97" s="670"/>
      <c r="L97" s="670"/>
      <c r="M97" s="670"/>
      <c r="N97" s="462"/>
      <c r="O97" s="398"/>
      <c r="P97" s="398"/>
      <c r="Q97" s="398"/>
      <c r="R97" s="445"/>
      <c r="S97" s="398"/>
      <c r="T97" s="398"/>
      <c r="U97" s="398"/>
      <c r="V97" s="398"/>
      <c r="W97" s="398"/>
      <c r="X97" s="398"/>
      <c r="Y97" s="398"/>
      <c r="Z97" s="398"/>
      <c r="AA97" s="398"/>
      <c r="AB97" s="398"/>
      <c r="AC97" s="398"/>
      <c r="AD97" s="398"/>
      <c r="AE97" s="398"/>
      <c r="AF97" s="398"/>
      <c r="AG97" s="398"/>
      <c r="AH97" s="398"/>
      <c r="AI97" s="398"/>
      <c r="AJ97" s="398"/>
      <c r="AK97" s="398"/>
      <c r="AL97" s="398"/>
      <c r="AM97" s="398"/>
      <c r="AN97" s="398"/>
      <c r="AO97" s="398"/>
      <c r="AP97" s="398"/>
      <c r="AQ97" s="398"/>
      <c r="AR97" s="398"/>
      <c r="AS97" s="398"/>
      <c r="AT97" s="398"/>
      <c r="AU97" s="398"/>
      <c r="AV97" s="398"/>
      <c r="AW97" s="398"/>
      <c r="AX97" s="398"/>
      <c r="AY97" s="398"/>
      <c r="AZ97" s="398"/>
    </row>
    <row r="98" spans="1:52" s="373" customFormat="1" ht="14.25" customHeight="1">
      <c r="A98" s="398"/>
      <c r="B98" s="464" t="s">
        <v>281</v>
      </c>
      <c r="C98" s="398"/>
      <c r="D98" s="459">
        <f>+_xlfn.XLOOKUP($B98,Inputs!$B:$B,Inputs!Q:Q)</f>
        <v>35756</v>
      </c>
      <c r="E98" s="460">
        <v>32639</v>
      </c>
      <c r="F98" s="461">
        <v>12114</v>
      </c>
      <c r="G98" s="662">
        <v>19065</v>
      </c>
      <c r="H98" s="670">
        <v>15122</v>
      </c>
      <c r="I98" s="670"/>
      <c r="J98" s="656"/>
      <c r="K98" s="656"/>
      <c r="L98" s="656"/>
      <c r="M98" s="656"/>
      <c r="N98" s="656"/>
      <c r="O98" s="398"/>
      <c r="P98" s="398"/>
      <c r="Q98" s="398"/>
      <c r="R98" s="445"/>
      <c r="S98" s="398"/>
      <c r="T98" s="398"/>
      <c r="U98" s="398"/>
      <c r="V98" s="398"/>
      <c r="W98" s="398"/>
      <c r="X98" s="398"/>
      <c r="Y98" s="398"/>
      <c r="Z98" s="398"/>
      <c r="AA98" s="398"/>
      <c r="AB98" s="398"/>
      <c r="AC98" s="398"/>
      <c r="AD98" s="398"/>
      <c r="AE98" s="398"/>
      <c r="AF98" s="398"/>
      <c r="AG98" s="398"/>
      <c r="AH98" s="398"/>
      <c r="AI98" s="398"/>
      <c r="AJ98" s="398"/>
      <c r="AK98" s="398"/>
      <c r="AL98" s="398"/>
      <c r="AM98" s="398"/>
      <c r="AN98" s="398"/>
      <c r="AO98" s="398"/>
      <c r="AP98" s="398"/>
      <c r="AQ98" s="398"/>
      <c r="AR98" s="398"/>
      <c r="AS98" s="398"/>
      <c r="AT98" s="398"/>
      <c r="AU98" s="398"/>
      <c r="AV98" s="398"/>
      <c r="AW98" s="398"/>
      <c r="AX98" s="398"/>
      <c r="AY98" s="398"/>
      <c r="AZ98" s="398"/>
    </row>
    <row r="99" spans="1:52" s="373" customFormat="1" ht="14.25" customHeight="1">
      <c r="A99" s="398"/>
      <c r="B99" s="465" t="s">
        <v>282</v>
      </c>
      <c r="C99" s="398"/>
      <c r="D99" s="459">
        <f>+_xlfn.XLOOKUP($B99,Inputs!$B:$B,Inputs!Q:Q)</f>
        <v>17345</v>
      </c>
      <c r="E99" s="460">
        <f>+E97-E98</f>
        <v>97858</v>
      </c>
      <c r="F99" s="460">
        <f>+F97-F98</f>
        <v>13671</v>
      </c>
      <c r="G99" s="460">
        <f>G97-G98</f>
        <v>32509</v>
      </c>
      <c r="H99" s="460">
        <f>+H97-H98</f>
        <v>15452</v>
      </c>
      <c r="I99" s="460"/>
      <c r="J99" s="656"/>
      <c r="K99" s="656"/>
      <c r="L99" s="656"/>
      <c r="M99" s="656"/>
      <c r="N99" s="656"/>
      <c r="O99" s="419"/>
      <c r="P99" s="419"/>
      <c r="Q99" s="419"/>
      <c r="R99" s="115"/>
      <c r="S99" s="398"/>
      <c r="T99" s="398"/>
      <c r="U99" s="398"/>
      <c r="V99" s="398"/>
      <c r="W99" s="398"/>
      <c r="X99" s="398"/>
      <c r="Y99" s="398"/>
      <c r="Z99" s="398"/>
      <c r="AA99" s="398"/>
      <c r="AB99" s="398"/>
      <c r="AC99" s="398"/>
      <c r="AD99" s="398"/>
      <c r="AE99" s="398"/>
      <c r="AF99" s="398"/>
      <c r="AG99" s="398"/>
      <c r="AH99" s="398"/>
      <c r="AI99" s="398"/>
      <c r="AJ99" s="398"/>
      <c r="AK99" s="398"/>
      <c r="AL99" s="398"/>
      <c r="AM99" s="398"/>
      <c r="AN99" s="398"/>
      <c r="AO99" s="398"/>
      <c r="AP99" s="398"/>
      <c r="AQ99" s="398"/>
      <c r="AR99" s="398"/>
      <c r="AS99" s="398"/>
      <c r="AT99" s="398"/>
      <c r="AU99" s="398"/>
      <c r="AV99" s="398"/>
      <c r="AW99" s="398"/>
      <c r="AX99" s="398"/>
      <c r="AY99" s="398"/>
      <c r="AZ99" s="398"/>
    </row>
    <row r="100" spans="1:52" s="373" customFormat="1" ht="14.25" customHeight="1">
      <c r="A100" s="398"/>
      <c r="B100" s="464" t="s">
        <v>224</v>
      </c>
      <c r="C100" s="398"/>
      <c r="D100" s="459">
        <f>+_xlfn.XLOOKUP($B100,Inputs!$B:$B,Inputs!Q:Q)</f>
        <v>5955</v>
      </c>
      <c r="E100" s="460">
        <f>E99-16405+1865</f>
        <v>83318</v>
      </c>
      <c r="F100" s="460">
        <f>F101+1448+946+671</f>
        <v>4965</v>
      </c>
      <c r="G100" s="460">
        <f>G101+3244+593</f>
        <v>19627</v>
      </c>
      <c r="H100" s="460">
        <v>12807</v>
      </c>
      <c r="I100" s="460"/>
      <c r="J100" s="656"/>
      <c r="K100" s="656"/>
      <c r="L100" s="656"/>
      <c r="M100" s="656"/>
      <c r="N100" s="656"/>
      <c r="O100" s="398"/>
      <c r="P100" s="398"/>
      <c r="Q100" s="398"/>
      <c r="R100" s="398"/>
      <c r="S100" s="398"/>
      <c r="T100" s="398"/>
      <c r="U100" s="398"/>
      <c r="V100" s="398"/>
      <c r="W100" s="398"/>
      <c r="X100" s="398"/>
      <c r="Y100" s="398"/>
      <c r="Z100" s="398"/>
      <c r="AA100" s="398"/>
      <c r="AB100" s="398"/>
      <c r="AC100" s="398"/>
      <c r="AD100" s="398"/>
      <c r="AE100" s="398"/>
      <c r="AF100" s="398"/>
      <c r="AG100" s="398"/>
      <c r="AH100" s="398"/>
      <c r="AI100" s="398"/>
      <c r="AJ100" s="398"/>
      <c r="AK100" s="398"/>
      <c r="AL100" s="398"/>
      <c r="AM100" s="398"/>
      <c r="AN100" s="398"/>
      <c r="AO100" s="398"/>
      <c r="AP100" s="398"/>
      <c r="AQ100" s="398"/>
      <c r="AR100" s="398"/>
      <c r="AS100" s="398"/>
      <c r="AT100" s="398"/>
      <c r="AU100" s="398"/>
      <c r="AV100" s="398"/>
      <c r="AW100" s="398"/>
      <c r="AX100" s="398"/>
      <c r="AY100" s="398"/>
      <c r="AZ100" s="398"/>
    </row>
    <row r="101" spans="1:52" s="373" customFormat="1" ht="14.25" customHeight="1">
      <c r="A101" s="398"/>
      <c r="B101" s="464" t="s">
        <v>283</v>
      </c>
      <c r="C101" s="398"/>
      <c r="D101" s="459">
        <f>+_xlfn.XLOOKUP($B101,Inputs!$B:$B,Inputs!Q:Q)</f>
        <v>-5424</v>
      </c>
      <c r="E101" s="463">
        <v>81453</v>
      </c>
      <c r="F101" s="466">
        <v>1900</v>
      </c>
      <c r="G101" s="663">
        <v>15790</v>
      </c>
      <c r="H101" s="656">
        <v>10788</v>
      </c>
      <c r="I101" s="656"/>
      <c r="J101" s="656"/>
      <c r="K101" s="656"/>
      <c r="L101" s="656"/>
      <c r="M101" s="656"/>
      <c r="N101" s="656"/>
      <c r="O101" s="398"/>
      <c r="P101" s="398"/>
      <c r="Q101" s="398"/>
      <c r="R101" s="398"/>
      <c r="S101" s="398"/>
      <c r="T101" s="398"/>
      <c r="U101" s="398"/>
      <c r="V101" s="398"/>
      <c r="W101" s="398"/>
      <c r="X101" s="398"/>
      <c r="Y101" s="398"/>
      <c r="Z101" s="398"/>
      <c r="AA101" s="398"/>
      <c r="AB101" s="398"/>
      <c r="AC101" s="398"/>
      <c r="AD101" s="398"/>
      <c r="AE101" s="398"/>
      <c r="AF101" s="398"/>
      <c r="AG101" s="398"/>
      <c r="AH101" s="398"/>
      <c r="AI101" s="398"/>
      <c r="AJ101" s="398"/>
      <c r="AK101" s="398"/>
      <c r="AL101" s="398"/>
      <c r="AM101" s="398"/>
      <c r="AN101" s="398"/>
      <c r="AO101" s="398"/>
      <c r="AP101" s="398"/>
      <c r="AQ101" s="398"/>
      <c r="AR101" s="398"/>
      <c r="AS101" s="398"/>
      <c r="AT101" s="398"/>
      <c r="AU101" s="398"/>
      <c r="AV101" s="398"/>
      <c r="AW101" s="398"/>
      <c r="AX101" s="398"/>
      <c r="AY101" s="398"/>
      <c r="AZ101" s="398"/>
    </row>
    <row r="102" spans="1:52" s="373" customFormat="1" ht="14.25" customHeight="1">
      <c r="A102" s="398"/>
      <c r="B102" s="464" t="s">
        <v>284</v>
      </c>
      <c r="C102" s="398"/>
      <c r="D102" s="459">
        <f>+_xlfn.XLOOKUP($B102,Inputs!$B:$B,Inputs!Q:Q)</f>
        <v>-211</v>
      </c>
      <c r="E102" s="463">
        <v>2573</v>
      </c>
      <c r="F102" s="466">
        <v>-92</v>
      </c>
      <c r="G102" s="663">
        <v>3953</v>
      </c>
      <c r="H102" s="656">
        <v>-21</v>
      </c>
      <c r="I102" s="656"/>
      <c r="J102" s="656"/>
      <c r="K102" s="656"/>
      <c r="L102" s="673"/>
      <c r="M102" s="673"/>
      <c r="N102" s="467"/>
      <c r="O102" s="398"/>
      <c r="P102" s="398"/>
      <c r="Q102" s="398"/>
      <c r="R102" s="398"/>
      <c r="S102" s="398"/>
      <c r="T102" s="398"/>
      <c r="U102" s="398"/>
      <c r="V102" s="398"/>
      <c r="W102" s="398"/>
      <c r="X102" s="398"/>
      <c r="Y102" s="398"/>
      <c r="Z102" s="398"/>
      <c r="AA102" s="398"/>
      <c r="AB102" s="398"/>
      <c r="AC102" s="398"/>
      <c r="AD102" s="398"/>
      <c r="AE102" s="398"/>
      <c r="AF102" s="398"/>
      <c r="AG102" s="398"/>
      <c r="AH102" s="398"/>
      <c r="AI102" s="398"/>
      <c r="AJ102" s="398"/>
      <c r="AK102" s="398"/>
      <c r="AL102" s="398"/>
      <c r="AM102" s="398"/>
      <c r="AN102" s="398"/>
      <c r="AO102" s="398"/>
      <c r="AP102" s="398"/>
      <c r="AQ102" s="398"/>
      <c r="AR102" s="398"/>
      <c r="AS102" s="398"/>
      <c r="AT102" s="398"/>
      <c r="AU102" s="398"/>
      <c r="AV102" s="398"/>
      <c r="AW102" s="398"/>
      <c r="AX102" s="398"/>
      <c r="AY102" s="398"/>
      <c r="AZ102" s="398"/>
    </row>
    <row r="103" spans="1:52" s="373" customFormat="1" ht="14.25" customHeight="1">
      <c r="A103" s="398"/>
      <c r="B103" s="464" t="s">
        <v>285</v>
      </c>
      <c r="C103" s="398"/>
      <c r="D103" s="459">
        <f>+_xlfn.XLOOKUP($B103,Inputs!$B:$B,Inputs!Q:Q)</f>
        <v>-4963</v>
      </c>
      <c r="E103" s="463">
        <f>E101+E102</f>
        <v>84026</v>
      </c>
      <c r="F103" s="466">
        <v>1989</v>
      </c>
      <c r="G103" s="663">
        <v>9916</v>
      </c>
      <c r="H103" s="656">
        <v>10771</v>
      </c>
      <c r="I103" s="656"/>
      <c r="J103" s="656"/>
      <c r="K103" s="656"/>
      <c r="L103" s="656"/>
      <c r="M103" s="656"/>
      <c r="N103" s="462"/>
      <c r="O103" s="398"/>
      <c r="P103" s="398"/>
      <c r="Q103" s="398"/>
      <c r="R103" s="398"/>
      <c r="S103" s="398"/>
      <c r="T103" s="398"/>
      <c r="U103" s="398"/>
      <c r="V103" s="398"/>
      <c r="W103" s="398"/>
      <c r="X103" s="398"/>
      <c r="Y103" s="398"/>
      <c r="Z103" s="398"/>
      <c r="AA103" s="398"/>
      <c r="AB103" s="398"/>
      <c r="AC103" s="398"/>
      <c r="AD103" s="398"/>
      <c r="AE103" s="398"/>
      <c r="AF103" s="398"/>
      <c r="AG103" s="398"/>
      <c r="AH103" s="398"/>
      <c r="AI103" s="398"/>
      <c r="AJ103" s="398"/>
      <c r="AK103" s="398"/>
      <c r="AL103" s="398"/>
      <c r="AM103" s="398"/>
      <c r="AN103" s="398"/>
      <c r="AO103" s="398"/>
      <c r="AP103" s="398"/>
      <c r="AQ103" s="398"/>
      <c r="AR103" s="398"/>
      <c r="AS103" s="398"/>
      <c r="AT103" s="398"/>
      <c r="AU103" s="398"/>
      <c r="AV103" s="398"/>
      <c r="AW103" s="398"/>
      <c r="AX103" s="398"/>
      <c r="AY103" s="398"/>
      <c r="AZ103" s="398"/>
    </row>
    <row r="104" spans="1:52" s="373" customFormat="1" ht="14.25" customHeight="1">
      <c r="A104" s="398"/>
      <c r="B104" s="464" t="s">
        <v>286</v>
      </c>
      <c r="C104" s="398"/>
      <c r="D104" s="459">
        <f>+_xlfn.XLOOKUP($B104,Inputs!$B:$B,Inputs!Q:Q)</f>
        <v>8023</v>
      </c>
      <c r="E104" s="463">
        <v>11146</v>
      </c>
      <c r="F104" s="466">
        <v>381</v>
      </c>
      <c r="G104" s="663">
        <v>3748</v>
      </c>
      <c r="H104" s="656">
        <v>1966</v>
      </c>
      <c r="I104" s="656"/>
      <c r="J104" s="656"/>
      <c r="K104" s="656"/>
      <c r="L104" s="656"/>
      <c r="M104" s="656"/>
      <c r="N104" s="462"/>
      <c r="O104" s="398"/>
      <c r="P104" s="398"/>
      <c r="Q104" s="398"/>
      <c r="R104" s="398"/>
      <c r="S104" s="398"/>
      <c r="T104" s="398"/>
      <c r="U104" s="398"/>
      <c r="V104" s="398"/>
      <c r="W104" s="398"/>
      <c r="X104" s="398"/>
      <c r="Y104" s="398"/>
      <c r="Z104" s="398"/>
      <c r="AA104" s="398"/>
      <c r="AB104" s="398"/>
      <c r="AC104" s="398"/>
      <c r="AD104" s="398"/>
      <c r="AE104" s="398"/>
      <c r="AF104" s="398"/>
      <c r="AG104" s="398"/>
      <c r="AH104" s="398"/>
      <c r="AI104" s="398"/>
      <c r="AJ104" s="398"/>
      <c r="AK104" s="398"/>
      <c r="AL104" s="398"/>
      <c r="AM104" s="398"/>
      <c r="AN104" s="398"/>
      <c r="AO104" s="398"/>
      <c r="AP104" s="398"/>
      <c r="AQ104" s="398"/>
      <c r="AR104" s="398"/>
      <c r="AS104" s="398"/>
      <c r="AT104" s="398"/>
      <c r="AU104" s="398"/>
      <c r="AV104" s="398"/>
      <c r="AW104" s="398"/>
      <c r="AX104" s="398"/>
      <c r="AY104" s="398"/>
      <c r="AZ104" s="398"/>
    </row>
    <row r="105" spans="1:52" s="373" customFormat="1" ht="14.25" customHeight="1">
      <c r="A105" s="398"/>
      <c r="B105" s="464" t="s">
        <v>287</v>
      </c>
      <c r="C105" s="398"/>
      <c r="D105" s="459">
        <f>+_xlfn.XLOOKUP($B105,Inputs!$B:$B,Inputs!Q:Q)</f>
        <v>-12986</v>
      </c>
      <c r="E105" s="463">
        <f>E103-E104</f>
        <v>72880</v>
      </c>
      <c r="F105" s="466">
        <v>1641</v>
      </c>
      <c r="G105" s="663">
        <v>5895</v>
      </c>
      <c r="H105" s="656">
        <v>9032</v>
      </c>
      <c r="I105" s="656"/>
      <c r="J105" s="656"/>
      <c r="K105" s="656"/>
      <c r="L105" s="656"/>
      <c r="M105" s="656"/>
      <c r="N105" s="462"/>
      <c r="O105" s="398"/>
      <c r="P105" s="398"/>
      <c r="Q105" s="398"/>
      <c r="R105" s="398"/>
      <c r="S105" s="398"/>
      <c r="T105" s="398"/>
      <c r="U105" s="398"/>
      <c r="V105" s="398"/>
      <c r="W105" s="398"/>
      <c r="X105" s="398"/>
      <c r="Y105" s="398"/>
      <c r="Z105" s="398"/>
      <c r="AA105" s="398"/>
      <c r="AB105" s="398"/>
      <c r="AC105" s="398"/>
      <c r="AD105" s="398"/>
      <c r="AE105" s="398"/>
      <c r="AF105" s="398"/>
      <c r="AG105" s="398"/>
      <c r="AH105" s="398"/>
      <c r="AI105" s="398"/>
      <c r="AJ105" s="398"/>
      <c r="AK105" s="398"/>
      <c r="AL105" s="398"/>
      <c r="AM105" s="398"/>
      <c r="AN105" s="398"/>
      <c r="AO105" s="398"/>
      <c r="AP105" s="398"/>
      <c r="AQ105" s="398"/>
      <c r="AR105" s="398"/>
      <c r="AS105" s="398"/>
      <c r="AT105" s="398"/>
      <c r="AU105" s="398"/>
      <c r="AV105" s="398"/>
      <c r="AW105" s="398"/>
      <c r="AX105" s="398"/>
      <c r="AY105" s="398"/>
      <c r="AZ105" s="398"/>
    </row>
    <row r="106" spans="1:52" s="373" customFormat="1" ht="14.25" customHeight="1">
      <c r="A106" s="398"/>
      <c r="B106" s="464" t="s">
        <v>288</v>
      </c>
      <c r="C106" s="398"/>
      <c r="D106" s="459">
        <f>+_xlfn.XLOOKUP($B106,Inputs!$B:$B,Inputs!Q:Q)</f>
        <v>-4.38</v>
      </c>
      <c r="E106" s="468" t="s">
        <v>289</v>
      </c>
      <c r="F106" s="469">
        <v>1.01</v>
      </c>
      <c r="G106" s="664">
        <v>1.27</v>
      </c>
      <c r="H106" s="671" t="s">
        <v>290</v>
      </c>
      <c r="I106" s="671"/>
      <c r="J106" s="671"/>
      <c r="K106" s="671"/>
      <c r="L106" s="671"/>
      <c r="M106" s="671"/>
      <c r="N106" s="470"/>
      <c r="O106" s="398"/>
      <c r="P106" s="398"/>
      <c r="Q106" s="398"/>
      <c r="R106" s="398"/>
      <c r="S106" s="398"/>
      <c r="T106" s="398"/>
      <c r="U106" s="398"/>
      <c r="V106" s="398"/>
      <c r="W106" s="398"/>
      <c r="X106" s="398"/>
      <c r="Y106" s="398"/>
      <c r="Z106" s="398"/>
      <c r="AA106" s="398"/>
      <c r="AB106" s="398"/>
      <c r="AC106" s="398"/>
      <c r="AD106" s="398"/>
      <c r="AE106" s="398"/>
      <c r="AF106" s="398"/>
      <c r="AG106" s="398"/>
      <c r="AH106" s="398"/>
      <c r="AI106" s="398"/>
      <c r="AJ106" s="398"/>
      <c r="AK106" s="398"/>
      <c r="AL106" s="398"/>
      <c r="AM106" s="398"/>
      <c r="AN106" s="398"/>
      <c r="AO106" s="398"/>
      <c r="AP106" s="398"/>
      <c r="AQ106" s="398"/>
      <c r="AR106" s="398"/>
      <c r="AS106" s="398"/>
      <c r="AT106" s="398"/>
      <c r="AU106" s="398"/>
      <c r="AV106" s="398"/>
      <c r="AW106" s="398"/>
      <c r="AX106" s="398"/>
      <c r="AY106" s="398"/>
      <c r="AZ106" s="398"/>
    </row>
    <row r="107" spans="1:52" s="373" customFormat="1" ht="14.25" customHeight="1">
      <c r="A107" s="398"/>
      <c r="B107" s="464" t="s">
        <v>291</v>
      </c>
      <c r="C107" s="398"/>
      <c r="D107" s="459">
        <f>+_xlfn.XLOOKUP($B107,Inputs!$B:$B,Inputs!Q:Q)</f>
        <v>16546</v>
      </c>
      <c r="E107" s="463">
        <v>12914</v>
      </c>
      <c r="F107" s="466">
        <v>6456</v>
      </c>
      <c r="G107" s="663">
        <v>9310</v>
      </c>
      <c r="H107" s="656">
        <v>3441</v>
      </c>
      <c r="I107" s="656"/>
      <c r="J107" s="656"/>
      <c r="K107" s="656"/>
      <c r="L107" s="656"/>
      <c r="M107" s="656"/>
      <c r="N107" s="462"/>
      <c r="O107" s="398"/>
      <c r="P107" s="398"/>
      <c r="Q107" s="398"/>
      <c r="R107" s="398"/>
      <c r="S107" s="398"/>
      <c r="T107" s="398"/>
      <c r="U107" s="398"/>
      <c r="V107" s="398"/>
      <c r="W107" s="398"/>
      <c r="X107" s="398"/>
      <c r="Y107" s="398"/>
      <c r="Z107" s="398"/>
      <c r="AA107" s="398"/>
      <c r="AB107" s="398"/>
      <c r="AC107" s="398"/>
      <c r="AD107" s="398"/>
      <c r="AE107" s="398"/>
      <c r="AF107" s="398"/>
      <c r="AG107" s="398"/>
      <c r="AH107" s="398"/>
      <c r="AI107" s="398"/>
      <c r="AJ107" s="398"/>
      <c r="AK107" s="398"/>
      <c r="AL107" s="398"/>
      <c r="AM107" s="398"/>
      <c r="AN107" s="398"/>
      <c r="AO107" s="398"/>
      <c r="AP107" s="398"/>
      <c r="AQ107" s="398"/>
      <c r="AR107" s="398"/>
      <c r="AS107" s="398"/>
      <c r="AT107" s="398"/>
      <c r="AU107" s="398"/>
      <c r="AV107" s="398"/>
      <c r="AW107" s="398"/>
      <c r="AX107" s="398"/>
      <c r="AY107" s="398"/>
      <c r="AZ107" s="398"/>
    </row>
    <row r="108" spans="1:52" s="373" customFormat="1" ht="3.75" customHeight="1">
      <c r="A108" s="398"/>
      <c r="B108" s="464"/>
      <c r="C108" s="398"/>
      <c r="D108" s="471"/>
      <c r="E108" s="472"/>
      <c r="F108" s="473"/>
      <c r="G108" s="665"/>
      <c r="H108" s="672"/>
      <c r="I108" s="672"/>
      <c r="J108" s="672"/>
      <c r="K108" s="672"/>
      <c r="L108" s="672"/>
      <c r="M108" s="672"/>
      <c r="N108" s="442"/>
      <c r="O108" s="398"/>
      <c r="P108" s="398"/>
      <c r="Q108" s="398"/>
      <c r="R108" s="398"/>
      <c r="S108" s="398"/>
      <c r="T108" s="398"/>
      <c r="U108" s="398"/>
      <c r="V108" s="398"/>
      <c r="W108" s="398"/>
      <c r="X108" s="398"/>
      <c r="Y108" s="398"/>
      <c r="Z108" s="398"/>
      <c r="AA108" s="398"/>
      <c r="AB108" s="398"/>
      <c r="AC108" s="398"/>
      <c r="AD108" s="398"/>
      <c r="AE108" s="398"/>
      <c r="AF108" s="398"/>
      <c r="AG108" s="398"/>
      <c r="AH108" s="398"/>
      <c r="AI108" s="398"/>
      <c r="AJ108" s="398"/>
      <c r="AK108" s="398"/>
      <c r="AL108" s="398"/>
      <c r="AM108" s="398"/>
      <c r="AN108" s="398"/>
      <c r="AO108" s="398"/>
      <c r="AP108" s="398"/>
      <c r="AQ108" s="398"/>
      <c r="AR108" s="398"/>
      <c r="AS108" s="398"/>
      <c r="AT108" s="398"/>
      <c r="AU108" s="398"/>
      <c r="AV108" s="398"/>
      <c r="AW108" s="398"/>
      <c r="AX108" s="398"/>
      <c r="AY108" s="398"/>
      <c r="AZ108" s="398"/>
    </row>
    <row r="109" spans="1:52" s="373" customFormat="1" ht="14.25" customHeight="1">
      <c r="A109" s="398"/>
      <c r="B109" s="450" t="s">
        <v>292</v>
      </c>
      <c r="C109" s="435"/>
      <c r="D109" s="474"/>
      <c r="E109" s="475"/>
      <c r="F109" s="476"/>
      <c r="G109" s="666"/>
      <c r="H109" s="657"/>
      <c r="I109" s="657"/>
      <c r="J109" s="657"/>
      <c r="K109" s="657"/>
      <c r="L109" s="657"/>
      <c r="M109" s="657"/>
      <c r="N109" s="477"/>
      <c r="O109" s="398"/>
      <c r="P109" s="398"/>
      <c r="Q109" s="398"/>
      <c r="R109" s="398"/>
      <c r="S109" s="398"/>
      <c r="T109" s="398"/>
      <c r="U109" s="398"/>
      <c r="V109" s="398"/>
      <c r="W109" s="398"/>
      <c r="X109" s="398"/>
      <c r="Y109" s="398"/>
      <c r="Z109" s="398"/>
      <c r="AA109" s="398"/>
      <c r="AB109" s="398"/>
      <c r="AC109" s="398"/>
      <c r="AD109" s="398"/>
      <c r="AE109" s="398"/>
      <c r="AF109" s="398"/>
      <c r="AG109" s="398"/>
      <c r="AH109" s="398"/>
      <c r="AI109" s="398"/>
      <c r="AJ109" s="398"/>
      <c r="AK109" s="398"/>
      <c r="AL109" s="398"/>
      <c r="AM109" s="398"/>
      <c r="AN109" s="398"/>
      <c r="AO109" s="398"/>
      <c r="AP109" s="398"/>
      <c r="AQ109" s="398"/>
      <c r="AR109" s="398"/>
      <c r="AS109" s="398"/>
      <c r="AT109" s="398"/>
      <c r="AU109" s="398"/>
      <c r="AV109" s="398"/>
      <c r="AW109" s="398"/>
      <c r="AX109" s="398"/>
      <c r="AY109" s="398"/>
      <c r="AZ109" s="398"/>
    </row>
    <row r="110" spans="1:52" s="373" customFormat="1" ht="3.75" customHeight="1">
      <c r="A110" s="398"/>
      <c r="B110" s="451"/>
      <c r="C110" s="439"/>
      <c r="D110" s="478"/>
      <c r="E110" s="479"/>
      <c r="F110" s="480"/>
      <c r="G110" s="655"/>
      <c r="H110" s="658"/>
      <c r="I110" s="658"/>
      <c r="J110" s="658"/>
      <c r="K110" s="658"/>
      <c r="L110" s="658"/>
      <c r="M110" s="658"/>
      <c r="N110" s="444"/>
      <c r="O110" s="398"/>
      <c r="P110" s="398"/>
      <c r="Q110" s="398"/>
      <c r="R110" s="398"/>
      <c r="S110" s="398"/>
      <c r="T110" s="398"/>
      <c r="U110" s="398"/>
      <c r="V110" s="398"/>
      <c r="W110" s="398"/>
      <c r="X110" s="398"/>
      <c r="Y110" s="398"/>
      <c r="Z110" s="398"/>
      <c r="AA110" s="398"/>
      <c r="AB110" s="398"/>
      <c r="AC110" s="398"/>
      <c r="AD110" s="398"/>
      <c r="AE110" s="398"/>
      <c r="AF110" s="398"/>
      <c r="AG110" s="398"/>
      <c r="AH110" s="398"/>
      <c r="AI110" s="398"/>
      <c r="AJ110" s="398"/>
      <c r="AK110" s="398"/>
      <c r="AL110" s="398"/>
      <c r="AM110" s="398"/>
      <c r="AN110" s="398"/>
      <c r="AO110" s="398"/>
      <c r="AP110" s="398"/>
      <c r="AQ110" s="398"/>
      <c r="AR110" s="398"/>
      <c r="AS110" s="398"/>
      <c r="AT110" s="398"/>
      <c r="AU110" s="398"/>
      <c r="AV110" s="398"/>
      <c r="AW110" s="398"/>
      <c r="AX110" s="398"/>
      <c r="AY110" s="398"/>
      <c r="AZ110" s="398"/>
    </row>
    <row r="111" spans="1:52" s="373" customFormat="1" ht="14.25" customHeight="1">
      <c r="A111" s="398"/>
      <c r="B111" s="464" t="s">
        <v>293</v>
      </c>
      <c r="C111" s="398"/>
      <c r="D111" s="459">
        <f>+_xlfn.XLOOKUP($B111,Inputs!$B:$B,Inputs!Q:Q)</f>
        <v>8249</v>
      </c>
      <c r="E111" s="463">
        <v>8589</v>
      </c>
      <c r="F111" s="466">
        <v>3787</v>
      </c>
      <c r="G111" s="663">
        <v>9348</v>
      </c>
      <c r="H111" s="656">
        <v>12735.9</v>
      </c>
      <c r="I111" s="656"/>
      <c r="J111" s="656"/>
      <c r="K111" s="656"/>
      <c r="L111" s="656"/>
      <c r="M111" s="656"/>
      <c r="N111" s="462"/>
      <c r="O111" s="398"/>
      <c r="P111" s="398"/>
      <c r="Q111" s="398"/>
      <c r="R111" s="398"/>
      <c r="S111" s="398"/>
      <c r="T111" s="398"/>
      <c r="U111" s="398"/>
      <c r="V111" s="398"/>
      <c r="W111" s="398"/>
      <c r="X111" s="398"/>
      <c r="Y111" s="398"/>
      <c r="Z111" s="398"/>
      <c r="AA111" s="398"/>
      <c r="AB111" s="398"/>
      <c r="AC111" s="398"/>
      <c r="AD111" s="398"/>
      <c r="AE111" s="398"/>
      <c r="AF111" s="398"/>
      <c r="AG111" s="398"/>
      <c r="AH111" s="398"/>
      <c r="AI111" s="398"/>
      <c r="AJ111" s="398"/>
      <c r="AK111" s="398"/>
      <c r="AL111" s="398"/>
      <c r="AM111" s="398"/>
      <c r="AN111" s="398"/>
      <c r="AO111" s="398"/>
      <c r="AP111" s="398"/>
      <c r="AQ111" s="398"/>
      <c r="AR111" s="398"/>
      <c r="AS111" s="398"/>
      <c r="AT111" s="398"/>
      <c r="AU111" s="398"/>
      <c r="AV111" s="398"/>
      <c r="AW111" s="398"/>
      <c r="AX111" s="398"/>
      <c r="AY111" s="398"/>
      <c r="AZ111" s="398"/>
    </row>
    <row r="112" spans="1:52" s="373" customFormat="1" ht="14.25" customHeight="1">
      <c r="A112" s="398"/>
      <c r="B112" s="464" t="s">
        <v>294</v>
      </c>
      <c r="C112" s="398"/>
      <c r="D112" s="459">
        <f>+_xlfn.XLOOKUP($B112,Inputs!$B:$B,Inputs!Q:Q)</f>
        <v>3478</v>
      </c>
      <c r="E112" s="463">
        <v>23065</v>
      </c>
      <c r="F112" s="466">
        <v>6192</v>
      </c>
      <c r="G112" s="663">
        <v>4416</v>
      </c>
      <c r="H112" s="656">
        <v>4477.5</v>
      </c>
      <c r="I112" s="656"/>
      <c r="J112" s="656"/>
      <c r="K112" s="656"/>
      <c r="L112" s="656"/>
      <c r="M112" s="656"/>
      <c r="N112" s="462"/>
      <c r="O112" s="398"/>
      <c r="P112" s="398"/>
      <c r="Q112" s="398"/>
      <c r="R112" s="398"/>
      <c r="S112" s="398"/>
      <c r="T112" s="398"/>
      <c r="U112" s="398"/>
      <c r="V112" s="398"/>
      <c r="W112" s="398"/>
      <c r="X112" s="398"/>
      <c r="Y112" s="398"/>
      <c r="Z112" s="398"/>
      <c r="AA112" s="398"/>
      <c r="AB112" s="398"/>
      <c r="AC112" s="398"/>
      <c r="AD112" s="398"/>
      <c r="AE112" s="398"/>
      <c r="AF112" s="398"/>
      <c r="AG112" s="398"/>
      <c r="AH112" s="398"/>
      <c r="AI112" s="398"/>
      <c r="AJ112" s="398"/>
      <c r="AK112" s="398"/>
      <c r="AL112" s="398"/>
      <c r="AM112" s="398"/>
      <c r="AN112" s="398"/>
      <c r="AO112" s="398"/>
      <c r="AP112" s="398"/>
      <c r="AQ112" s="398"/>
      <c r="AR112" s="398"/>
      <c r="AS112" s="398"/>
      <c r="AT112" s="398"/>
      <c r="AU112" s="398"/>
      <c r="AV112" s="398"/>
      <c r="AW112" s="398"/>
      <c r="AX112" s="398"/>
      <c r="AY112" s="398"/>
      <c r="AZ112" s="398"/>
    </row>
    <row r="113" spans="1:52" s="373" customFormat="1" ht="14.25" customHeight="1">
      <c r="A113" s="398"/>
      <c r="B113" s="464" t="s">
        <v>295</v>
      </c>
      <c r="C113" s="398"/>
      <c r="D113" s="459">
        <f>+_xlfn.XLOOKUP("Inventory",Inputs!$B:$B,Inputs!P:P)</f>
        <v>11127</v>
      </c>
      <c r="E113" s="463">
        <v>9999</v>
      </c>
      <c r="F113" s="466">
        <v>4351</v>
      </c>
      <c r="G113" s="663">
        <v>1898</v>
      </c>
      <c r="H113" s="656">
        <v>8850.7000000000007</v>
      </c>
      <c r="I113" s="656"/>
      <c r="J113" s="656"/>
      <c r="K113" s="656"/>
      <c r="L113" s="656"/>
      <c r="M113" s="656"/>
      <c r="N113" s="462"/>
      <c r="O113" s="398"/>
      <c r="P113" s="398"/>
      <c r="Q113" s="398"/>
      <c r="R113" s="398"/>
      <c r="S113" s="398"/>
      <c r="T113" s="398"/>
      <c r="U113" s="398"/>
      <c r="V113" s="398"/>
      <c r="W113" s="398"/>
      <c r="X113" s="398"/>
      <c r="Y113" s="398"/>
      <c r="Z113" s="398"/>
      <c r="AA113" s="398"/>
      <c r="AB113" s="398"/>
      <c r="AC113" s="398"/>
      <c r="AD113" s="398"/>
      <c r="AE113" s="398"/>
      <c r="AF113" s="398"/>
      <c r="AG113" s="398"/>
      <c r="AH113" s="398"/>
      <c r="AI113" s="398"/>
      <c r="AJ113" s="398"/>
      <c r="AK113" s="398"/>
      <c r="AL113" s="398"/>
      <c r="AM113" s="398"/>
      <c r="AN113" s="398"/>
      <c r="AO113" s="398"/>
      <c r="AP113" s="398"/>
      <c r="AQ113" s="398"/>
      <c r="AR113" s="398"/>
      <c r="AS113" s="398"/>
      <c r="AT113" s="398"/>
      <c r="AU113" s="398"/>
      <c r="AV113" s="398"/>
      <c r="AW113" s="398"/>
      <c r="AX113" s="398"/>
      <c r="AY113" s="398"/>
      <c r="AZ113" s="398"/>
    </row>
    <row r="114" spans="1:52" s="373" customFormat="1" ht="14.25" customHeight="1">
      <c r="A114" s="398"/>
      <c r="B114" s="464" t="s">
        <v>296</v>
      </c>
      <c r="C114" s="398"/>
      <c r="D114" s="459">
        <f>+_xlfn.XLOOKUP("Inventory",Inputs!$B:$B,Inputs!Q:Q)</f>
        <v>12198</v>
      </c>
      <c r="E114" s="463">
        <v>10080</v>
      </c>
      <c r="F114" s="466">
        <v>5734</v>
      </c>
      <c r="G114" s="663">
        <v>1760</v>
      </c>
      <c r="H114" s="656">
        <v>10891.5</v>
      </c>
      <c r="I114" s="656"/>
      <c r="J114" s="656"/>
      <c r="K114" s="656"/>
      <c r="L114" s="656"/>
      <c r="M114" s="656"/>
      <c r="N114" s="462"/>
      <c r="O114" s="398"/>
      <c r="P114" s="398"/>
      <c r="Q114" s="398"/>
      <c r="R114" s="398"/>
      <c r="S114" s="398"/>
      <c r="T114" s="398"/>
      <c r="U114" s="398"/>
      <c r="V114" s="398"/>
      <c r="W114" s="398"/>
      <c r="X114" s="398"/>
      <c r="Y114" s="398"/>
      <c r="Z114" s="398"/>
      <c r="AA114" s="398"/>
      <c r="AB114" s="398"/>
      <c r="AC114" s="398"/>
      <c r="AD114" s="398"/>
      <c r="AE114" s="398"/>
      <c r="AF114" s="398"/>
      <c r="AG114" s="398"/>
      <c r="AH114" s="398"/>
      <c r="AI114" s="398"/>
      <c r="AJ114" s="398"/>
      <c r="AK114" s="398"/>
      <c r="AL114" s="398"/>
      <c r="AM114" s="398"/>
      <c r="AN114" s="398"/>
      <c r="AO114" s="398"/>
      <c r="AP114" s="398"/>
      <c r="AQ114" s="398"/>
      <c r="AR114" s="398"/>
      <c r="AS114" s="398"/>
      <c r="AT114" s="398"/>
      <c r="AU114" s="398"/>
      <c r="AV114" s="398"/>
      <c r="AW114" s="398"/>
      <c r="AX114" s="398"/>
      <c r="AY114" s="398"/>
      <c r="AZ114" s="398"/>
    </row>
    <row r="115" spans="1:52" s="373" customFormat="1" ht="14.25" customHeight="1">
      <c r="A115" s="398"/>
      <c r="B115" s="464" t="s">
        <v>297</v>
      </c>
      <c r="C115" s="398"/>
      <c r="D115" s="459">
        <f>+_xlfn.XLOOKUP($B115,Inputs!$B:$B,Inputs!Q:Q)</f>
        <v>47324</v>
      </c>
      <c r="E115" s="463">
        <v>80126</v>
      </c>
      <c r="F115" s="466">
        <v>19049</v>
      </c>
      <c r="G115" s="663">
        <v>19595</v>
      </c>
      <c r="H115" s="656">
        <v>30737.4</v>
      </c>
      <c r="I115" s="656"/>
      <c r="J115" s="656"/>
      <c r="K115" s="656"/>
      <c r="L115" s="656"/>
      <c r="M115" s="656"/>
      <c r="N115" s="462"/>
      <c r="O115" s="398"/>
      <c r="P115" s="398"/>
      <c r="Q115" s="398"/>
      <c r="R115" s="398"/>
      <c r="S115" s="398"/>
      <c r="T115" s="398"/>
      <c r="U115" s="398"/>
      <c r="V115" s="398"/>
      <c r="W115" s="398"/>
      <c r="X115" s="398"/>
      <c r="Y115" s="398"/>
      <c r="Z115" s="398"/>
      <c r="AA115" s="398"/>
      <c r="AB115" s="398"/>
      <c r="AC115" s="398"/>
      <c r="AD115" s="398"/>
      <c r="AE115" s="398"/>
      <c r="AF115" s="398"/>
      <c r="AG115" s="398"/>
      <c r="AH115" s="398"/>
      <c r="AI115" s="398"/>
      <c r="AJ115" s="398"/>
      <c r="AK115" s="398"/>
      <c r="AL115" s="398"/>
      <c r="AM115" s="398"/>
      <c r="AN115" s="398"/>
      <c r="AO115" s="398"/>
      <c r="AP115" s="398"/>
      <c r="AQ115" s="398"/>
      <c r="AR115" s="398"/>
      <c r="AS115" s="398"/>
      <c r="AT115" s="398"/>
      <c r="AU115" s="398"/>
      <c r="AV115" s="398"/>
      <c r="AW115" s="398"/>
      <c r="AX115" s="398"/>
      <c r="AY115" s="398"/>
      <c r="AZ115" s="398"/>
    </row>
    <row r="116" spans="1:52" s="373" customFormat="1" ht="14.25" customHeight="1">
      <c r="A116" s="398"/>
      <c r="B116" s="464" t="s">
        <v>298</v>
      </c>
      <c r="C116" s="398"/>
      <c r="D116" s="459">
        <f>+_xlfn.XLOOKUP($B116,Inputs!$B:$B,Inputs!Q:Q)</f>
        <v>108376</v>
      </c>
      <c r="E116" s="463">
        <v>6283</v>
      </c>
      <c r="F116" s="466">
        <v>1802</v>
      </c>
      <c r="G116" s="663">
        <v>2521</v>
      </c>
      <c r="H116" s="656">
        <v>6846.8</v>
      </c>
      <c r="I116" s="656"/>
      <c r="J116" s="656"/>
      <c r="K116" s="656"/>
      <c r="L116" s="656"/>
      <c r="M116" s="656"/>
      <c r="N116" s="462"/>
      <c r="O116" s="398"/>
      <c r="P116" s="398"/>
      <c r="Q116" s="398"/>
      <c r="R116" s="398"/>
      <c r="S116" s="398"/>
      <c r="T116" s="398"/>
      <c r="U116" s="398"/>
      <c r="V116" s="398"/>
      <c r="W116" s="398"/>
      <c r="X116" s="398"/>
      <c r="Y116" s="398"/>
      <c r="Z116" s="398"/>
      <c r="AA116" s="398"/>
      <c r="AB116" s="398"/>
      <c r="AC116" s="398"/>
      <c r="AD116" s="398"/>
      <c r="AE116" s="398"/>
      <c r="AF116" s="398"/>
      <c r="AG116" s="398"/>
      <c r="AH116" s="398"/>
      <c r="AI116" s="398"/>
      <c r="AJ116" s="398"/>
      <c r="AK116" s="398"/>
      <c r="AL116" s="398"/>
      <c r="AM116" s="398"/>
      <c r="AN116" s="398"/>
      <c r="AO116" s="398"/>
      <c r="AP116" s="398"/>
      <c r="AQ116" s="398"/>
      <c r="AR116" s="398"/>
      <c r="AS116" s="398"/>
      <c r="AT116" s="398"/>
      <c r="AU116" s="398"/>
      <c r="AV116" s="398"/>
      <c r="AW116" s="398"/>
      <c r="AX116" s="398"/>
      <c r="AY116" s="398"/>
      <c r="AZ116" s="398"/>
    </row>
    <row r="117" spans="1:52" s="373" customFormat="1" ht="14.25" customHeight="1">
      <c r="A117" s="398"/>
      <c r="B117" s="464" t="s">
        <v>299</v>
      </c>
      <c r="C117" s="481"/>
      <c r="D117" s="482">
        <f>+_xlfn.XLOOKUP($B117,Inputs!$B:$B,Inputs!Q:Q)</f>
        <v>196485</v>
      </c>
      <c r="E117" s="463">
        <v>111601</v>
      </c>
      <c r="F117" s="463">
        <v>69226</v>
      </c>
      <c r="G117" s="663">
        <v>165645</v>
      </c>
      <c r="H117" s="656">
        <v>48589.599999999999</v>
      </c>
      <c r="I117" s="656"/>
      <c r="J117" s="656"/>
      <c r="K117" s="656"/>
      <c r="L117" s="656"/>
      <c r="M117" s="656"/>
      <c r="N117" s="462"/>
      <c r="O117" s="398"/>
      <c r="P117" s="398"/>
      <c r="Q117" s="398"/>
      <c r="R117" s="398"/>
      <c r="S117" s="398"/>
      <c r="T117" s="398"/>
      <c r="U117" s="398"/>
      <c r="V117" s="398"/>
      <c r="W117" s="398"/>
      <c r="X117" s="398"/>
      <c r="Y117" s="398"/>
      <c r="Z117" s="398"/>
      <c r="AA117" s="398"/>
      <c r="AB117" s="398"/>
      <c r="AC117" s="398"/>
      <c r="AD117" s="398"/>
      <c r="AE117" s="398"/>
      <c r="AF117" s="398"/>
      <c r="AG117" s="398"/>
      <c r="AH117" s="398"/>
      <c r="AI117" s="398"/>
      <c r="AJ117" s="398"/>
      <c r="AK117" s="398"/>
      <c r="AL117" s="398"/>
      <c r="AM117" s="398"/>
      <c r="AN117" s="398"/>
      <c r="AO117" s="398"/>
      <c r="AP117" s="398"/>
      <c r="AQ117" s="398"/>
      <c r="AR117" s="398"/>
      <c r="AS117" s="398"/>
      <c r="AT117" s="398"/>
      <c r="AU117" s="398"/>
      <c r="AV117" s="398"/>
      <c r="AW117" s="398"/>
      <c r="AX117" s="398"/>
      <c r="AY117" s="398"/>
      <c r="AZ117" s="398"/>
    </row>
    <row r="118" spans="1:52" s="373" customFormat="1" ht="14.25" customHeight="1">
      <c r="A118" s="398"/>
      <c r="B118" s="464" t="s">
        <v>300</v>
      </c>
      <c r="C118" s="398"/>
      <c r="D118" s="459">
        <f>+_xlfn.XLOOKUP($B118,Inputs!$B:$B,Inputs!Q:Q)</f>
        <v>12556</v>
      </c>
      <c r="E118" s="463">
        <v>6310</v>
      </c>
      <c r="F118" s="466">
        <v>1990</v>
      </c>
      <c r="G118" s="663">
        <v>1662</v>
      </c>
      <c r="H118" s="656">
        <v>3500.4</v>
      </c>
      <c r="I118" s="656"/>
      <c r="J118" s="656"/>
      <c r="K118" s="656"/>
      <c r="L118" s="656"/>
      <c r="M118" s="656"/>
      <c r="N118" s="462"/>
      <c r="O118" s="398"/>
      <c r="P118" s="398"/>
      <c r="Q118" s="398"/>
      <c r="R118" s="398"/>
      <c r="S118" s="398"/>
      <c r="T118" s="398"/>
      <c r="U118" s="398"/>
      <c r="V118" s="398"/>
      <c r="W118" s="398"/>
      <c r="X118" s="398"/>
      <c r="Y118" s="398"/>
      <c r="Z118" s="398"/>
      <c r="AA118" s="398"/>
      <c r="AB118" s="398"/>
      <c r="AC118" s="398"/>
      <c r="AD118" s="398"/>
      <c r="AE118" s="398"/>
      <c r="AF118" s="398"/>
      <c r="AG118" s="398"/>
      <c r="AH118" s="398"/>
      <c r="AI118" s="398"/>
      <c r="AJ118" s="398"/>
      <c r="AK118" s="398"/>
      <c r="AL118" s="398"/>
      <c r="AM118" s="398"/>
      <c r="AN118" s="398"/>
      <c r="AO118" s="398"/>
      <c r="AP118" s="398"/>
      <c r="AQ118" s="398"/>
      <c r="AR118" s="398"/>
      <c r="AS118" s="398"/>
      <c r="AT118" s="398"/>
      <c r="AU118" s="398"/>
      <c r="AV118" s="398"/>
      <c r="AW118" s="398"/>
      <c r="AX118" s="398"/>
      <c r="AY118" s="398"/>
      <c r="AZ118" s="398"/>
    </row>
    <row r="119" spans="1:52" s="373" customFormat="1" ht="14.25" customHeight="1">
      <c r="A119" s="398"/>
      <c r="B119" s="464" t="s">
        <v>301</v>
      </c>
      <c r="C119" s="398"/>
      <c r="D119" s="459">
        <f>+_xlfn.XLOOKUP($B119,Inputs!$B:$B,Inputs!Q:Q)</f>
        <v>35666</v>
      </c>
      <c r="E119" s="463">
        <v>18047</v>
      </c>
      <c r="F119" s="466">
        <v>7281</v>
      </c>
      <c r="G119" s="663">
        <v>16697</v>
      </c>
      <c r="H119" s="656">
        <v>20051.400000000001</v>
      </c>
      <c r="I119" s="656"/>
      <c r="J119" s="656"/>
      <c r="K119" s="656"/>
      <c r="L119" s="656"/>
      <c r="M119" s="656"/>
      <c r="N119" s="462"/>
      <c r="O119" s="398"/>
      <c r="P119" s="398"/>
      <c r="Q119" s="398"/>
      <c r="R119" s="398"/>
      <c r="S119" s="398"/>
      <c r="T119" s="398"/>
      <c r="U119" s="398"/>
      <c r="V119" s="398"/>
      <c r="W119" s="398"/>
      <c r="X119" s="398"/>
      <c r="Y119" s="398"/>
      <c r="Z119" s="398"/>
      <c r="AA119" s="398"/>
      <c r="AB119" s="398"/>
      <c r="AC119" s="398"/>
      <c r="AD119" s="398"/>
      <c r="AE119" s="398"/>
      <c r="AF119" s="398"/>
      <c r="AG119" s="398"/>
      <c r="AH119" s="398"/>
      <c r="AI119" s="398"/>
      <c r="AJ119" s="398"/>
      <c r="AK119" s="398"/>
      <c r="AL119" s="398"/>
      <c r="AM119" s="398"/>
      <c r="AN119" s="398"/>
      <c r="AO119" s="398"/>
      <c r="AP119" s="398"/>
      <c r="AQ119" s="398"/>
      <c r="AR119" s="398"/>
      <c r="AS119" s="398"/>
      <c r="AT119" s="398"/>
      <c r="AU119" s="398"/>
      <c r="AV119" s="398"/>
      <c r="AW119" s="398"/>
      <c r="AX119" s="398"/>
      <c r="AY119" s="398"/>
      <c r="AZ119" s="398"/>
    </row>
    <row r="120" spans="1:52" s="373" customFormat="1" ht="14.25" customHeight="1">
      <c r="A120" s="398"/>
      <c r="B120" s="464" t="s">
        <v>302</v>
      </c>
      <c r="C120" s="398"/>
      <c r="D120" s="459">
        <f>+_xlfn.XLOOKUP($B120,Inputs!$B:$B,Inputs!Q:Q)</f>
        <v>46561</v>
      </c>
      <c r="E120" s="463">
        <f>8463+1519</f>
        <v>9982</v>
      </c>
      <c r="F120" s="466">
        <f>1721</f>
        <v>1721</v>
      </c>
      <c r="G120" s="663">
        <v>66295</v>
      </c>
      <c r="H120" s="656">
        <v>3677.3</v>
      </c>
      <c r="I120" s="656"/>
      <c r="J120" s="656"/>
      <c r="K120" s="656"/>
      <c r="L120" s="656"/>
      <c r="M120" s="656"/>
      <c r="N120" s="462"/>
      <c r="O120" s="398"/>
      <c r="P120" s="398"/>
      <c r="Q120" s="398"/>
      <c r="R120" s="398"/>
      <c r="S120" s="398"/>
      <c r="T120" s="398"/>
      <c r="U120" s="398"/>
      <c r="V120" s="398"/>
      <c r="W120" s="398"/>
      <c r="X120" s="398"/>
      <c r="Y120" s="398"/>
      <c r="Z120" s="398"/>
      <c r="AA120" s="398"/>
      <c r="AB120" s="398"/>
      <c r="AC120" s="398"/>
      <c r="AD120" s="398"/>
      <c r="AE120" s="398"/>
      <c r="AF120" s="398"/>
      <c r="AG120" s="398"/>
      <c r="AH120" s="398"/>
      <c r="AI120" s="398"/>
      <c r="AJ120" s="398"/>
      <c r="AK120" s="398"/>
      <c r="AL120" s="398"/>
      <c r="AM120" s="398"/>
      <c r="AN120" s="398"/>
      <c r="AO120" s="398"/>
      <c r="AP120" s="398"/>
      <c r="AQ120" s="398"/>
      <c r="AR120" s="398"/>
      <c r="AS120" s="398"/>
      <c r="AT120" s="398"/>
      <c r="AU120" s="398"/>
      <c r="AV120" s="398"/>
      <c r="AW120" s="398"/>
      <c r="AX120" s="398"/>
      <c r="AY120" s="398"/>
      <c r="AZ120" s="398"/>
    </row>
    <row r="121" spans="1:52" s="373" customFormat="1" ht="14.25" customHeight="1">
      <c r="A121" s="398"/>
      <c r="B121" s="464" t="s">
        <v>303</v>
      </c>
      <c r="C121" s="398"/>
      <c r="D121" s="459">
        <f>+_xlfn.XLOOKUP($B121,Inputs!$B:$B,Inputs!Q:Q,,,-1)</f>
        <v>46742</v>
      </c>
      <c r="E121" s="463">
        <f>E120+0</f>
        <v>9982</v>
      </c>
      <c r="F121" s="466">
        <f>F120+0</f>
        <v>1721</v>
      </c>
      <c r="G121" s="663">
        <f>G120</f>
        <v>66295</v>
      </c>
      <c r="H121" s="656">
        <f>H120+1010.3</f>
        <v>4687.6000000000004</v>
      </c>
      <c r="I121" s="656"/>
      <c r="J121" s="656"/>
      <c r="K121" s="656"/>
      <c r="L121" s="656"/>
      <c r="M121" s="656"/>
      <c r="N121" s="462"/>
      <c r="O121" s="398"/>
      <c r="P121" s="398"/>
      <c r="Q121" s="398"/>
      <c r="R121" s="398"/>
      <c r="S121" s="398"/>
      <c r="T121" s="398"/>
      <c r="U121" s="398"/>
      <c r="V121" s="398"/>
      <c r="W121" s="398"/>
      <c r="X121" s="398"/>
      <c r="Y121" s="398"/>
      <c r="Z121" s="398"/>
      <c r="AA121" s="398"/>
      <c r="AB121" s="398"/>
      <c r="AC121" s="398"/>
      <c r="AD121" s="398"/>
      <c r="AE121" s="398"/>
      <c r="AF121" s="398"/>
      <c r="AG121" s="398"/>
      <c r="AH121" s="398"/>
      <c r="AI121" s="398"/>
      <c r="AJ121" s="398"/>
      <c r="AK121" s="398"/>
      <c r="AL121" s="398"/>
      <c r="AM121" s="398"/>
      <c r="AN121" s="398"/>
      <c r="AO121" s="398"/>
      <c r="AP121" s="398"/>
      <c r="AQ121" s="398"/>
      <c r="AR121" s="398"/>
      <c r="AS121" s="398"/>
      <c r="AT121" s="398"/>
      <c r="AU121" s="398"/>
      <c r="AV121" s="398"/>
      <c r="AW121" s="398"/>
      <c r="AX121" s="398"/>
      <c r="AY121" s="398"/>
      <c r="AZ121" s="398"/>
    </row>
    <row r="122" spans="1:52" s="373" customFormat="1" ht="14.25" customHeight="1">
      <c r="A122" s="398"/>
      <c r="B122" s="464" t="s">
        <v>304</v>
      </c>
      <c r="C122" s="398"/>
      <c r="D122" s="459">
        <f>+_xlfn.XLOOKUP($B122,Inputs!$B:$B,Inputs!Q:Q)</f>
        <v>105032</v>
      </c>
      <c r="E122" s="463">
        <v>79327</v>
      </c>
      <c r="F122" s="466">
        <v>57568</v>
      </c>
      <c r="G122" s="663">
        <v>67678</v>
      </c>
      <c r="H122" s="656">
        <v>48589.599999999999</v>
      </c>
      <c r="I122" s="656"/>
      <c r="J122" s="656"/>
      <c r="K122" s="656"/>
      <c r="L122" s="656"/>
      <c r="M122" s="656"/>
      <c r="N122" s="462"/>
      <c r="O122" s="398"/>
      <c r="P122" s="398"/>
      <c r="Q122" s="398"/>
      <c r="R122" s="398"/>
      <c r="S122" s="398"/>
      <c r="T122" s="398"/>
      <c r="U122" s="398"/>
      <c r="V122" s="398"/>
      <c r="W122" s="398"/>
      <c r="X122" s="398"/>
      <c r="Y122" s="398"/>
      <c r="Z122" s="398"/>
      <c r="AA122" s="398"/>
      <c r="AB122" s="398"/>
      <c r="AC122" s="398"/>
      <c r="AD122" s="398"/>
      <c r="AE122" s="398"/>
      <c r="AF122" s="398"/>
      <c r="AG122" s="398"/>
      <c r="AH122" s="398"/>
      <c r="AI122" s="398"/>
      <c r="AJ122" s="398"/>
      <c r="AK122" s="398"/>
      <c r="AL122" s="398"/>
      <c r="AM122" s="398"/>
      <c r="AN122" s="398"/>
      <c r="AO122" s="398"/>
      <c r="AP122" s="398"/>
      <c r="AQ122" s="398"/>
      <c r="AR122" s="398"/>
      <c r="AS122" s="398"/>
      <c r="AT122" s="398"/>
      <c r="AU122" s="398"/>
      <c r="AV122" s="398"/>
      <c r="AW122" s="398"/>
      <c r="AX122" s="398"/>
      <c r="AY122" s="398"/>
      <c r="AZ122" s="398"/>
    </row>
    <row r="123" spans="1:52" s="373" customFormat="1" ht="3.95" customHeight="1">
      <c r="A123" s="398"/>
      <c r="B123" s="464"/>
      <c r="C123" s="398"/>
      <c r="D123" s="653"/>
      <c r="E123" s="656"/>
      <c r="F123" s="656"/>
      <c r="G123" s="663"/>
      <c r="H123" s="656"/>
      <c r="I123" s="656"/>
      <c r="J123" s="656"/>
      <c r="K123" s="656"/>
      <c r="L123" s="656"/>
      <c r="M123" s="656"/>
      <c r="N123" s="462"/>
      <c r="O123" s="398"/>
      <c r="P123" s="398"/>
      <c r="Q123" s="398"/>
      <c r="R123" s="398"/>
      <c r="S123" s="398"/>
      <c r="T123" s="398"/>
      <c r="U123" s="398"/>
      <c r="V123" s="398"/>
      <c r="W123" s="398"/>
      <c r="X123" s="398"/>
      <c r="Y123" s="398"/>
      <c r="Z123" s="398"/>
      <c r="AA123" s="398"/>
      <c r="AB123" s="398"/>
      <c r="AC123" s="398"/>
      <c r="AD123" s="398"/>
      <c r="AE123" s="398"/>
      <c r="AF123" s="398"/>
      <c r="AG123" s="398"/>
      <c r="AH123" s="398"/>
      <c r="AI123" s="398"/>
      <c r="AJ123" s="398"/>
      <c r="AK123" s="398"/>
      <c r="AL123" s="398"/>
      <c r="AM123" s="398"/>
      <c r="AN123" s="398"/>
      <c r="AO123" s="398"/>
      <c r="AP123" s="398"/>
      <c r="AQ123" s="398"/>
      <c r="AR123" s="398"/>
      <c r="AS123" s="398"/>
      <c r="AT123" s="398"/>
      <c r="AU123" s="398"/>
      <c r="AV123" s="398"/>
      <c r="AW123" s="398"/>
      <c r="AX123" s="398"/>
      <c r="AY123" s="398"/>
      <c r="AZ123" s="398"/>
    </row>
    <row r="124" spans="1:52" s="373" customFormat="1" ht="14.25" customHeight="1">
      <c r="A124" s="398"/>
      <c r="B124" s="450" t="s">
        <v>305</v>
      </c>
      <c r="C124" s="435"/>
      <c r="D124" s="654"/>
      <c r="E124" s="657"/>
      <c r="F124" s="657"/>
      <c r="G124" s="666"/>
      <c r="H124" s="657"/>
      <c r="I124" s="657"/>
      <c r="J124" s="657"/>
      <c r="K124" s="657"/>
      <c r="L124" s="657"/>
      <c r="M124" s="657"/>
      <c r="N124" s="477"/>
      <c r="O124" s="398"/>
      <c r="P124" s="398"/>
      <c r="Q124" s="398"/>
      <c r="R124" s="398"/>
      <c r="S124" s="398"/>
      <c r="T124" s="398"/>
      <c r="U124" s="398"/>
      <c r="V124" s="398"/>
      <c r="W124" s="398"/>
      <c r="X124" s="398"/>
      <c r="Y124" s="398"/>
      <c r="Z124" s="398"/>
      <c r="AA124" s="398"/>
      <c r="AB124" s="398"/>
      <c r="AC124" s="398"/>
      <c r="AD124" s="398"/>
      <c r="AE124" s="398"/>
      <c r="AF124" s="398"/>
      <c r="AG124" s="398"/>
      <c r="AH124" s="398"/>
      <c r="AI124" s="398"/>
      <c r="AJ124" s="398"/>
      <c r="AK124" s="398"/>
      <c r="AL124" s="398"/>
      <c r="AM124" s="398"/>
      <c r="AN124" s="398"/>
      <c r="AO124" s="398"/>
      <c r="AP124" s="398"/>
      <c r="AQ124" s="398"/>
      <c r="AR124" s="398"/>
      <c r="AS124" s="398"/>
      <c r="AT124" s="398"/>
      <c r="AU124" s="398"/>
      <c r="AV124" s="398"/>
      <c r="AW124" s="398"/>
      <c r="AX124" s="398"/>
      <c r="AY124" s="398"/>
      <c r="AZ124" s="398"/>
    </row>
    <row r="125" spans="1:52" s="373" customFormat="1" ht="3.95" customHeight="1">
      <c r="A125" s="398"/>
      <c r="B125" s="451"/>
      <c r="C125" s="439"/>
      <c r="D125" s="655"/>
      <c r="E125" s="655"/>
      <c r="F125" s="658"/>
      <c r="G125" s="655"/>
      <c r="H125" s="658"/>
      <c r="I125" s="658"/>
      <c r="J125" s="658"/>
      <c r="K125" s="658"/>
      <c r="L125" s="658"/>
      <c r="M125" s="658"/>
      <c r="N125" s="444"/>
      <c r="O125" s="398"/>
      <c r="P125" s="398"/>
      <c r="Q125" s="398"/>
      <c r="R125" s="398"/>
      <c r="S125" s="398"/>
      <c r="T125" s="398"/>
      <c r="U125" s="398"/>
      <c r="V125" s="398"/>
      <c r="W125" s="398"/>
      <c r="X125" s="398"/>
      <c r="Y125" s="398"/>
      <c r="Z125" s="398"/>
      <c r="AA125" s="398"/>
      <c r="AB125" s="398"/>
      <c r="AC125" s="398"/>
      <c r="AD125" s="398"/>
      <c r="AE125" s="398"/>
      <c r="AF125" s="398"/>
      <c r="AG125" s="398"/>
      <c r="AH125" s="398"/>
      <c r="AI125" s="398"/>
      <c r="AJ125" s="398"/>
      <c r="AK125" s="398"/>
      <c r="AL125" s="398"/>
      <c r="AM125" s="398"/>
      <c r="AN125" s="398"/>
      <c r="AO125" s="398"/>
      <c r="AP125" s="398"/>
      <c r="AQ125" s="398"/>
      <c r="AR125" s="398"/>
      <c r="AS125" s="398"/>
      <c r="AT125" s="398"/>
      <c r="AU125" s="398"/>
      <c r="AV125" s="398"/>
      <c r="AW125" s="398"/>
      <c r="AX125" s="398"/>
      <c r="AY125" s="398"/>
      <c r="AZ125" s="398"/>
    </row>
    <row r="126" spans="1:52" s="373" customFormat="1" ht="14.25" customHeight="1">
      <c r="A126" s="398"/>
      <c r="B126" s="464" t="s">
        <v>306</v>
      </c>
      <c r="C126" s="398"/>
      <c r="D126" s="459">
        <f>+_xlfn.XLOOKUP($B126,Inputs!$B:$B,Inputs!Q:Q)</f>
        <v>8288</v>
      </c>
      <c r="E126" s="656">
        <v>64089</v>
      </c>
      <c r="F126" s="656">
        <v>3041</v>
      </c>
      <c r="G126" s="663">
        <v>19962</v>
      </c>
      <c r="H126" s="656">
        <v>11166.2</v>
      </c>
      <c r="I126" s="656"/>
      <c r="J126" s="656"/>
      <c r="K126" s="656"/>
      <c r="L126" s="656"/>
      <c r="M126" s="656"/>
      <c r="N126" s="462"/>
      <c r="O126" s="398"/>
      <c r="P126" s="398"/>
      <c r="Q126" s="398"/>
      <c r="R126" s="398"/>
      <c r="S126" s="398"/>
      <c r="T126" s="398"/>
      <c r="U126" s="398"/>
      <c r="V126" s="398"/>
      <c r="W126" s="398"/>
      <c r="X126" s="398"/>
      <c r="Y126" s="398"/>
      <c r="Z126" s="398"/>
      <c r="AA126" s="398"/>
      <c r="AB126" s="398"/>
      <c r="AC126" s="398"/>
      <c r="AD126" s="398"/>
      <c r="AE126" s="398"/>
      <c r="AF126" s="398"/>
      <c r="AG126" s="398"/>
      <c r="AH126" s="398"/>
      <c r="AI126" s="398"/>
      <c r="AJ126" s="398"/>
      <c r="AK126" s="398"/>
      <c r="AL126" s="398"/>
      <c r="AM126" s="398"/>
      <c r="AN126" s="398"/>
      <c r="AO126" s="398"/>
      <c r="AP126" s="398"/>
      <c r="AQ126" s="398"/>
      <c r="AR126" s="398"/>
      <c r="AS126" s="398"/>
      <c r="AT126" s="398"/>
      <c r="AU126" s="398"/>
      <c r="AV126" s="398"/>
      <c r="AW126" s="398"/>
      <c r="AX126" s="398"/>
      <c r="AY126" s="398"/>
      <c r="AZ126" s="398"/>
    </row>
    <row r="127" spans="1:52" s="373" customFormat="1" ht="14.25" customHeight="1">
      <c r="A127" s="398"/>
      <c r="B127" s="464" t="s">
        <v>28</v>
      </c>
      <c r="C127" s="398"/>
      <c r="D127" s="459">
        <f>+_xlfn.XLOOKUP($B127,Inputs!$B:$B,Inputs!Q:Q)</f>
        <v>-23944</v>
      </c>
      <c r="E127" s="656">
        <v>-3236</v>
      </c>
      <c r="F127" s="656">
        <v>-636</v>
      </c>
      <c r="G127" s="663">
        <v>-548</v>
      </c>
      <c r="H127" s="656">
        <v>-2067.1999999999998</v>
      </c>
      <c r="I127" s="656"/>
      <c r="J127" s="656"/>
      <c r="K127" s="656"/>
      <c r="L127" s="656"/>
      <c r="M127" s="656"/>
      <c r="N127" s="462"/>
      <c r="O127" s="398"/>
      <c r="P127" s="398"/>
      <c r="Q127" s="398"/>
      <c r="R127" s="398"/>
      <c r="S127" s="398"/>
      <c r="T127" s="398"/>
      <c r="U127" s="398"/>
      <c r="V127" s="398"/>
      <c r="W127" s="398"/>
      <c r="X127" s="398"/>
      <c r="Y127" s="398"/>
      <c r="Z127" s="398"/>
      <c r="AA127" s="398"/>
      <c r="AB127" s="398"/>
      <c r="AC127" s="398"/>
      <c r="AD127" s="398"/>
      <c r="AE127" s="398"/>
      <c r="AF127" s="398"/>
      <c r="AG127" s="398"/>
      <c r="AH127" s="398"/>
      <c r="AI127" s="398"/>
      <c r="AJ127" s="398"/>
      <c r="AK127" s="398"/>
      <c r="AL127" s="398"/>
      <c r="AM127" s="398"/>
      <c r="AN127" s="398"/>
      <c r="AO127" s="398"/>
      <c r="AP127" s="398"/>
      <c r="AQ127" s="398"/>
      <c r="AR127" s="398"/>
      <c r="AS127" s="398"/>
      <c r="AT127" s="398"/>
      <c r="AU127" s="398"/>
      <c r="AV127" s="398"/>
      <c r="AW127" s="398"/>
      <c r="AX127" s="398"/>
      <c r="AY127" s="398"/>
      <c r="AZ127" s="398"/>
    </row>
    <row r="128" spans="1:52" s="373" customFormat="1" ht="14.25" customHeight="1">
      <c r="A128" s="398"/>
      <c r="B128" s="464" t="s">
        <v>307</v>
      </c>
      <c r="C128" s="398"/>
      <c r="D128" s="459">
        <f>+_xlfn.XLOOKUP($B128,Inputs!$B:$B,Inputs!Q:Q)</f>
        <v>-18256</v>
      </c>
      <c r="E128" s="656">
        <v>-20421</v>
      </c>
      <c r="F128" s="656">
        <v>-1101</v>
      </c>
      <c r="G128" s="663">
        <v>-23070</v>
      </c>
      <c r="H128" s="656">
        <v>-2609.3000000000002</v>
      </c>
      <c r="I128" s="656"/>
      <c r="J128" s="656"/>
      <c r="K128" s="656"/>
      <c r="L128" s="656"/>
      <c r="M128" s="656"/>
      <c r="N128" s="462"/>
      <c r="O128" s="398"/>
      <c r="P128" s="398"/>
      <c r="Q128" s="398"/>
      <c r="R128" s="398"/>
      <c r="S128" s="398"/>
      <c r="T128" s="398"/>
      <c r="U128" s="398"/>
      <c r="V128" s="398"/>
      <c r="W128" s="398"/>
      <c r="X128" s="398"/>
      <c r="Y128" s="398"/>
      <c r="Z128" s="398"/>
      <c r="AA128" s="398"/>
      <c r="AB128" s="398"/>
      <c r="AC128" s="398"/>
      <c r="AD128" s="398"/>
      <c r="AE128" s="398"/>
      <c r="AF128" s="398"/>
      <c r="AG128" s="398"/>
      <c r="AH128" s="398"/>
      <c r="AI128" s="398"/>
      <c r="AJ128" s="398"/>
      <c r="AK128" s="398"/>
      <c r="AL128" s="398"/>
      <c r="AM128" s="398"/>
      <c r="AN128" s="398"/>
      <c r="AO128" s="398"/>
      <c r="AP128" s="398"/>
      <c r="AQ128" s="398"/>
      <c r="AR128" s="398"/>
      <c r="AS128" s="398"/>
      <c r="AT128" s="398"/>
      <c r="AU128" s="398"/>
      <c r="AV128" s="398"/>
      <c r="AW128" s="398"/>
      <c r="AX128" s="398"/>
      <c r="AY128" s="398"/>
      <c r="AZ128" s="398"/>
    </row>
    <row r="129" spans="1:52" s="373" customFormat="1" ht="14.25" customHeight="1">
      <c r="A129" s="398"/>
      <c r="B129" s="464" t="s">
        <v>308</v>
      </c>
      <c r="C129" s="398"/>
      <c r="D129" s="459">
        <f>+_xlfn.XLOOKUP($B129,Inputs!$B:$B,Inputs!Q:Q)</f>
        <v>2975</v>
      </c>
      <c r="E129" s="656">
        <v>0</v>
      </c>
      <c r="F129" s="656">
        <v>0</v>
      </c>
      <c r="G129" s="663">
        <v>39954</v>
      </c>
      <c r="H129" s="656">
        <v>0</v>
      </c>
      <c r="I129" s="656"/>
      <c r="J129" s="656"/>
      <c r="K129" s="656"/>
      <c r="L129" s="656"/>
      <c r="M129" s="656"/>
      <c r="N129" s="462"/>
      <c r="O129" s="398"/>
      <c r="P129" s="398"/>
      <c r="Q129" s="398"/>
      <c r="R129" s="398"/>
      <c r="S129" s="398"/>
      <c r="T129" s="398"/>
      <c r="U129" s="398"/>
      <c r="V129" s="398"/>
      <c r="W129" s="398"/>
      <c r="X129" s="398"/>
      <c r="Y129" s="398"/>
      <c r="Z129" s="398"/>
      <c r="AA129" s="398"/>
      <c r="AB129" s="398"/>
      <c r="AC129" s="398"/>
      <c r="AD129" s="398"/>
      <c r="AE129" s="398"/>
      <c r="AF129" s="398"/>
      <c r="AG129" s="398"/>
      <c r="AH129" s="398"/>
      <c r="AI129" s="398"/>
      <c r="AJ129" s="398"/>
      <c r="AK129" s="398"/>
      <c r="AL129" s="398"/>
      <c r="AM129" s="398"/>
      <c r="AN129" s="398"/>
      <c r="AO129" s="398"/>
      <c r="AP129" s="398"/>
      <c r="AQ129" s="398"/>
      <c r="AR129" s="398"/>
      <c r="AS129" s="398"/>
      <c r="AT129" s="398"/>
      <c r="AU129" s="398"/>
      <c r="AV129" s="398"/>
      <c r="AW129" s="398"/>
      <c r="AX129" s="398"/>
      <c r="AY129" s="398"/>
      <c r="AZ129" s="398"/>
    </row>
    <row r="130" spans="1:52" s="373" customFormat="1" ht="14.25" customHeight="1">
      <c r="A130" s="398"/>
      <c r="B130" s="464" t="s">
        <v>309</v>
      </c>
      <c r="C130" s="398"/>
      <c r="D130" s="459">
        <f>+_xlfn.XLOOKUP($B130,Inputs!$B:$B,Inputs!Q:Q)</f>
        <v>-2288</v>
      </c>
      <c r="E130" s="656">
        <v>-1250</v>
      </c>
      <c r="F130" s="656">
        <v>-750</v>
      </c>
      <c r="G130" s="663">
        <v>-19608</v>
      </c>
      <c r="H130" s="656">
        <v>-115</v>
      </c>
      <c r="I130" s="656"/>
      <c r="J130" s="656"/>
      <c r="K130" s="656"/>
      <c r="L130" s="656"/>
      <c r="M130" s="656"/>
      <c r="N130" s="462"/>
      <c r="O130" s="398"/>
      <c r="P130" s="398"/>
      <c r="Q130" s="398"/>
      <c r="R130" s="398"/>
      <c r="S130" s="398"/>
      <c r="T130" s="398"/>
      <c r="U130" s="398"/>
      <c r="V130" s="398"/>
      <c r="W130" s="398"/>
      <c r="X130" s="398"/>
      <c r="Y130" s="398"/>
      <c r="Z130" s="398"/>
      <c r="AA130" s="398"/>
      <c r="AB130" s="398"/>
      <c r="AC130" s="398"/>
      <c r="AD130" s="398"/>
      <c r="AE130" s="398"/>
      <c r="AF130" s="398"/>
      <c r="AG130" s="398"/>
      <c r="AH130" s="398"/>
      <c r="AI130" s="398"/>
      <c r="AJ130" s="398"/>
      <c r="AK130" s="398"/>
      <c r="AL130" s="398"/>
      <c r="AM130" s="398"/>
      <c r="AN130" s="398"/>
      <c r="AO130" s="398"/>
      <c r="AP130" s="398"/>
      <c r="AQ130" s="398"/>
      <c r="AR130" s="398"/>
      <c r="AS130" s="398"/>
      <c r="AT130" s="398"/>
      <c r="AU130" s="398"/>
      <c r="AV130" s="398"/>
      <c r="AW130" s="398"/>
      <c r="AX130" s="398"/>
      <c r="AY130" s="398"/>
      <c r="AZ130" s="398"/>
    </row>
    <row r="131" spans="1:52" s="373" customFormat="1" ht="14.25" customHeight="1">
      <c r="A131" s="398"/>
      <c r="B131" s="464" t="s">
        <v>310</v>
      </c>
      <c r="C131" s="398"/>
      <c r="D131" s="459">
        <f>+_xlfn.XLOOKUP($B131,Inputs!$B:$B,Inputs!Q:Q)</f>
        <v>11138</v>
      </c>
      <c r="E131" s="656">
        <v>-42359</v>
      </c>
      <c r="F131" s="656">
        <v>-2062</v>
      </c>
      <c r="G131" s="663">
        <v>-1733</v>
      </c>
      <c r="H131" s="656">
        <v>2832.1</v>
      </c>
      <c r="I131" s="656"/>
      <c r="J131" s="656"/>
      <c r="K131" s="656"/>
      <c r="L131" s="656"/>
      <c r="M131" s="656"/>
      <c r="N131" s="462"/>
      <c r="O131" s="398"/>
      <c r="P131" s="398"/>
      <c r="Q131" s="398"/>
      <c r="R131" s="398"/>
      <c r="S131" s="398"/>
      <c r="T131" s="398"/>
      <c r="U131" s="398"/>
      <c r="V131" s="398"/>
      <c r="W131" s="398"/>
      <c r="X131" s="398"/>
      <c r="Y131" s="398"/>
      <c r="Z131" s="398"/>
      <c r="AA131" s="398"/>
      <c r="AB131" s="398"/>
      <c r="AC131" s="398"/>
      <c r="AD131" s="398"/>
      <c r="AE131" s="398"/>
      <c r="AF131" s="398"/>
      <c r="AG131" s="398"/>
      <c r="AH131" s="398"/>
      <c r="AI131" s="398"/>
      <c r="AJ131" s="398"/>
      <c r="AK131" s="398"/>
      <c r="AL131" s="398"/>
      <c r="AM131" s="398"/>
      <c r="AN131" s="398"/>
      <c r="AO131" s="398"/>
      <c r="AP131" s="398"/>
      <c r="AQ131" s="398"/>
      <c r="AR131" s="398"/>
      <c r="AS131" s="398"/>
      <c r="AT131" s="398"/>
      <c r="AU131" s="398"/>
      <c r="AV131" s="398"/>
      <c r="AW131" s="398"/>
      <c r="AX131" s="398"/>
      <c r="AY131" s="398"/>
      <c r="AZ131" s="398"/>
    </row>
    <row r="132" spans="1:52" s="373" customFormat="1" ht="14.25" customHeight="1">
      <c r="A132" s="398"/>
      <c r="B132" s="464" t="s">
        <v>311</v>
      </c>
      <c r="C132" s="398"/>
      <c r="D132" s="459">
        <f>+_xlfn.XLOOKUP($B132,Inputs!$B:$B,Inputs!Q:Q)</f>
        <v>1170</v>
      </c>
      <c r="E132" s="656">
        <v>1309</v>
      </c>
      <c r="F132" s="656">
        <v>-122</v>
      </c>
      <c r="G132" s="663">
        <v>-4841</v>
      </c>
      <c r="H132" s="656">
        <v>5731.2</v>
      </c>
      <c r="I132" s="656"/>
      <c r="J132" s="656"/>
      <c r="K132" s="656"/>
      <c r="L132" s="656"/>
      <c r="M132" s="656"/>
      <c r="N132" s="462"/>
      <c r="O132" s="398"/>
      <c r="P132" s="398"/>
      <c r="Q132" s="398"/>
      <c r="R132" s="398"/>
      <c r="S132" s="398"/>
      <c r="T132" s="398"/>
      <c r="U132" s="398"/>
      <c r="V132" s="398"/>
      <c r="W132" s="398"/>
      <c r="X132" s="398"/>
      <c r="Y132" s="398"/>
      <c r="Z132" s="398"/>
      <c r="AA132" s="398"/>
      <c r="AB132" s="398"/>
      <c r="AC132" s="398"/>
      <c r="AD132" s="398"/>
      <c r="AE132" s="398"/>
      <c r="AF132" s="398"/>
      <c r="AG132" s="398"/>
      <c r="AH132" s="398"/>
      <c r="AI132" s="398"/>
      <c r="AJ132" s="398"/>
      <c r="AK132" s="398"/>
      <c r="AL132" s="398"/>
      <c r="AM132" s="398"/>
      <c r="AN132" s="398"/>
      <c r="AO132" s="398"/>
      <c r="AP132" s="398"/>
      <c r="AQ132" s="398"/>
      <c r="AR132" s="398"/>
      <c r="AS132" s="398"/>
      <c r="AT132" s="398"/>
      <c r="AU132" s="398"/>
      <c r="AV132" s="398"/>
      <c r="AW132" s="398"/>
      <c r="AX132" s="398"/>
      <c r="AY132" s="398"/>
      <c r="AZ132" s="398"/>
    </row>
    <row r="133" spans="1:52" s="373" customFormat="1" ht="3.95" customHeight="1">
      <c r="A133" s="398"/>
      <c r="B133" s="465"/>
      <c r="C133" s="398"/>
      <c r="D133" s="650"/>
      <c r="E133" s="651"/>
      <c r="F133" s="651"/>
      <c r="G133" s="651"/>
      <c r="H133" s="651"/>
      <c r="I133" s="651"/>
      <c r="J133" s="651"/>
      <c r="K133" s="651"/>
      <c r="L133" s="651"/>
      <c r="M133" s="651"/>
      <c r="N133" s="652"/>
      <c r="O133" s="398"/>
      <c r="P133" s="398"/>
      <c r="Q133" s="398"/>
      <c r="R133" s="398"/>
      <c r="S133" s="398"/>
      <c r="T133" s="398"/>
      <c r="U133" s="398"/>
      <c r="V133" s="398"/>
      <c r="W133" s="398"/>
      <c r="X133" s="398"/>
      <c r="Y133" s="398"/>
      <c r="Z133" s="398"/>
      <c r="AA133" s="398"/>
      <c r="AB133" s="398"/>
      <c r="AC133" s="398"/>
      <c r="AD133" s="398"/>
      <c r="AE133" s="398"/>
      <c r="AF133" s="398"/>
      <c r="AG133" s="398"/>
      <c r="AH133" s="398"/>
      <c r="AI133" s="398"/>
      <c r="AJ133" s="398"/>
      <c r="AK133" s="398"/>
      <c r="AL133" s="398"/>
      <c r="AM133" s="398"/>
      <c r="AN133" s="398"/>
      <c r="AO133" s="398"/>
      <c r="AP133" s="398"/>
      <c r="AQ133" s="398"/>
      <c r="AR133" s="398"/>
      <c r="AS133" s="398"/>
      <c r="AT133" s="398"/>
      <c r="AU133" s="398"/>
      <c r="AV133" s="398"/>
      <c r="AW133" s="398"/>
      <c r="AX133" s="398"/>
      <c r="AY133" s="398"/>
      <c r="AZ133" s="398"/>
    </row>
    <row r="134" spans="1:52" ht="14.25" customHeight="1">
      <c r="B134" s="65" t="s">
        <v>107</v>
      </c>
      <c r="C134" s="66"/>
      <c r="D134" s="65"/>
      <c r="E134" s="66"/>
      <c r="F134" s="66"/>
      <c r="G134" s="66"/>
      <c r="H134" s="66"/>
      <c r="I134" s="66"/>
      <c r="J134" s="94"/>
      <c r="K134" s="95"/>
      <c r="L134" s="95"/>
      <c r="M134" s="95"/>
      <c r="N134" s="95"/>
      <c r="O134" s="95"/>
    </row>
    <row r="135" spans="1:52" ht="3.75" customHeight="1">
      <c r="B135" s="67"/>
      <c r="C135" s="67"/>
      <c r="D135" s="67"/>
      <c r="E135" s="67"/>
      <c r="F135" s="67"/>
      <c r="G135" s="67"/>
      <c r="H135" s="67"/>
      <c r="I135" s="67"/>
      <c r="J135" s="96"/>
      <c r="K135" s="96"/>
      <c r="L135" s="96"/>
      <c r="M135" s="96"/>
      <c r="N135" s="96"/>
      <c r="O135" s="96"/>
    </row>
    <row r="142" spans="1:52" ht="14.25" customHeight="1">
      <c r="B142" s="65" t="s">
        <v>126</v>
      </c>
      <c r="C142" s="66"/>
      <c r="D142" s="65"/>
      <c r="E142" s="66"/>
      <c r="F142" s="66"/>
      <c r="G142" s="66"/>
      <c r="H142" s="66"/>
      <c r="I142" s="66"/>
      <c r="J142" s="94"/>
      <c r="K142" s="95"/>
      <c r="L142" s="95"/>
      <c r="M142" s="95"/>
      <c r="N142" s="95"/>
      <c r="O142" s="95"/>
    </row>
    <row r="143" spans="1:52" ht="4.3499999999999996" customHeight="1">
      <c r="B143" s="710"/>
      <c r="C143" s="710"/>
      <c r="D143" s="710"/>
      <c r="E143" s="710"/>
      <c r="F143" s="710"/>
      <c r="G143" s="710"/>
      <c r="H143" s="710"/>
      <c r="I143" s="710"/>
      <c r="J143" s="710"/>
      <c r="K143" s="710"/>
      <c r="L143" s="710"/>
      <c r="M143" s="710"/>
      <c r="N143" s="710"/>
      <c r="O143" s="710"/>
    </row>
  </sheetData>
  <mergeCells count="10">
    <mergeCell ref="D21:F21"/>
    <mergeCell ref="J21:L21"/>
    <mergeCell ref="M21:O21"/>
    <mergeCell ref="D2:E2"/>
    <mergeCell ref="H3:I3"/>
    <mergeCell ref="J3:K3"/>
    <mergeCell ref="F3:G3"/>
    <mergeCell ref="N3:O3"/>
    <mergeCell ref="D3:E3"/>
    <mergeCell ref="L3:M3"/>
  </mergeCells>
  <conditionalFormatting sqref="D8:D17 D6">
    <cfRule type="colorScale" priority="25">
      <colorScale>
        <cfvo type="min"/>
        <cfvo type="percentile" val="50"/>
        <cfvo type="max"/>
        <color rgb="FFF8696B"/>
        <color rgb="FFFFEB84"/>
        <color rgb="FF63BE7B"/>
      </colorScale>
    </cfRule>
  </conditionalFormatting>
  <conditionalFormatting sqref="E8:E17 E6">
    <cfRule type="colorScale" priority="24">
      <colorScale>
        <cfvo type="min"/>
        <cfvo type="percentile" val="50"/>
        <cfvo type="max"/>
        <color rgb="FFF8696B"/>
        <color rgb="FFFFEB84"/>
        <color rgb="FF63BE7B"/>
      </colorScale>
    </cfRule>
  </conditionalFormatting>
  <conditionalFormatting sqref="F8:G17 F6:G6">
    <cfRule type="colorScale" priority="22">
      <colorScale>
        <cfvo type="min"/>
        <cfvo type="percentile" val="50"/>
        <cfvo type="max"/>
        <color rgb="FFF8696B"/>
        <color rgb="FFFFEB84"/>
        <color rgb="FF63BE7B"/>
      </colorScale>
    </cfRule>
  </conditionalFormatting>
  <conditionalFormatting sqref="H6:H12">
    <cfRule type="colorScale" priority="34">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onditionalFormatting>
  <conditionalFormatting sqref="H8:H17 H6">
    <cfRule type="colorScale" priority="21">
      <colorScale>
        <cfvo type="min"/>
        <cfvo type="percentile" val="50"/>
        <cfvo type="max"/>
        <color rgb="FFF8696B"/>
        <color rgb="FFFFEB84"/>
        <color rgb="FF63BE7B"/>
      </colorScale>
    </cfRule>
  </conditionalFormatting>
  <conditionalFormatting sqref="H13:H17">
    <cfRule type="colorScale" priority="58">
      <colorScale>
        <cfvo type="min"/>
        <cfvo type="percentile" val="50"/>
        <cfvo type="max"/>
        <color rgb="FFF8696B"/>
        <color rgb="FFFFEB84"/>
        <color rgb="FF63BE7B"/>
      </colorScale>
    </cfRule>
  </conditionalFormatting>
  <conditionalFormatting sqref="I7">
    <cfRule type="colorScale" priority="20">
      <colorScale>
        <cfvo type="min"/>
        <cfvo type="percentile" val="50"/>
        <cfvo type="max"/>
        <color rgb="FF63BE7B"/>
        <color rgb="FFFFEB84"/>
        <color rgb="FFF8696B"/>
      </colorScale>
    </cfRule>
    <cfRule type="colorScale" priority="19">
      <colorScale>
        <cfvo type="min"/>
        <cfvo type="percentile" val="50"/>
        <cfvo type="max"/>
        <color rgb="FF63BE7B"/>
        <color rgb="FFFFEB84"/>
        <color rgb="FFF8696B"/>
      </colorScale>
    </cfRule>
  </conditionalFormatting>
  <conditionalFormatting sqref="I8:I17 I6">
    <cfRule type="colorScale" priority="18">
      <colorScale>
        <cfvo type="min"/>
        <cfvo type="percentile" val="50"/>
        <cfvo type="max"/>
        <color rgb="FFF8696B"/>
        <color rgb="FFFFEB84"/>
        <color rgb="FF63BE7B"/>
      </colorScale>
    </cfRule>
    <cfRule type="colorScale" priority="75">
      <colorScale>
        <cfvo type="min"/>
        <cfvo type="percentile" val="50"/>
        <cfvo type="max"/>
        <color rgb="FF63BE7B"/>
        <color rgb="FFFFEB84"/>
        <color rgb="FFF8696B"/>
      </colorScale>
    </cfRule>
    <cfRule type="colorScale" priority="76">
      <colorScale>
        <cfvo type="min"/>
        <cfvo type="percentile" val="50"/>
        <cfvo type="max"/>
        <color rgb="FF63BE7B"/>
        <color rgb="FFFFEB84"/>
        <color rgb="FFF8696B"/>
      </colorScale>
    </cfRule>
  </conditionalFormatting>
  <conditionalFormatting sqref="J6:J17">
    <cfRule type="colorScale" priority="26">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onditionalFormatting>
  <conditionalFormatting sqref="J13:J17">
    <cfRule type="colorScale" priority="56">
      <colorScale>
        <cfvo type="min"/>
        <cfvo type="percentile" val="50"/>
        <cfvo type="max"/>
        <color rgb="FFF8696B"/>
        <color rgb="FFFFEB84"/>
        <color rgb="FF63BE7B"/>
      </colorScale>
    </cfRule>
  </conditionalFormatting>
  <conditionalFormatting sqref="J8:K17 J6:K6">
    <cfRule type="colorScale" priority="17">
      <colorScale>
        <cfvo type="min"/>
        <cfvo type="percentile" val="50"/>
        <cfvo type="max"/>
        <color rgb="FF63BE7B"/>
        <color rgb="FFFFEB84"/>
        <color rgb="FFF8696B"/>
      </colorScale>
    </cfRule>
  </conditionalFormatting>
  <conditionalFormatting sqref="K6:K17">
    <cfRule type="colorScale" priority="10">
      <colorScale>
        <cfvo type="min"/>
        <cfvo type="percentile" val="50"/>
        <cfvo type="max"/>
        <color rgb="FF63BE7B"/>
        <color rgb="FFFFEB84"/>
        <color rgb="FFF8696B"/>
      </colorScale>
    </cfRule>
    <cfRule type="colorScale" priority="11">
      <colorScale>
        <cfvo type="min"/>
        <cfvo type="percentile" val="50"/>
        <cfvo type="max"/>
        <color rgb="FF63BE7B"/>
        <color rgb="FFFFEB84"/>
        <color rgb="FFF8696B"/>
      </colorScale>
    </cfRule>
  </conditionalFormatting>
  <conditionalFormatting sqref="K8:K17 K6">
    <cfRule type="colorScale" priority="9">
      <colorScale>
        <cfvo type="min"/>
        <cfvo type="percentile" val="50"/>
        <cfvo type="max"/>
        <color rgb="FF63BE7B"/>
        <color rgb="FFFFEB84"/>
        <color rgb="FFF8696B"/>
      </colorScale>
    </cfRule>
  </conditionalFormatting>
  <conditionalFormatting sqref="K13:K17">
    <cfRule type="colorScale" priority="12">
      <colorScale>
        <cfvo type="min"/>
        <cfvo type="percentile" val="50"/>
        <cfvo type="max"/>
        <color rgb="FFF8696B"/>
        <color rgb="FFFFEB84"/>
        <color rgb="FF63BE7B"/>
      </colorScale>
    </cfRule>
  </conditionalFormatting>
  <conditionalFormatting sqref="L8:L17 L6">
    <cfRule type="colorScale" priority="8">
      <colorScale>
        <cfvo type="min"/>
        <cfvo type="percentile" val="50"/>
        <cfvo type="max"/>
        <color rgb="FF63BE7B"/>
        <color rgb="FFFFEB84"/>
        <color rgb="FFF8696B"/>
      </colorScale>
    </cfRule>
  </conditionalFormatting>
  <conditionalFormatting sqref="L13:L17">
    <cfRule type="colorScale" priority="74">
      <colorScale>
        <cfvo type="min"/>
        <cfvo type="percentile" val="50"/>
        <cfvo type="max"/>
        <color rgb="FFF8696B"/>
        <color rgb="FFFFEB84"/>
        <color rgb="FF63BE7B"/>
      </colorScale>
    </cfRule>
  </conditionalFormatting>
  <conditionalFormatting sqref="M8:M17 M6">
    <cfRule type="colorScale" priority="7">
      <colorScale>
        <cfvo type="min"/>
        <cfvo type="percentile" val="50"/>
        <cfvo type="max"/>
        <color rgb="FF63BE7B"/>
        <color rgb="FFFFEB84"/>
        <color rgb="FFF8696B"/>
      </colorScale>
    </cfRule>
  </conditionalFormatting>
  <conditionalFormatting sqref="M13:M17">
    <cfRule type="colorScale" priority="73">
      <colorScale>
        <cfvo type="min"/>
        <cfvo type="percentile" val="50"/>
        <cfvo type="max"/>
        <color rgb="FFF8696B"/>
        <color rgb="FFFFEB84"/>
        <color rgb="FF63BE7B"/>
      </colorScale>
    </cfRule>
  </conditionalFormatting>
  <conditionalFormatting sqref="M24:O27">
    <cfRule type="colorScale" priority="1">
      <colorScale>
        <cfvo type="min"/>
        <cfvo type="num" val="0"/>
        <cfvo type="max"/>
        <color rgb="FFF8696B"/>
        <color rgb="FFFCFCFF"/>
        <color rgb="FF63BE7B"/>
      </colorScale>
    </cfRule>
  </conditionalFormatting>
  <conditionalFormatting sqref="N8:N17 N6">
    <cfRule type="colorScale" priority="6">
      <colorScale>
        <cfvo type="min"/>
        <cfvo type="percentile" val="50"/>
        <cfvo type="max"/>
        <color rgb="FF63BE7B"/>
        <color rgb="FFFFEB84"/>
        <color rgb="FFF8696B"/>
      </colorScale>
    </cfRule>
  </conditionalFormatting>
  <conditionalFormatting sqref="O8:O17 O6">
    <cfRule type="colorScale" priority="5">
      <colorScale>
        <cfvo type="min"/>
        <cfvo type="percentile" val="50"/>
        <cfvo type="max"/>
        <color rgb="FF63BE7B"/>
        <color rgb="FFFFEB84"/>
        <color rgb="FFF8696B"/>
      </colorScale>
    </cfRule>
  </conditionalFormatting>
  <conditionalFormatting sqref="P13:P17">
    <cfRule type="colorScale" priority="51">
      <colorScale>
        <cfvo type="min"/>
        <cfvo type="percentile" val="50"/>
        <cfvo type="max"/>
        <color rgb="FF63BE7B"/>
        <color rgb="FFFFEB84"/>
        <color rgb="FFF8696B"/>
      </colorScale>
    </cfRule>
  </conditionalFormatting>
  <conditionalFormatting sqref="Q13:Q17">
    <cfRule type="colorScale" priority="50">
      <colorScale>
        <cfvo type="min"/>
        <cfvo type="percentile" val="50"/>
        <cfvo type="max"/>
        <color rgb="FF63BE7B"/>
        <color rgb="FFFFEB84"/>
        <color rgb="FFF8696B"/>
      </colorScale>
    </cfRule>
  </conditionalFormatting>
  <conditionalFormatting sqref="R13:R17">
    <cfRule type="colorScale" priority="49">
      <colorScale>
        <cfvo type="min"/>
        <cfvo type="percentile" val="50"/>
        <cfvo type="max"/>
        <color rgb="FFF8696B"/>
        <color rgb="FFFFEB84"/>
        <color rgb="FF63BE7B"/>
      </colorScale>
    </cfRule>
  </conditionalFormatting>
  <conditionalFormatting sqref="T13:T17">
    <cfRule type="colorScale" priority="48">
      <colorScale>
        <cfvo type="min"/>
        <cfvo type="percentile" val="50"/>
        <cfvo type="max"/>
        <color rgb="FFF8696B"/>
        <color rgb="FFFFEB84"/>
        <color rgb="FF63BE7B"/>
      </colorScale>
    </cfRule>
    <cfRule type="colorScale" priority="68">
      <colorScale>
        <cfvo type="min"/>
        <cfvo type="percentile" val="50"/>
        <cfvo type="max"/>
        <color rgb="FFF8696B"/>
        <color rgb="FFFFEB84"/>
        <color rgb="FF63BE7B"/>
      </colorScale>
    </cfRule>
  </conditionalFormatting>
  <conditionalFormatting sqref="U13:U17">
    <cfRule type="colorScale" priority="47">
      <colorScale>
        <cfvo type="min"/>
        <cfvo type="percentile" val="50"/>
        <cfvo type="max"/>
        <color rgb="FFF8696B"/>
        <color rgb="FFFFEB84"/>
        <color rgb="FF63BE7B"/>
      </colorScale>
    </cfRule>
    <cfRule type="colorScale" priority="67">
      <colorScale>
        <cfvo type="min"/>
        <cfvo type="percentile" val="50"/>
        <cfvo type="max"/>
        <color rgb="FFF8696B"/>
        <color rgb="FFFFEB84"/>
        <color rgb="FF63BE7B"/>
      </colorScale>
    </cfRule>
  </conditionalFormatting>
  <conditionalFormatting sqref="W13:W17">
    <cfRule type="colorScale" priority="46">
      <colorScale>
        <cfvo type="min"/>
        <cfvo type="percentile" val="50"/>
        <cfvo type="max"/>
        <color rgb="FFF8696B"/>
        <color rgb="FFFFEB84"/>
        <color rgb="FF63BE7B"/>
      </colorScale>
    </cfRule>
    <cfRule type="colorScale" priority="66">
      <colorScale>
        <cfvo type="min"/>
        <cfvo type="percentile" val="50"/>
        <cfvo type="max"/>
        <color rgb="FFF8696B"/>
        <color rgb="FFFFEB84"/>
        <color rgb="FF63BE7B"/>
      </colorScale>
    </cfRule>
  </conditionalFormatting>
  <conditionalFormatting sqref="X13:X17">
    <cfRule type="colorScale" priority="45">
      <colorScale>
        <cfvo type="min"/>
        <cfvo type="percentile" val="50"/>
        <cfvo type="max"/>
        <color rgb="FFF8696B"/>
        <color rgb="FFFFEB84"/>
        <color rgb="FF63BE7B"/>
      </colorScale>
    </cfRule>
    <cfRule type="colorScale" priority="65">
      <colorScale>
        <cfvo type="min"/>
        <cfvo type="percentile" val="50"/>
        <cfvo type="max"/>
        <color rgb="FFF8696B"/>
        <color rgb="FFFFEB84"/>
        <color rgb="FF63BE7B"/>
      </colorScale>
    </cfRule>
  </conditionalFormatting>
  <conditionalFormatting sqref="Y13:Y17">
    <cfRule type="colorScale" priority="64">
      <colorScale>
        <cfvo type="min"/>
        <cfvo type="percentile" val="50"/>
        <cfvo type="max"/>
        <color rgb="FF63BE7B"/>
        <color rgb="FFFFEB84"/>
        <color rgb="FFF8696B"/>
      </colorScale>
    </cfRule>
  </conditionalFormatting>
  <conditionalFormatting sqref="Z13:Z17">
    <cfRule type="colorScale" priority="63">
      <colorScale>
        <cfvo type="min"/>
        <cfvo type="percentile" val="50"/>
        <cfvo type="max"/>
        <color rgb="FFF8696B"/>
        <color rgb="FFFFEB84"/>
        <color rgb="FF63BE7B"/>
      </colorScale>
    </cfRule>
    <cfRule type="colorScale" priority="44">
      <colorScale>
        <cfvo type="min"/>
        <cfvo type="percentile" val="50"/>
        <cfvo type="max"/>
        <color rgb="FFF8696B"/>
        <color rgb="FFFFEB84"/>
        <color rgb="FF63BE7B"/>
      </colorScale>
    </cfRule>
  </conditionalFormatting>
  <conditionalFormatting sqref="AA13:AA17">
    <cfRule type="colorScale" priority="62">
      <colorScale>
        <cfvo type="min"/>
        <cfvo type="percentile" val="50"/>
        <cfvo type="max"/>
        <color rgb="FFF8696B"/>
        <color rgb="FFFFEB84"/>
        <color rgb="FF63BE7B"/>
      </colorScale>
    </cfRule>
    <cfRule type="colorScale" priority="43">
      <colorScale>
        <cfvo type="min"/>
        <cfvo type="percentile" val="50"/>
        <cfvo type="max"/>
        <color rgb="FFF8696B"/>
        <color rgb="FFFFEB84"/>
        <color rgb="FF63BE7B"/>
      </colorScale>
    </cfRule>
  </conditionalFormatting>
  <conditionalFormatting sqref="AB13:AB17">
    <cfRule type="colorScale" priority="42">
      <colorScale>
        <cfvo type="min"/>
        <cfvo type="percentile" val="50"/>
        <cfvo type="max"/>
        <color rgb="FF63BE7B"/>
        <color rgb="FFFFEB84"/>
        <color rgb="FFF8696B"/>
      </colorScale>
    </cfRule>
  </conditionalFormatting>
  <conditionalFormatting sqref="AD6:AD17">
    <cfRule type="colorScale" priority="61">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onditionalFormatting>
  <conditionalFormatting sqref="AE6:AE17">
    <cfRule type="colorScale" priority="40">
      <colorScale>
        <cfvo type="min"/>
        <cfvo type="percentile" val="50"/>
        <cfvo type="max"/>
        <color rgb="FF63BE7B"/>
        <color rgb="FFFFEB84"/>
        <color rgb="FFF8696B"/>
      </colorScale>
    </cfRule>
    <cfRule type="colorScale" priority="72">
      <colorScale>
        <cfvo type="min"/>
        <cfvo type="percentile" val="50"/>
        <cfvo type="max"/>
        <color rgb="FF63BE7B"/>
        <color rgb="FFFFEB84"/>
        <color rgb="FFF8696B"/>
      </colorScale>
    </cfRule>
  </conditionalFormatting>
  <conditionalFormatting sqref="AF6:AF17">
    <cfRule type="colorScale" priority="39">
      <colorScale>
        <cfvo type="min"/>
        <cfvo type="percentile" val="50"/>
        <cfvo type="max"/>
        <color rgb="FF63BE7B"/>
        <color rgb="FFFFEB84"/>
        <color rgb="FFF8696B"/>
      </colorScale>
    </cfRule>
    <cfRule type="colorScale" priority="71">
      <colorScale>
        <cfvo type="min"/>
        <cfvo type="percentile" val="50"/>
        <cfvo type="max"/>
        <color rgb="FF63BE7B"/>
        <color rgb="FFFFEB84"/>
        <color rgb="FFF8696B"/>
      </colorScale>
    </cfRule>
  </conditionalFormatting>
  <conditionalFormatting sqref="AG6:AG17">
    <cfRule type="colorScale" priority="38">
      <colorScale>
        <cfvo type="min"/>
        <cfvo type="percentile" val="50"/>
        <cfvo type="max"/>
        <color rgb="FF63BE7B"/>
        <color rgb="FFFFEB84"/>
        <color rgb="FFF8696B"/>
      </colorScale>
    </cfRule>
    <cfRule type="colorScale" priority="70">
      <colorScale>
        <cfvo type="min"/>
        <cfvo type="percentile" val="50"/>
        <cfvo type="max"/>
        <color rgb="FF63BE7B"/>
        <color rgb="FFFFEB84"/>
        <color rgb="FFF8696B"/>
      </colorScale>
    </cfRule>
  </conditionalFormatting>
  <conditionalFormatting sqref="AH6:AH17">
    <cfRule type="colorScale" priority="37">
      <colorScale>
        <cfvo type="min"/>
        <cfvo type="percentile" val="50"/>
        <cfvo type="max"/>
        <color rgb="FF63BE7B"/>
        <color rgb="FFFFEB84"/>
        <color rgb="FFF8696B"/>
      </colorScale>
    </cfRule>
    <cfRule type="colorScale" priority="69">
      <colorScale>
        <cfvo type="min"/>
        <cfvo type="percentile" val="50"/>
        <cfvo type="max"/>
        <color rgb="FF63BE7B"/>
        <color rgb="FFFFEB84"/>
        <color rgb="FFF8696B"/>
      </colorScale>
    </cfRule>
  </conditionalFormatting>
  <conditionalFormatting sqref="AN6:AN17">
    <cfRule type="colorScale" priority="36">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B1:AD95"/>
  <sheetViews>
    <sheetView showGridLines="0" topLeftCell="B1" zoomScale="56" zoomScaleNormal="70" workbookViewId="0">
      <selection activeCell="G11" sqref="G11:L12"/>
    </sheetView>
  </sheetViews>
  <sheetFormatPr defaultColWidth="7.625" defaultRowHeight="12.75" customHeight="1"/>
  <cols>
    <col min="1" max="1" width="2" style="40" customWidth="1"/>
    <col min="2" max="2" width="26.375" style="40" customWidth="1"/>
    <col min="3" max="3" width="21.125" style="39" customWidth="1"/>
    <col min="4" max="4" width="4.125" style="40" customWidth="1"/>
    <col min="5" max="5" width="44.5" style="40" customWidth="1"/>
    <col min="6" max="6" width="3.375" style="40" customWidth="1"/>
    <col min="7" max="12" width="11.125" style="40" customWidth="1"/>
    <col min="13" max="13" width="4.125" style="40" customWidth="1"/>
    <col min="14" max="21" width="11.125" style="40" customWidth="1"/>
    <col min="22" max="22" width="12.5" style="40" customWidth="1"/>
    <col min="23" max="23" width="9.875" style="40" customWidth="1"/>
    <col min="24" max="24" width="14" style="40" customWidth="1"/>
    <col min="25" max="25" width="11.375" style="40" customWidth="1"/>
    <col min="26" max="26" width="14.125" style="40" customWidth="1"/>
    <col min="27" max="27" width="8" style="40" customWidth="1"/>
    <col min="28" max="28" width="8.625" style="40" bestFit="1" customWidth="1"/>
    <col min="29" max="29" width="6.375" style="40" customWidth="1"/>
    <col min="30" max="30" width="7.125" style="40" customWidth="1"/>
    <col min="31" max="31" width="8.625" style="40" customWidth="1"/>
    <col min="32" max="32" width="8.5" style="40" customWidth="1"/>
    <col min="33" max="33" width="9.625" style="40" customWidth="1"/>
    <col min="34" max="34" width="8.875" style="40" customWidth="1"/>
    <col min="35" max="35" width="7.625" style="40" customWidth="1"/>
    <col min="36" max="37" width="7.125" style="40" customWidth="1"/>
    <col min="38" max="38" width="8.125" style="40" customWidth="1"/>
    <col min="39" max="39" width="7.625" style="40" customWidth="1"/>
    <col min="40" max="16384" width="7.625" style="40"/>
  </cols>
  <sheetData>
    <row r="1" spans="2:30" customFormat="1" ht="14.1">
      <c r="Q1" s="6"/>
    </row>
    <row r="2" spans="2:30" s="37" customFormat="1" ht="20.100000000000001" customHeight="1">
      <c r="B2" s="36" t="s">
        <v>312</v>
      </c>
      <c r="Q2" s="38"/>
    </row>
    <row r="3" spans="2:30" customFormat="1" ht="14.1">
      <c r="Q3" s="6"/>
      <c r="Z3" s="40"/>
      <c r="AA3" s="40"/>
      <c r="AB3" s="40"/>
      <c r="AC3" s="40"/>
      <c r="AD3" s="40"/>
    </row>
    <row r="4" spans="2:30" ht="14.45" thickBot="1">
      <c r="B4" s="1" t="s">
        <v>313</v>
      </c>
      <c r="C4" s="39" t="s">
        <v>314</v>
      </c>
      <c r="E4" s="1" t="s">
        <v>315</v>
      </c>
      <c r="F4" s="1"/>
      <c r="G4" s="1"/>
      <c r="H4" s="1"/>
      <c r="I4" s="1"/>
      <c r="J4" s="1"/>
      <c r="N4" s="1" t="s">
        <v>316</v>
      </c>
      <c r="O4" s="1"/>
      <c r="P4" s="1"/>
      <c r="Q4" s="1"/>
      <c r="R4" s="1"/>
      <c r="S4" s="1"/>
    </row>
    <row r="5" spans="2:30" ht="14.1">
      <c r="B5" s="41"/>
      <c r="C5" s="42"/>
      <c r="E5" s="43"/>
      <c r="F5" s="43"/>
      <c r="G5" s="833"/>
      <c r="H5" s="833"/>
      <c r="I5" s="833"/>
      <c r="J5" s="833"/>
      <c r="K5" s="833"/>
      <c r="L5" s="833"/>
      <c r="N5" s="835"/>
      <c r="O5" s="835"/>
      <c r="P5" s="835"/>
      <c r="Q5" s="835"/>
      <c r="R5" s="835"/>
      <c r="S5" s="835"/>
      <c r="T5" s="835"/>
      <c r="U5" s="835"/>
    </row>
    <row r="6" spans="2:30" ht="14.45" thickBot="1">
      <c r="B6" s="1" t="s">
        <v>317</v>
      </c>
      <c r="C6" s="40"/>
      <c r="D6" s="40" t="s">
        <v>318</v>
      </c>
      <c r="G6" s="834"/>
      <c r="H6" s="834"/>
      <c r="I6" s="834"/>
      <c r="J6" s="834"/>
      <c r="K6" s="834"/>
      <c r="L6" s="834"/>
      <c r="N6" s="836"/>
      <c r="O6" s="836"/>
      <c r="P6" s="836"/>
      <c r="Q6" s="836"/>
      <c r="R6" s="836"/>
      <c r="S6" s="836"/>
      <c r="T6" s="836"/>
      <c r="U6" s="836"/>
    </row>
    <row r="7" spans="2:30" ht="14.1">
      <c r="B7" s="41" t="s">
        <v>319</v>
      </c>
      <c r="C7" s="44">
        <v>45761</v>
      </c>
      <c r="D7" s="40" t="s">
        <v>318</v>
      </c>
      <c r="E7" s="19"/>
      <c r="G7" s="834"/>
      <c r="H7" s="834"/>
      <c r="I7" s="834"/>
      <c r="J7" s="834"/>
      <c r="K7" s="834"/>
      <c r="L7" s="834"/>
      <c r="N7" s="836"/>
      <c r="O7" s="836"/>
      <c r="P7" s="836"/>
      <c r="Q7" s="836"/>
      <c r="R7" s="836"/>
      <c r="S7" s="836"/>
      <c r="T7" s="836"/>
      <c r="U7" s="836"/>
    </row>
    <row r="8" spans="2:30" ht="14.1">
      <c r="B8" s="21" t="s">
        <v>320</v>
      </c>
      <c r="C8" s="35">
        <v>2024</v>
      </c>
      <c r="G8" s="834"/>
      <c r="H8" s="834"/>
      <c r="I8" s="834"/>
      <c r="J8" s="834"/>
      <c r="K8" s="834"/>
      <c r="L8" s="834"/>
      <c r="N8" s="836"/>
      <c r="O8" s="836"/>
      <c r="P8" s="836"/>
      <c r="Q8" s="836"/>
      <c r="R8" s="836"/>
      <c r="S8" s="836"/>
      <c r="T8" s="836"/>
      <c r="U8" s="836"/>
    </row>
    <row r="9" spans="2:30" ht="15" customHeight="1">
      <c r="B9" s="21" t="s">
        <v>321</v>
      </c>
      <c r="C9" s="22" t="s">
        <v>322</v>
      </c>
      <c r="E9" s="19"/>
      <c r="G9" s="834"/>
      <c r="H9" s="834"/>
      <c r="I9" s="834"/>
      <c r="J9" s="834"/>
      <c r="K9" s="834"/>
      <c r="L9" s="834"/>
      <c r="N9" s="836"/>
      <c r="O9" s="836"/>
      <c r="P9" s="836"/>
      <c r="Q9" s="836"/>
      <c r="R9" s="836"/>
      <c r="S9" s="836"/>
      <c r="T9" s="836"/>
      <c r="U9" s="836"/>
    </row>
    <row r="10" spans="2:30" ht="25.5" customHeight="1">
      <c r="B10" s="760" t="s">
        <v>323</v>
      </c>
      <c r="C10" s="759" t="s">
        <v>324</v>
      </c>
      <c r="G10" s="834"/>
      <c r="H10" s="834"/>
      <c r="I10" s="834"/>
      <c r="J10" s="834"/>
      <c r="K10" s="834"/>
      <c r="L10" s="834"/>
      <c r="N10" s="836"/>
      <c r="O10" s="836"/>
      <c r="P10" s="836"/>
      <c r="Q10" s="836"/>
      <c r="R10" s="836"/>
      <c r="S10" s="836"/>
      <c r="T10" s="836"/>
      <c r="U10" s="836"/>
    </row>
    <row r="11" spans="2:30" ht="15" customHeight="1">
      <c r="B11" s="19" t="s">
        <v>325</v>
      </c>
      <c r="C11" s="682"/>
      <c r="E11" s="19"/>
      <c r="G11" s="834"/>
      <c r="H11" s="834"/>
      <c r="I11" s="834"/>
      <c r="J11" s="834"/>
      <c r="K11" s="834"/>
      <c r="L11" s="834"/>
      <c r="N11" s="836"/>
      <c r="O11" s="836"/>
      <c r="P11" s="836"/>
      <c r="Q11" s="836"/>
      <c r="R11" s="836"/>
      <c r="S11" s="836"/>
      <c r="T11" s="836"/>
      <c r="U11" s="836"/>
    </row>
    <row r="12" spans="2:30" ht="14.1" customHeight="1">
      <c r="B12" s="21"/>
      <c r="G12" s="834"/>
      <c r="H12" s="834"/>
      <c r="I12" s="834"/>
      <c r="J12" s="834"/>
      <c r="K12" s="834"/>
      <c r="L12" s="834"/>
      <c r="N12" s="836"/>
      <c r="O12" s="836"/>
      <c r="P12" s="836"/>
      <c r="Q12" s="836"/>
      <c r="R12" s="836"/>
      <c r="S12" s="836"/>
      <c r="T12" s="836"/>
      <c r="U12" s="836"/>
    </row>
    <row r="13" spans="2:30" ht="14.1">
      <c r="B13" s="1" t="s">
        <v>326</v>
      </c>
      <c r="C13" s="40"/>
      <c r="E13" s="19"/>
      <c r="G13" s="834"/>
      <c r="H13" s="834"/>
      <c r="I13" s="834"/>
      <c r="J13" s="834"/>
      <c r="K13" s="834"/>
      <c r="L13" s="834"/>
      <c r="N13" s="836"/>
      <c r="O13" s="836"/>
      <c r="P13" s="836"/>
      <c r="Q13" s="836"/>
      <c r="R13" s="836"/>
      <c r="S13" s="836"/>
      <c r="T13" s="836"/>
      <c r="U13" s="836"/>
    </row>
    <row r="14" spans="2:30" ht="14.1">
      <c r="B14" s="43" t="s">
        <v>93</v>
      </c>
      <c r="C14" s="712">
        <v>88</v>
      </c>
      <c r="G14" s="834"/>
      <c r="H14" s="834"/>
      <c r="I14" s="834"/>
      <c r="J14" s="834"/>
      <c r="K14" s="834"/>
      <c r="L14" s="834"/>
      <c r="N14" s="836"/>
      <c r="O14" s="836"/>
      <c r="P14" s="836"/>
      <c r="Q14" s="836"/>
      <c r="R14" s="836"/>
      <c r="S14" s="836"/>
      <c r="T14" s="836"/>
      <c r="U14" s="836"/>
    </row>
    <row r="15" spans="2:30" ht="14.1">
      <c r="B15" s="21" t="s">
        <v>94</v>
      </c>
      <c r="C15" s="761">
        <v>89</v>
      </c>
    </row>
    <row r="16" spans="2:30" ht="14.1">
      <c r="B16" s="21" t="s">
        <v>95</v>
      </c>
      <c r="C16" s="761">
        <v>88</v>
      </c>
      <c r="E16" s="1" t="s">
        <v>327</v>
      </c>
      <c r="F16" s="1"/>
      <c r="G16" s="1"/>
      <c r="H16" s="1"/>
      <c r="I16" s="1"/>
      <c r="J16" s="1"/>
      <c r="N16" s="1" t="s">
        <v>328</v>
      </c>
      <c r="O16" s="1"/>
      <c r="P16" s="1"/>
      <c r="Q16" s="1"/>
      <c r="R16" s="1"/>
      <c r="S16" s="1"/>
    </row>
    <row r="17" spans="2:22" ht="14.1">
      <c r="B17" s="21" t="s">
        <v>96</v>
      </c>
      <c r="C17" s="761">
        <v>88</v>
      </c>
      <c r="E17" s="43"/>
      <c r="F17" s="43"/>
      <c r="G17" s="833"/>
      <c r="H17" s="833"/>
      <c r="I17" s="833"/>
      <c r="J17" s="833"/>
      <c r="K17" s="833"/>
      <c r="L17" s="833"/>
      <c r="N17" s="43"/>
      <c r="O17" s="43"/>
      <c r="P17" s="43"/>
      <c r="Q17" s="43"/>
      <c r="R17" s="43"/>
      <c r="S17" s="43"/>
      <c r="T17" s="43"/>
      <c r="U17" s="43"/>
      <c r="V17" s="43"/>
    </row>
    <row r="18" spans="2:22" ht="14.1">
      <c r="B18" s="19" t="s">
        <v>97</v>
      </c>
      <c r="C18" s="762">
        <v>60</v>
      </c>
      <c r="G18" s="834"/>
      <c r="H18" s="834"/>
      <c r="I18" s="834"/>
      <c r="J18" s="834"/>
      <c r="K18" s="834"/>
      <c r="L18" s="834"/>
      <c r="O18" s="642"/>
      <c r="P18" s="642"/>
      <c r="Q18" s="642"/>
      <c r="R18" s="642"/>
      <c r="S18" s="642"/>
      <c r="T18" s="642"/>
      <c r="U18" s="642"/>
      <c r="V18" s="642"/>
    </row>
    <row r="19" spans="2:22" ht="14.1">
      <c r="B19" s="21" t="s">
        <v>98</v>
      </c>
      <c r="C19" s="763">
        <v>61</v>
      </c>
      <c r="E19" s="19"/>
      <c r="G19" s="834"/>
      <c r="H19" s="834"/>
      <c r="I19" s="834"/>
      <c r="J19" s="834"/>
      <c r="K19" s="834"/>
      <c r="L19" s="834"/>
      <c r="N19" s="19"/>
      <c r="P19" s="642"/>
      <c r="Q19" s="642"/>
      <c r="R19" s="642"/>
      <c r="S19" s="642"/>
      <c r="T19" s="642"/>
      <c r="U19" s="642"/>
      <c r="V19" s="642"/>
    </row>
    <row r="20" spans="2:22" ht="14.1">
      <c r="B20" s="21" t="s">
        <v>99</v>
      </c>
      <c r="C20" s="763">
        <v>59</v>
      </c>
      <c r="G20" s="834"/>
      <c r="H20" s="834"/>
      <c r="I20" s="834"/>
      <c r="J20" s="834"/>
      <c r="K20" s="834"/>
      <c r="L20" s="834"/>
      <c r="P20" s="642"/>
      <c r="Q20" s="642"/>
      <c r="R20" s="642"/>
      <c r="S20" s="642"/>
      <c r="T20" s="642"/>
      <c r="U20" s="642"/>
    </row>
    <row r="21" spans="2:22" ht="14.1">
      <c r="B21" s="21" t="s">
        <v>100</v>
      </c>
      <c r="C21" s="763">
        <v>60</v>
      </c>
      <c r="E21" s="19"/>
      <c r="G21" s="834"/>
      <c r="H21" s="834"/>
      <c r="I21" s="834"/>
      <c r="J21" s="834"/>
      <c r="K21" s="834"/>
      <c r="L21" s="834"/>
      <c r="N21" s="19"/>
      <c r="P21" s="834"/>
      <c r="Q21" s="834"/>
      <c r="R21" s="834"/>
      <c r="S21" s="834"/>
      <c r="T21" s="834"/>
      <c r="U21" s="834"/>
    </row>
    <row r="22" spans="2:22" ht="14.1">
      <c r="B22" s="19" t="s">
        <v>101</v>
      </c>
      <c r="C22" s="764">
        <v>19.2</v>
      </c>
      <c r="G22" s="834"/>
      <c r="H22" s="834"/>
      <c r="I22" s="834"/>
      <c r="J22" s="834"/>
      <c r="K22" s="834"/>
      <c r="L22" s="834"/>
      <c r="P22" s="834"/>
      <c r="Q22" s="834"/>
      <c r="R22" s="834"/>
      <c r="S22" s="834"/>
      <c r="T22" s="834"/>
      <c r="U22" s="834"/>
    </row>
    <row r="23" spans="2:22" ht="14.1">
      <c r="B23" s="19" t="s">
        <v>102</v>
      </c>
      <c r="C23" s="774" t="s">
        <v>329</v>
      </c>
      <c r="E23" s="19"/>
      <c r="G23" s="834"/>
      <c r="H23" s="834"/>
      <c r="I23" s="834"/>
      <c r="J23" s="834"/>
      <c r="K23" s="834"/>
      <c r="L23" s="834"/>
      <c r="N23" s="19"/>
      <c r="P23" s="834"/>
      <c r="Q23" s="834"/>
      <c r="R23" s="834"/>
      <c r="S23" s="834"/>
      <c r="T23" s="834"/>
      <c r="U23" s="834"/>
    </row>
    <row r="24" spans="2:22" ht="14.1">
      <c r="B24" s="21" t="s">
        <v>103</v>
      </c>
      <c r="C24" s="775" t="s">
        <v>329</v>
      </c>
    </row>
    <row r="25" spans="2:22" ht="14.1">
      <c r="B25" s="21" t="s">
        <v>104</v>
      </c>
      <c r="C25" s="776" t="s">
        <v>329</v>
      </c>
    </row>
    <row r="26" spans="2:22" ht="14.1">
      <c r="B26" s="19" t="s">
        <v>105</v>
      </c>
      <c r="C26" s="765" t="s">
        <v>330</v>
      </c>
    </row>
    <row r="29" spans="2:22" ht="14.45" thickBot="1">
      <c r="B29" s="1" t="s">
        <v>331</v>
      </c>
      <c r="C29" s="766"/>
    </row>
    <row r="30" spans="2:22" ht="14.45" customHeight="1">
      <c r="B30" s="837"/>
      <c r="C30" s="837"/>
    </row>
    <row r="31" spans="2:22" ht="12.6">
      <c r="B31" s="838"/>
      <c r="C31" s="838"/>
    </row>
    <row r="32" spans="2:22" ht="12.6">
      <c r="B32" s="838"/>
      <c r="C32" s="838"/>
    </row>
    <row r="33" spans="2:22" ht="15.6">
      <c r="B33" s="838"/>
      <c r="C33" s="838"/>
      <c r="E33" s="48" t="s">
        <v>332</v>
      </c>
      <c r="F33" s="48"/>
      <c r="G33" s="48"/>
      <c r="H33" s="48"/>
      <c r="I33" s="48"/>
      <c r="J33" s="48"/>
      <c r="K33" s="48"/>
      <c r="L33" s="48"/>
      <c r="M33" s="48"/>
      <c r="N33" s="48"/>
      <c r="O33" s="48"/>
      <c r="P33" s="48"/>
      <c r="Q33" s="48"/>
      <c r="R33" s="48"/>
      <c r="S33" s="48"/>
      <c r="T33" s="48"/>
      <c r="U33" s="48"/>
      <c r="V33" s="48"/>
    </row>
    <row r="34" spans="2:22" customFormat="1" ht="3.95" customHeight="1">
      <c r="B34" s="838"/>
      <c r="C34" s="838"/>
      <c r="D34" s="40"/>
      <c r="E34" s="49"/>
      <c r="F34" s="49"/>
      <c r="G34" s="49"/>
      <c r="H34" s="49"/>
      <c r="I34" s="49"/>
      <c r="J34" s="49"/>
      <c r="K34" s="49"/>
      <c r="L34" s="49"/>
      <c r="M34" s="49"/>
      <c r="N34" s="49"/>
      <c r="O34" s="49"/>
      <c r="P34" s="49"/>
      <c r="Q34" s="49"/>
      <c r="R34" s="49"/>
      <c r="S34" s="49"/>
      <c r="T34" s="49"/>
      <c r="U34" s="49"/>
      <c r="V34" s="49"/>
    </row>
    <row r="35" spans="2:22" ht="12.95">
      <c r="B35" s="838"/>
      <c r="C35" s="838"/>
      <c r="E35" s="50"/>
      <c r="F35" s="50"/>
      <c r="G35" s="51" t="s">
        <v>317</v>
      </c>
      <c r="H35" s="51" t="s">
        <v>333</v>
      </c>
      <c r="I35" s="51"/>
      <c r="J35" s="51"/>
      <c r="K35" s="51" t="s">
        <v>334</v>
      </c>
      <c r="L35" s="51"/>
      <c r="M35" s="51"/>
      <c r="N35" s="51"/>
      <c r="O35" s="51" t="s">
        <v>335</v>
      </c>
      <c r="P35" s="50"/>
      <c r="Q35" s="50"/>
      <c r="R35" s="50"/>
      <c r="S35" s="50"/>
      <c r="T35" s="50"/>
      <c r="U35" s="50"/>
      <c r="V35" s="50"/>
    </row>
    <row r="36" spans="2:22" ht="20.25" customHeight="1">
      <c r="B36" s="838"/>
      <c r="C36" s="838"/>
      <c r="E36" s="19" t="s">
        <v>336</v>
      </c>
      <c r="G36" s="839"/>
      <c r="H36" s="840" t="s">
        <v>337</v>
      </c>
      <c r="I36" s="840"/>
      <c r="J36" s="840"/>
      <c r="K36" s="841" t="s">
        <v>338</v>
      </c>
      <c r="L36" s="841"/>
      <c r="M36" s="841"/>
      <c r="N36" s="841"/>
      <c r="O36" s="842" t="s">
        <v>339</v>
      </c>
      <c r="P36" s="842"/>
      <c r="Q36" s="842"/>
      <c r="R36" s="842"/>
      <c r="S36" s="842"/>
      <c r="T36" s="842"/>
      <c r="U36" s="842"/>
      <c r="V36" s="842"/>
    </row>
    <row r="37" spans="2:22" ht="20.25" customHeight="1">
      <c r="B37" s="838"/>
      <c r="C37" s="838"/>
      <c r="G37" s="839"/>
      <c r="H37" s="840"/>
      <c r="I37" s="840"/>
      <c r="J37" s="840"/>
      <c r="K37" s="841"/>
      <c r="L37" s="841"/>
      <c r="M37" s="841"/>
      <c r="N37" s="841"/>
      <c r="O37" s="842"/>
      <c r="P37" s="842"/>
      <c r="Q37" s="842"/>
      <c r="R37" s="842"/>
      <c r="S37" s="842"/>
      <c r="T37" s="842"/>
      <c r="U37" s="842"/>
      <c r="V37" s="842"/>
    </row>
    <row r="38" spans="2:22" ht="22.5" customHeight="1">
      <c r="B38" s="838"/>
      <c r="C38" s="838"/>
      <c r="E38" s="19" t="s">
        <v>340</v>
      </c>
      <c r="G38" s="843"/>
      <c r="H38" s="841" t="s">
        <v>341</v>
      </c>
      <c r="I38" s="841"/>
      <c r="J38" s="841"/>
      <c r="K38" s="844" t="s">
        <v>342</v>
      </c>
      <c r="L38" s="844"/>
      <c r="M38" s="844"/>
      <c r="N38" s="844"/>
      <c r="O38" s="844" t="s">
        <v>343</v>
      </c>
      <c r="P38" s="842"/>
      <c r="Q38" s="842"/>
      <c r="R38" s="842"/>
      <c r="S38" s="842"/>
      <c r="T38" s="842"/>
      <c r="U38" s="842"/>
      <c r="V38" s="842"/>
    </row>
    <row r="39" spans="2:22" ht="19.5" customHeight="1">
      <c r="B39" s="838"/>
      <c r="C39" s="838"/>
      <c r="G39" s="843"/>
      <c r="H39" s="841"/>
      <c r="I39" s="841"/>
      <c r="J39" s="841"/>
      <c r="K39" s="844"/>
      <c r="L39" s="844"/>
      <c r="M39" s="844"/>
      <c r="N39" s="844"/>
      <c r="O39" s="842"/>
      <c r="P39" s="842"/>
      <c r="Q39" s="842"/>
      <c r="R39" s="842"/>
      <c r="S39" s="842"/>
      <c r="T39" s="842"/>
      <c r="U39" s="842"/>
      <c r="V39" s="842"/>
    </row>
    <row r="40" spans="2:22" ht="14.1">
      <c r="B40" s="838"/>
      <c r="C40" s="838"/>
      <c r="E40" s="19" t="s">
        <v>344</v>
      </c>
      <c r="G40" s="845"/>
      <c r="H40" s="840" t="s">
        <v>345</v>
      </c>
      <c r="I40" s="840"/>
      <c r="J40" s="840"/>
      <c r="K40" s="840" t="s">
        <v>346</v>
      </c>
      <c r="L40" s="840"/>
      <c r="M40" s="840"/>
      <c r="N40" s="840"/>
      <c r="O40" s="842" t="s">
        <v>339</v>
      </c>
      <c r="P40" s="842"/>
      <c r="Q40" s="842"/>
      <c r="R40" s="842"/>
      <c r="S40" s="842"/>
      <c r="T40" s="842"/>
      <c r="U40" s="842"/>
      <c r="V40" s="842"/>
    </row>
    <row r="41" spans="2:22" ht="12.6">
      <c r="B41" s="838"/>
      <c r="C41" s="838"/>
      <c r="G41" s="845"/>
      <c r="H41" s="840"/>
      <c r="I41" s="840"/>
      <c r="J41" s="840"/>
      <c r="K41" s="840"/>
      <c r="L41" s="840"/>
      <c r="M41" s="840"/>
      <c r="N41" s="840"/>
      <c r="O41" s="842"/>
      <c r="P41" s="842"/>
      <c r="Q41" s="842"/>
      <c r="R41" s="842"/>
      <c r="S41" s="842"/>
      <c r="T41" s="842"/>
      <c r="U41" s="842"/>
      <c r="V41" s="842"/>
    </row>
    <row r="42" spans="2:22" ht="14.1">
      <c r="B42" s="838"/>
      <c r="C42" s="838"/>
      <c r="E42" s="19" t="s">
        <v>347</v>
      </c>
      <c r="G42" s="846"/>
      <c r="H42" s="840" t="s">
        <v>348</v>
      </c>
      <c r="I42" s="840"/>
      <c r="J42" s="840"/>
      <c r="K42" s="840" t="s">
        <v>349</v>
      </c>
      <c r="L42" s="840"/>
      <c r="M42" s="840"/>
      <c r="N42" s="840"/>
      <c r="O42" s="842" t="s">
        <v>350</v>
      </c>
      <c r="P42" s="842"/>
      <c r="Q42" s="842"/>
      <c r="R42" s="842"/>
      <c r="S42" s="842"/>
      <c r="T42" s="842"/>
      <c r="U42" s="842"/>
      <c r="V42" s="842"/>
    </row>
    <row r="43" spans="2:22" ht="12.6">
      <c r="B43" s="838"/>
      <c r="C43" s="838"/>
      <c r="G43" s="846"/>
      <c r="H43" s="840"/>
      <c r="I43" s="840"/>
      <c r="J43" s="840"/>
      <c r="K43" s="840"/>
      <c r="L43" s="840"/>
      <c r="M43" s="840"/>
      <c r="N43" s="840"/>
      <c r="O43" s="842"/>
      <c r="P43" s="842"/>
      <c r="Q43" s="842"/>
      <c r="R43" s="842"/>
      <c r="S43" s="842"/>
      <c r="T43" s="842"/>
      <c r="U43" s="842"/>
      <c r="V43" s="842"/>
    </row>
    <row r="44" spans="2:22" ht="14.1">
      <c r="B44" s="838"/>
      <c r="C44" s="838"/>
      <c r="E44" s="19" t="s">
        <v>351</v>
      </c>
      <c r="G44" s="842"/>
      <c r="H44" s="844"/>
      <c r="I44" s="844"/>
      <c r="J44" s="844"/>
      <c r="K44" s="844"/>
      <c r="L44" s="844"/>
      <c r="M44" s="844"/>
      <c r="N44" s="844"/>
      <c r="O44" s="844"/>
      <c r="P44" s="844"/>
      <c r="Q44" s="844"/>
      <c r="R44" s="844"/>
      <c r="S44" s="844"/>
      <c r="T44" s="844"/>
      <c r="U44" s="844"/>
      <c r="V44" s="844"/>
    </row>
    <row r="45" spans="2:22" ht="12.6">
      <c r="B45" s="838"/>
      <c r="C45" s="838"/>
      <c r="G45" s="842"/>
      <c r="H45" s="844"/>
      <c r="I45" s="844"/>
      <c r="J45" s="844"/>
      <c r="K45" s="844"/>
      <c r="L45" s="844"/>
      <c r="M45" s="844"/>
      <c r="N45" s="844"/>
      <c r="O45" s="844"/>
      <c r="P45" s="844"/>
      <c r="Q45" s="844"/>
      <c r="R45" s="844"/>
      <c r="S45" s="844"/>
      <c r="T45" s="844"/>
      <c r="U45" s="844"/>
      <c r="V45" s="844"/>
    </row>
    <row r="46" spans="2:22" ht="15.6">
      <c r="E46" s="48" t="s">
        <v>352</v>
      </c>
      <c r="F46" s="48"/>
      <c r="G46" s="48"/>
      <c r="H46" s="48"/>
      <c r="I46" s="48"/>
      <c r="J46" s="48"/>
      <c r="K46" s="48"/>
      <c r="L46" s="48"/>
      <c r="M46" s="48"/>
      <c r="N46" s="48"/>
      <c r="O46" s="48"/>
      <c r="P46" s="48"/>
      <c r="Q46" s="48"/>
      <c r="R46" s="48"/>
      <c r="S46" s="48"/>
      <c r="T46" s="48"/>
      <c r="U46" s="48"/>
      <c r="V46" s="48"/>
    </row>
    <row r="47" spans="2:22" customFormat="1" ht="3.95" customHeight="1">
      <c r="B47" s="40"/>
      <c r="C47" s="39"/>
      <c r="D47" s="40"/>
      <c r="E47" s="49"/>
      <c r="F47" s="49"/>
      <c r="G47" s="49"/>
      <c r="H47" s="49"/>
      <c r="I47" s="49"/>
      <c r="J47" s="49"/>
      <c r="K47" s="49"/>
      <c r="L47" s="49"/>
      <c r="M47" s="49"/>
      <c r="N47" s="49"/>
      <c r="O47" s="49"/>
      <c r="P47" s="49"/>
      <c r="Q47" s="49"/>
      <c r="R47" s="49"/>
      <c r="S47" s="49"/>
      <c r="T47" s="49"/>
      <c r="U47" s="49"/>
      <c r="V47" s="49"/>
    </row>
    <row r="48" spans="2:22" ht="14.45" thickBot="1">
      <c r="B48" s="1" t="s">
        <v>353</v>
      </c>
      <c r="C48" s="40"/>
      <c r="E48" s="50"/>
      <c r="F48" s="50"/>
      <c r="G48" s="51" t="s">
        <v>317</v>
      </c>
      <c r="H48" s="51" t="s">
        <v>333</v>
      </c>
      <c r="I48" s="51"/>
      <c r="J48" s="51"/>
      <c r="K48" s="51" t="s">
        <v>334</v>
      </c>
      <c r="L48" s="51"/>
      <c r="M48" s="51"/>
      <c r="N48" s="51"/>
      <c r="O48" s="51" t="s">
        <v>335</v>
      </c>
      <c r="P48" s="50"/>
      <c r="Q48" s="50"/>
      <c r="R48" s="50"/>
      <c r="S48" s="50"/>
      <c r="T48" s="50"/>
      <c r="U48" s="50"/>
      <c r="V48" s="50"/>
    </row>
    <row r="49" spans="2:22" ht="14.1">
      <c r="B49" s="41" t="s">
        <v>354</v>
      </c>
      <c r="C49" s="767" t="s">
        <v>355</v>
      </c>
      <c r="E49" s="19" t="s">
        <v>356</v>
      </c>
      <c r="G49" s="847"/>
      <c r="H49" s="848" t="s">
        <v>339</v>
      </c>
      <c r="I49" s="848"/>
      <c r="J49" s="848"/>
      <c r="K49" s="848" t="s">
        <v>339</v>
      </c>
      <c r="L49" s="848"/>
      <c r="M49" s="848"/>
      <c r="N49" s="848"/>
      <c r="O49" s="848" t="s">
        <v>357</v>
      </c>
      <c r="P49" s="848"/>
      <c r="Q49" s="848"/>
      <c r="R49" s="848"/>
      <c r="S49" s="848"/>
      <c r="T49" s="848"/>
      <c r="U49" s="848"/>
      <c r="V49" s="848"/>
    </row>
    <row r="50" spans="2:22" ht="14.1">
      <c r="B50" s="21" t="s">
        <v>358</v>
      </c>
      <c r="C50" s="57"/>
      <c r="D50" s="40" t="s">
        <v>318</v>
      </c>
      <c r="G50" s="839"/>
      <c r="H50" s="844"/>
      <c r="I50" s="844"/>
      <c r="J50" s="844"/>
      <c r="K50" s="844"/>
      <c r="L50" s="844"/>
      <c r="M50" s="844"/>
      <c r="N50" s="844"/>
      <c r="O50" s="844"/>
      <c r="P50" s="844"/>
      <c r="Q50" s="844"/>
      <c r="R50" s="844"/>
      <c r="S50" s="844"/>
      <c r="T50" s="844"/>
      <c r="U50" s="844"/>
      <c r="V50" s="844"/>
    </row>
    <row r="51" spans="2:22" ht="14.1">
      <c r="B51" s="21" t="s">
        <v>359</v>
      </c>
      <c r="C51" s="57" t="s">
        <v>360</v>
      </c>
      <c r="D51" s="40" t="s">
        <v>318</v>
      </c>
      <c r="E51" s="19" t="s">
        <v>361</v>
      </c>
      <c r="G51" s="843"/>
      <c r="H51" s="844" t="s">
        <v>362</v>
      </c>
      <c r="I51" s="844"/>
      <c r="J51" s="844"/>
      <c r="K51" s="844"/>
      <c r="L51" s="844"/>
      <c r="M51" s="844"/>
      <c r="N51" s="844"/>
      <c r="O51" s="844" t="s">
        <v>363</v>
      </c>
      <c r="P51" s="844"/>
      <c r="Q51" s="844"/>
      <c r="R51" s="844"/>
      <c r="S51" s="844"/>
      <c r="T51" s="844"/>
      <c r="U51" s="844"/>
      <c r="V51" s="844"/>
    </row>
    <row r="52" spans="2:22" ht="12.95">
      <c r="G52" s="843"/>
      <c r="H52" s="844"/>
      <c r="I52" s="844"/>
      <c r="J52" s="844"/>
      <c r="K52" s="844"/>
      <c r="L52" s="844"/>
      <c r="M52" s="844"/>
      <c r="N52" s="844"/>
      <c r="O52" s="844"/>
      <c r="P52" s="844"/>
      <c r="Q52" s="844"/>
      <c r="R52" s="844"/>
      <c r="S52" s="844"/>
      <c r="T52" s="844"/>
      <c r="U52" s="844"/>
      <c r="V52" s="844"/>
    </row>
    <row r="53" spans="2:22" ht="27.95">
      <c r="B53" s="40" t="s">
        <v>364</v>
      </c>
      <c r="C53" s="772" t="s">
        <v>365</v>
      </c>
      <c r="E53" s="19" t="s">
        <v>366</v>
      </c>
      <c r="G53" s="839"/>
      <c r="H53" s="844" t="s">
        <v>367</v>
      </c>
      <c r="I53" s="844"/>
      <c r="J53" s="844"/>
      <c r="K53" s="841" t="s">
        <v>368</v>
      </c>
      <c r="L53" s="841"/>
      <c r="M53" s="841"/>
      <c r="N53" s="841"/>
      <c r="O53" s="844" t="s">
        <v>369</v>
      </c>
      <c r="P53" s="844"/>
      <c r="Q53" s="844"/>
      <c r="R53" s="844"/>
      <c r="S53" s="844"/>
      <c r="T53" s="844"/>
      <c r="U53" s="844"/>
      <c r="V53" s="844"/>
    </row>
    <row r="54" spans="2:22" ht="12.95">
      <c r="G54" s="839"/>
      <c r="H54" s="844"/>
      <c r="I54" s="844"/>
      <c r="J54" s="844"/>
      <c r="K54" s="841"/>
      <c r="L54" s="841"/>
      <c r="M54" s="841"/>
      <c r="N54" s="841"/>
      <c r="O54" s="844"/>
      <c r="P54" s="844"/>
      <c r="Q54" s="844"/>
      <c r="R54" s="844"/>
      <c r="S54" s="844"/>
      <c r="T54" s="844"/>
      <c r="U54" s="844"/>
      <c r="V54" s="844"/>
    </row>
    <row r="55" spans="2:22" ht="14.1">
      <c r="B55" s="40" t="s">
        <v>370</v>
      </c>
      <c r="C55" s="773" t="s">
        <v>371</v>
      </c>
      <c r="E55" s="19" t="s">
        <v>372</v>
      </c>
      <c r="G55" s="839"/>
      <c r="H55" s="844" t="s">
        <v>339</v>
      </c>
      <c r="I55" s="844"/>
      <c r="J55" s="844"/>
      <c r="K55" s="844" t="s">
        <v>339</v>
      </c>
      <c r="L55" s="844"/>
      <c r="M55" s="844"/>
      <c r="N55" s="844"/>
      <c r="O55" s="844" t="s">
        <v>373</v>
      </c>
      <c r="P55" s="844"/>
      <c r="Q55" s="844"/>
      <c r="R55" s="844"/>
      <c r="S55" s="844"/>
      <c r="T55" s="844"/>
      <c r="U55" s="844"/>
      <c r="V55" s="844"/>
    </row>
    <row r="56" spans="2:22" ht="12.95">
      <c r="G56" s="839"/>
      <c r="H56" s="844"/>
      <c r="I56" s="844"/>
      <c r="J56" s="844"/>
      <c r="K56" s="844"/>
      <c r="L56" s="844"/>
      <c r="M56" s="844"/>
      <c r="N56" s="844"/>
      <c r="O56" s="844"/>
      <c r="P56" s="844"/>
      <c r="Q56" s="844"/>
      <c r="R56" s="844"/>
      <c r="S56" s="844"/>
      <c r="T56" s="844"/>
      <c r="U56" s="844"/>
      <c r="V56" s="844"/>
    </row>
    <row r="57" spans="2:22" ht="32.25" customHeight="1">
      <c r="E57" s="19" t="s">
        <v>374</v>
      </c>
      <c r="G57" s="839"/>
      <c r="H57" s="844" t="s">
        <v>339</v>
      </c>
      <c r="I57" s="844"/>
      <c r="J57" s="844"/>
      <c r="K57" s="844" t="s">
        <v>375</v>
      </c>
      <c r="L57" s="844"/>
      <c r="M57" s="844"/>
      <c r="N57" s="844"/>
      <c r="O57" s="844" t="s">
        <v>376</v>
      </c>
      <c r="P57" s="844"/>
      <c r="Q57" s="844"/>
      <c r="R57" s="844"/>
      <c r="S57" s="844"/>
      <c r="T57" s="844"/>
      <c r="U57" s="844"/>
      <c r="V57" s="844"/>
    </row>
    <row r="58" spans="2:22" ht="12.95">
      <c r="G58" s="839"/>
      <c r="H58" s="844"/>
      <c r="I58" s="844"/>
      <c r="J58" s="844"/>
      <c r="K58" s="844"/>
      <c r="L58" s="844"/>
      <c r="M58" s="844"/>
      <c r="N58" s="844"/>
      <c r="O58" s="844"/>
      <c r="P58" s="844"/>
      <c r="Q58" s="844"/>
      <c r="R58" s="844"/>
      <c r="S58" s="844"/>
      <c r="T58" s="844"/>
      <c r="U58" s="844"/>
      <c r="V58" s="844"/>
    </row>
    <row r="59" spans="2:22" ht="20.25" customHeight="1">
      <c r="E59" s="19" t="s">
        <v>377</v>
      </c>
      <c r="G59" s="843"/>
      <c r="H59" s="844" t="s">
        <v>339</v>
      </c>
      <c r="I59" s="844"/>
      <c r="J59" s="844"/>
      <c r="K59" s="844" t="s">
        <v>339</v>
      </c>
      <c r="L59" s="844"/>
      <c r="M59" s="844"/>
      <c r="N59" s="844"/>
      <c r="O59" s="844" t="s">
        <v>378</v>
      </c>
      <c r="P59" s="844"/>
      <c r="Q59" s="844"/>
      <c r="R59" s="844"/>
      <c r="S59" s="844"/>
      <c r="T59" s="844"/>
      <c r="U59" s="844"/>
      <c r="V59" s="844"/>
    </row>
    <row r="60" spans="2:22" ht="20.25" customHeight="1">
      <c r="G60" s="843"/>
      <c r="H60" s="844"/>
      <c r="I60" s="844"/>
      <c r="J60" s="844"/>
      <c r="K60" s="844"/>
      <c r="L60" s="844"/>
      <c r="M60" s="844"/>
      <c r="N60" s="844"/>
      <c r="O60" s="844"/>
      <c r="P60" s="844"/>
      <c r="Q60" s="844"/>
      <c r="R60" s="844"/>
      <c r="S60" s="844"/>
      <c r="T60" s="844"/>
      <c r="U60" s="844"/>
      <c r="V60" s="844"/>
    </row>
    <row r="61" spans="2:22" ht="15" customHeight="1">
      <c r="E61" s="19" t="s">
        <v>379</v>
      </c>
      <c r="G61" s="849"/>
      <c r="H61" s="844" t="s">
        <v>339</v>
      </c>
      <c r="I61" s="844"/>
      <c r="J61" s="844"/>
      <c r="K61" s="841" t="s">
        <v>380</v>
      </c>
      <c r="L61" s="841"/>
      <c r="M61" s="841"/>
      <c r="N61" s="841"/>
      <c r="O61" s="842" t="s">
        <v>381</v>
      </c>
      <c r="P61" s="842"/>
      <c r="Q61" s="842"/>
      <c r="R61" s="842"/>
      <c r="S61" s="842"/>
      <c r="T61" s="842"/>
      <c r="U61" s="842"/>
      <c r="V61" s="842"/>
    </row>
    <row r="62" spans="2:22" ht="12.95">
      <c r="G62" s="849"/>
      <c r="H62" s="844"/>
      <c r="I62" s="844"/>
      <c r="J62" s="844"/>
      <c r="K62" s="841"/>
      <c r="L62" s="841"/>
      <c r="M62" s="841"/>
      <c r="N62" s="841"/>
      <c r="O62" s="842"/>
      <c r="P62" s="842"/>
      <c r="Q62" s="842"/>
      <c r="R62" s="842"/>
      <c r="S62" s="842"/>
      <c r="T62" s="842"/>
      <c r="U62" s="842"/>
      <c r="V62" s="842"/>
    </row>
    <row r="63" spans="2:22" ht="27.75" customHeight="1">
      <c r="E63" s="19" t="s">
        <v>382</v>
      </c>
      <c r="G63" s="849"/>
      <c r="H63" s="841" t="s">
        <v>383</v>
      </c>
      <c r="I63" s="841"/>
      <c r="J63" s="841"/>
      <c r="K63" s="844" t="s">
        <v>384</v>
      </c>
      <c r="L63" s="844"/>
      <c r="M63" s="844"/>
      <c r="N63" s="844"/>
      <c r="O63" s="844" t="s">
        <v>339</v>
      </c>
      <c r="P63" s="844"/>
      <c r="Q63" s="844"/>
      <c r="R63" s="844"/>
      <c r="S63" s="844"/>
      <c r="T63" s="844"/>
      <c r="U63" s="844"/>
      <c r="V63" s="844"/>
    </row>
    <row r="64" spans="2:22" ht="27.75" customHeight="1">
      <c r="G64" s="849"/>
      <c r="H64" s="841"/>
      <c r="I64" s="841"/>
      <c r="J64" s="841"/>
      <c r="K64" s="844"/>
      <c r="L64" s="844"/>
      <c r="M64" s="844"/>
      <c r="N64" s="844"/>
      <c r="O64" s="844"/>
      <c r="P64" s="844"/>
      <c r="Q64" s="844"/>
      <c r="R64" s="844"/>
      <c r="S64" s="844"/>
      <c r="T64" s="844"/>
      <c r="U64" s="844"/>
      <c r="V64" s="844"/>
    </row>
    <row r="65" spans="2:22" ht="24" customHeight="1">
      <c r="E65" s="19" t="s">
        <v>385</v>
      </c>
      <c r="G65" s="843"/>
      <c r="H65" s="850" t="s">
        <v>386</v>
      </c>
      <c r="I65" s="844"/>
      <c r="J65" s="844"/>
      <c r="K65" s="844" t="s">
        <v>387</v>
      </c>
      <c r="L65" s="844"/>
      <c r="M65" s="844"/>
      <c r="N65" s="844"/>
      <c r="O65" s="844" t="s">
        <v>388</v>
      </c>
      <c r="P65" s="844"/>
      <c r="Q65" s="844"/>
      <c r="R65" s="844"/>
      <c r="S65" s="844"/>
      <c r="T65" s="844"/>
      <c r="U65" s="844"/>
      <c r="V65" s="844"/>
    </row>
    <row r="66" spans="2:22" ht="32.25" customHeight="1">
      <c r="G66" s="843"/>
      <c r="H66" s="844"/>
      <c r="I66" s="844"/>
      <c r="J66" s="844"/>
      <c r="K66" s="844"/>
      <c r="L66" s="844"/>
      <c r="M66" s="844"/>
      <c r="N66" s="844"/>
      <c r="O66" s="844"/>
      <c r="P66" s="844"/>
      <c r="Q66" s="844"/>
      <c r="R66" s="844"/>
      <c r="S66" s="844"/>
      <c r="T66" s="844"/>
      <c r="U66" s="844"/>
      <c r="V66" s="844"/>
    </row>
    <row r="67" spans="2:22" ht="14.1">
      <c r="E67" s="19" t="s">
        <v>389</v>
      </c>
      <c r="G67" s="843"/>
      <c r="H67" s="844" t="s">
        <v>339</v>
      </c>
      <c r="I67" s="844"/>
      <c r="J67" s="844"/>
      <c r="K67" s="844" t="s">
        <v>339</v>
      </c>
      <c r="L67" s="844"/>
      <c r="M67" s="844"/>
      <c r="N67" s="844"/>
      <c r="O67" s="844" t="s">
        <v>390</v>
      </c>
      <c r="P67" s="844"/>
      <c r="Q67" s="844"/>
      <c r="R67" s="844"/>
      <c r="S67" s="844"/>
      <c r="T67" s="844"/>
      <c r="U67" s="844"/>
      <c r="V67" s="844"/>
    </row>
    <row r="68" spans="2:22" ht="14.1">
      <c r="E68" s="19"/>
      <c r="G68" s="843"/>
      <c r="H68" s="844"/>
      <c r="I68" s="844"/>
      <c r="J68" s="844"/>
      <c r="K68" s="844"/>
      <c r="L68" s="844"/>
      <c r="M68" s="844"/>
      <c r="N68" s="844"/>
      <c r="O68" s="844"/>
      <c r="P68" s="844"/>
      <c r="Q68" s="844"/>
      <c r="R68" s="844"/>
      <c r="S68" s="844"/>
      <c r="T68" s="844"/>
      <c r="U68" s="844"/>
      <c r="V68" s="844"/>
    </row>
    <row r="69" spans="2:22" ht="33" customHeight="1">
      <c r="E69" s="19" t="s">
        <v>391</v>
      </c>
      <c r="G69" s="839"/>
      <c r="H69" s="844" t="s">
        <v>339</v>
      </c>
      <c r="I69" s="844"/>
      <c r="J69" s="844"/>
      <c r="K69" s="844" t="s">
        <v>339</v>
      </c>
      <c r="L69" s="844"/>
      <c r="M69" s="844"/>
      <c r="N69" s="844"/>
      <c r="O69" s="844" t="s">
        <v>392</v>
      </c>
      <c r="P69" s="844"/>
      <c r="Q69" s="844"/>
      <c r="R69" s="844"/>
      <c r="S69" s="844"/>
      <c r="T69" s="844"/>
      <c r="U69" s="844"/>
      <c r="V69" s="844"/>
    </row>
    <row r="70" spans="2:22" ht="12.95">
      <c r="G70" s="839"/>
      <c r="H70" s="844"/>
      <c r="I70" s="844"/>
      <c r="J70" s="844"/>
      <c r="K70" s="844"/>
      <c r="L70" s="844"/>
      <c r="M70" s="844"/>
      <c r="N70" s="844"/>
      <c r="O70" s="844"/>
      <c r="P70" s="844"/>
      <c r="Q70" s="844"/>
      <c r="R70" s="844"/>
      <c r="S70" s="844"/>
      <c r="T70" s="844"/>
      <c r="U70" s="844"/>
      <c r="V70" s="844"/>
    </row>
    <row r="71" spans="2:22" ht="15.6">
      <c r="E71" s="48" t="s">
        <v>393</v>
      </c>
      <c r="F71" s="48"/>
      <c r="G71" s="48"/>
      <c r="H71" s="48"/>
      <c r="I71" s="48"/>
      <c r="J71" s="48"/>
      <c r="K71" s="48"/>
      <c r="L71" s="48"/>
      <c r="M71" s="48"/>
      <c r="N71" s="48"/>
      <c r="O71" s="48"/>
      <c r="P71" s="48"/>
      <c r="Q71" s="48"/>
      <c r="R71" s="48"/>
      <c r="S71" s="48"/>
      <c r="T71" s="48"/>
      <c r="U71" s="48"/>
      <c r="V71" s="48"/>
    </row>
    <row r="72" spans="2:22" customFormat="1" ht="3.95" customHeight="1">
      <c r="B72" s="40"/>
      <c r="C72" s="39"/>
      <c r="D72" s="40"/>
      <c r="E72" s="49"/>
      <c r="F72" s="49"/>
      <c r="G72" s="49"/>
      <c r="H72" s="49"/>
      <c r="I72" s="49"/>
      <c r="J72" s="49"/>
      <c r="K72" s="49"/>
      <c r="L72" s="49"/>
      <c r="M72" s="49"/>
      <c r="N72" s="49"/>
      <c r="O72" s="49"/>
      <c r="P72" s="49"/>
      <c r="Q72" s="49"/>
      <c r="R72" s="49"/>
      <c r="S72" s="49"/>
      <c r="T72" s="49"/>
      <c r="U72" s="49"/>
      <c r="V72" s="49"/>
    </row>
    <row r="73" spans="2:22" ht="13.5" thickBot="1">
      <c r="E73" s="50"/>
      <c r="F73" s="50"/>
      <c r="G73" s="51" t="s">
        <v>317</v>
      </c>
      <c r="H73" s="51" t="s">
        <v>333</v>
      </c>
      <c r="I73" s="51"/>
      <c r="J73" s="51"/>
      <c r="K73" s="51" t="s">
        <v>334</v>
      </c>
      <c r="L73" s="51"/>
      <c r="M73" s="51"/>
      <c r="N73" s="51"/>
      <c r="O73" s="51" t="s">
        <v>335</v>
      </c>
      <c r="P73" s="50"/>
      <c r="Q73" s="50"/>
      <c r="R73" s="50"/>
      <c r="S73" s="50"/>
      <c r="T73" s="50"/>
      <c r="U73" s="50"/>
      <c r="V73" s="50"/>
    </row>
    <row r="74" spans="2:22" ht="25.5" customHeight="1">
      <c r="E74" s="19" t="s">
        <v>394</v>
      </c>
      <c r="G74" s="851"/>
      <c r="H74" s="852" t="s">
        <v>339</v>
      </c>
      <c r="I74" s="852"/>
      <c r="J74" s="852"/>
      <c r="K74" s="848" t="s">
        <v>395</v>
      </c>
      <c r="L74" s="848"/>
      <c r="M74" s="848"/>
      <c r="N74" s="848"/>
      <c r="O74" s="848" t="s">
        <v>396</v>
      </c>
      <c r="P74" s="848"/>
      <c r="Q74" s="848"/>
      <c r="R74" s="848"/>
      <c r="S74" s="848"/>
      <c r="T74" s="848"/>
      <c r="U74" s="848"/>
      <c r="V74" s="848"/>
    </row>
    <row r="75" spans="2:22" ht="25.5" customHeight="1">
      <c r="G75" s="846"/>
      <c r="H75" s="841"/>
      <c r="I75" s="841"/>
      <c r="J75" s="841"/>
      <c r="K75" s="844"/>
      <c r="L75" s="844"/>
      <c r="M75" s="844"/>
      <c r="N75" s="844"/>
      <c r="O75" s="844"/>
      <c r="P75" s="844"/>
      <c r="Q75" s="844"/>
      <c r="R75" s="844"/>
      <c r="S75" s="844"/>
      <c r="T75" s="844"/>
      <c r="U75" s="844"/>
      <c r="V75" s="844"/>
    </row>
    <row r="76" spans="2:22" ht="14.1" customHeight="1">
      <c r="E76" s="19" t="s">
        <v>397</v>
      </c>
      <c r="G76" s="843"/>
      <c r="H76" s="844" t="s">
        <v>398</v>
      </c>
      <c r="I76" s="844"/>
      <c r="J76" s="844"/>
      <c r="K76" s="844" t="s">
        <v>399</v>
      </c>
      <c r="L76" s="844"/>
      <c r="M76" s="844"/>
      <c r="N76" s="844"/>
      <c r="O76" s="842" t="s">
        <v>400</v>
      </c>
      <c r="P76" s="842"/>
      <c r="Q76" s="842"/>
      <c r="R76" s="842"/>
      <c r="S76" s="842"/>
      <c r="T76" s="842"/>
      <c r="U76" s="842"/>
      <c r="V76" s="842"/>
    </row>
    <row r="77" spans="2:22" ht="12.6" customHeight="1">
      <c r="G77" s="843"/>
      <c r="H77" s="844"/>
      <c r="I77" s="844"/>
      <c r="J77" s="844"/>
      <c r="K77" s="844"/>
      <c r="L77" s="844"/>
      <c r="M77" s="844"/>
      <c r="N77" s="844"/>
      <c r="O77" s="842"/>
      <c r="P77" s="842"/>
      <c r="Q77" s="842"/>
      <c r="R77" s="842"/>
      <c r="S77" s="842"/>
      <c r="T77" s="842"/>
      <c r="U77" s="842"/>
      <c r="V77" s="842"/>
    </row>
    <row r="78" spans="2:22" ht="14.1" customHeight="1">
      <c r="E78" s="19" t="s">
        <v>401</v>
      </c>
      <c r="G78" s="843"/>
      <c r="H78" s="844" t="s">
        <v>339</v>
      </c>
      <c r="I78" s="844"/>
      <c r="J78" s="844"/>
      <c r="K78" s="844" t="s">
        <v>402</v>
      </c>
      <c r="L78" s="844"/>
      <c r="M78" s="844"/>
      <c r="N78" s="844"/>
      <c r="O78" s="842" t="s">
        <v>403</v>
      </c>
      <c r="P78" s="842"/>
      <c r="Q78" s="842"/>
      <c r="R78" s="842"/>
      <c r="S78" s="842"/>
      <c r="T78" s="842"/>
      <c r="U78" s="842"/>
      <c r="V78" s="842"/>
    </row>
    <row r="79" spans="2:22" ht="12.6" customHeight="1">
      <c r="G79" s="843"/>
      <c r="H79" s="844"/>
      <c r="I79" s="844"/>
      <c r="J79" s="844"/>
      <c r="K79" s="844"/>
      <c r="L79" s="844"/>
      <c r="M79" s="844"/>
      <c r="N79" s="844"/>
      <c r="O79" s="842"/>
      <c r="P79" s="842"/>
      <c r="Q79" s="842"/>
      <c r="R79" s="842"/>
      <c r="S79" s="842"/>
      <c r="T79" s="842"/>
      <c r="U79" s="842"/>
      <c r="V79" s="842"/>
    </row>
    <row r="80" spans="2:22" ht="14.1" customHeight="1">
      <c r="E80" s="19" t="s">
        <v>404</v>
      </c>
      <c r="G80" s="839"/>
      <c r="H80" s="844" t="s">
        <v>339</v>
      </c>
      <c r="I80" s="844"/>
      <c r="J80" s="844"/>
      <c r="K80" s="844" t="s">
        <v>339</v>
      </c>
      <c r="L80" s="844"/>
      <c r="M80" s="844"/>
      <c r="N80" s="844"/>
      <c r="O80" s="842" t="s">
        <v>405</v>
      </c>
      <c r="P80" s="842"/>
      <c r="Q80" s="842"/>
      <c r="R80" s="842"/>
      <c r="S80" s="842"/>
      <c r="T80" s="842"/>
      <c r="U80" s="842"/>
      <c r="V80" s="842"/>
    </row>
    <row r="81" spans="5:23" ht="12.6" customHeight="1">
      <c r="G81" s="839"/>
      <c r="H81" s="844"/>
      <c r="I81" s="844"/>
      <c r="J81" s="844"/>
      <c r="K81" s="844"/>
      <c r="L81" s="844"/>
      <c r="M81" s="844"/>
      <c r="N81" s="844"/>
      <c r="O81" s="842"/>
      <c r="P81" s="842"/>
      <c r="Q81" s="842"/>
      <c r="R81" s="842"/>
      <c r="S81" s="842"/>
      <c r="T81" s="842"/>
      <c r="U81" s="842"/>
      <c r="V81" s="842"/>
    </row>
    <row r="82" spans="5:23" ht="14.1">
      <c r="E82" s="19" t="s">
        <v>406</v>
      </c>
      <c r="G82" s="853"/>
      <c r="H82" s="844" t="s">
        <v>339</v>
      </c>
      <c r="I82" s="844"/>
      <c r="J82" s="844"/>
      <c r="K82" s="844" t="s">
        <v>407</v>
      </c>
      <c r="L82" s="844"/>
      <c r="M82" s="844"/>
      <c r="N82" s="844"/>
      <c r="O82" s="842" t="s">
        <v>408</v>
      </c>
      <c r="P82" s="842"/>
      <c r="Q82" s="842"/>
      <c r="R82" s="842"/>
      <c r="S82" s="842"/>
      <c r="T82" s="842"/>
      <c r="U82" s="842"/>
      <c r="V82" s="842"/>
    </row>
    <row r="83" spans="5:23" ht="12.95">
      <c r="G83" s="853"/>
      <c r="H83" s="844"/>
      <c r="I83" s="844"/>
      <c r="J83" s="844"/>
      <c r="K83" s="844"/>
      <c r="L83" s="844"/>
      <c r="M83" s="844"/>
      <c r="N83" s="844"/>
      <c r="O83" s="842"/>
      <c r="P83" s="842"/>
      <c r="Q83" s="842"/>
      <c r="R83" s="842"/>
      <c r="S83" s="842"/>
      <c r="T83" s="842"/>
      <c r="U83" s="842"/>
      <c r="V83" s="842"/>
    </row>
    <row r="84" spans="5:23" ht="14.1" customHeight="1">
      <c r="E84" s="19" t="s">
        <v>409</v>
      </c>
      <c r="G84" s="849"/>
      <c r="H84" s="844" t="s">
        <v>339</v>
      </c>
      <c r="I84" s="844"/>
      <c r="J84" s="844"/>
      <c r="K84" s="844" t="s">
        <v>339</v>
      </c>
      <c r="L84" s="844"/>
      <c r="M84" s="844"/>
      <c r="N84" s="844"/>
      <c r="O84" s="842" t="s">
        <v>410</v>
      </c>
      <c r="P84" s="842"/>
      <c r="Q84" s="842"/>
      <c r="R84" s="842"/>
      <c r="S84" s="842"/>
      <c r="T84" s="842"/>
      <c r="U84" s="842"/>
      <c r="V84" s="842"/>
    </row>
    <row r="85" spans="5:23" ht="12.6" customHeight="1">
      <c r="G85" s="849"/>
      <c r="H85" s="844"/>
      <c r="I85" s="844"/>
      <c r="J85" s="844"/>
      <c r="K85" s="844"/>
      <c r="L85" s="844"/>
      <c r="M85" s="844"/>
      <c r="N85" s="844"/>
      <c r="O85" s="842"/>
      <c r="P85" s="842"/>
      <c r="Q85" s="842"/>
      <c r="R85" s="842"/>
      <c r="S85" s="842"/>
      <c r="T85" s="842"/>
      <c r="U85" s="842"/>
      <c r="V85" s="842"/>
    </row>
    <row r="86" spans="5:23" ht="14.1" customHeight="1">
      <c r="E86" s="19" t="s">
        <v>411</v>
      </c>
      <c r="G86" s="849"/>
      <c r="H86" s="844" t="s">
        <v>339</v>
      </c>
      <c r="I86" s="844"/>
      <c r="J86" s="844"/>
      <c r="K86" s="844" t="s">
        <v>339</v>
      </c>
      <c r="L86" s="844"/>
      <c r="M86" s="844"/>
      <c r="N86" s="844"/>
      <c r="P86" s="842" t="s">
        <v>412</v>
      </c>
      <c r="Q86" s="842"/>
      <c r="R86" s="842"/>
      <c r="S86" s="842"/>
      <c r="T86" s="842"/>
      <c r="U86" s="842"/>
      <c r="V86" s="842"/>
      <c r="W86" s="842"/>
    </row>
    <row r="87" spans="5:23" ht="12.6" customHeight="1">
      <c r="G87" s="849"/>
      <c r="H87" s="844"/>
      <c r="I87" s="844"/>
      <c r="J87" s="844"/>
      <c r="K87" s="844"/>
      <c r="L87" s="844"/>
      <c r="M87" s="844"/>
      <c r="N87" s="844"/>
      <c r="P87" s="842"/>
      <c r="Q87" s="842"/>
      <c r="R87" s="842"/>
      <c r="S87" s="842"/>
      <c r="T87" s="842"/>
      <c r="U87" s="842"/>
      <c r="V87" s="842"/>
      <c r="W87" s="842"/>
    </row>
    <row r="88" spans="5:23" ht="14.1" customHeight="1">
      <c r="E88" s="19" t="s">
        <v>413</v>
      </c>
      <c r="G88" s="843"/>
      <c r="H88" s="844" t="s">
        <v>339</v>
      </c>
      <c r="I88" s="844"/>
      <c r="J88" s="844"/>
      <c r="K88" s="844" t="s">
        <v>339</v>
      </c>
      <c r="L88" s="844"/>
      <c r="M88" s="844"/>
      <c r="N88" s="844"/>
      <c r="P88" s="40" t="s">
        <v>414</v>
      </c>
    </row>
    <row r="89" spans="5:23" ht="13.35" customHeight="1">
      <c r="E89" s="19"/>
      <c r="G89" s="843"/>
      <c r="H89" s="844"/>
      <c r="I89" s="844"/>
      <c r="J89" s="844"/>
      <c r="K89" s="844"/>
      <c r="L89" s="844"/>
      <c r="M89" s="844"/>
      <c r="N89" s="844"/>
    </row>
    <row r="90" spans="5:23" ht="14.1" customHeight="1">
      <c r="E90" s="19" t="s">
        <v>415</v>
      </c>
      <c r="G90" s="843"/>
      <c r="H90" s="844" t="s">
        <v>339</v>
      </c>
      <c r="I90" s="844"/>
      <c r="J90" s="844"/>
      <c r="K90" s="844" t="s">
        <v>339</v>
      </c>
      <c r="L90" s="844"/>
      <c r="M90" s="844"/>
      <c r="N90" s="844"/>
      <c r="O90" s="842" t="s">
        <v>416</v>
      </c>
      <c r="P90" s="842"/>
      <c r="Q90" s="842"/>
      <c r="R90" s="842"/>
      <c r="S90" s="842"/>
      <c r="T90" s="842"/>
      <c r="U90" s="842"/>
      <c r="V90" s="842"/>
    </row>
    <row r="91" spans="5:23" ht="14.1" customHeight="1">
      <c r="E91" s="19"/>
      <c r="G91" s="843"/>
      <c r="H91" s="844"/>
      <c r="I91" s="844"/>
      <c r="J91" s="844"/>
      <c r="K91" s="844"/>
      <c r="L91" s="844"/>
      <c r="M91" s="844"/>
      <c r="N91" s="844"/>
      <c r="O91" s="842"/>
      <c r="P91" s="842"/>
      <c r="Q91" s="842"/>
      <c r="R91" s="842"/>
      <c r="S91" s="842"/>
      <c r="T91" s="842"/>
      <c r="U91" s="842"/>
      <c r="V91" s="842"/>
    </row>
    <row r="92" spans="5:23" ht="14.1" customHeight="1">
      <c r="E92" s="19" t="s">
        <v>417</v>
      </c>
      <c r="G92" s="843"/>
      <c r="H92" s="844" t="s">
        <v>339</v>
      </c>
      <c r="I92" s="844"/>
      <c r="J92" s="844"/>
      <c r="K92" s="840" t="s">
        <v>418</v>
      </c>
      <c r="L92" s="840"/>
      <c r="M92" s="840"/>
      <c r="N92" s="840"/>
      <c r="O92" s="842" t="s">
        <v>419</v>
      </c>
      <c r="P92" s="842"/>
      <c r="Q92" s="842"/>
      <c r="R92" s="842"/>
      <c r="S92" s="842"/>
      <c r="T92" s="842"/>
      <c r="U92" s="842"/>
      <c r="V92" s="842"/>
    </row>
    <row r="93" spans="5:23" ht="12.6" customHeight="1">
      <c r="G93" s="843"/>
      <c r="H93" s="844"/>
      <c r="I93" s="844"/>
      <c r="J93" s="844"/>
      <c r="K93" s="840"/>
      <c r="L93" s="840"/>
      <c r="M93" s="840"/>
      <c r="N93" s="840"/>
      <c r="O93" s="842"/>
      <c r="P93" s="842"/>
      <c r="Q93" s="842"/>
      <c r="R93" s="842"/>
      <c r="S93" s="842"/>
      <c r="T93" s="842"/>
      <c r="U93" s="842"/>
      <c r="V93" s="842"/>
    </row>
    <row r="94" spans="5:23" ht="14.1" customHeight="1">
      <c r="E94" s="19" t="s">
        <v>420</v>
      </c>
      <c r="G94" s="843"/>
      <c r="H94" s="844" t="s">
        <v>421</v>
      </c>
      <c r="I94" s="844"/>
      <c r="J94" s="844"/>
      <c r="K94" s="841" t="s">
        <v>422</v>
      </c>
      <c r="L94" s="841"/>
      <c r="M94" s="841"/>
      <c r="N94" s="841"/>
      <c r="O94" s="842" t="s">
        <v>339</v>
      </c>
      <c r="P94" s="842"/>
      <c r="Q94" s="842"/>
      <c r="R94" s="842"/>
      <c r="S94" s="842"/>
      <c r="T94" s="842"/>
      <c r="U94" s="842"/>
      <c r="V94" s="842"/>
    </row>
    <row r="95" spans="5:23" ht="12.6" customHeight="1">
      <c r="G95" s="843"/>
      <c r="H95" s="844"/>
      <c r="I95" s="844"/>
      <c r="J95" s="844"/>
      <c r="K95" s="841"/>
      <c r="L95" s="841"/>
      <c r="M95" s="841"/>
      <c r="N95" s="841"/>
      <c r="O95" s="842"/>
      <c r="P95" s="842"/>
      <c r="Q95" s="842"/>
      <c r="R95" s="842"/>
      <c r="S95" s="842"/>
      <c r="T95" s="842"/>
      <c r="U95" s="842"/>
      <c r="V95" s="842"/>
    </row>
  </sheetData>
  <mergeCells count="121">
    <mergeCell ref="G94:G95"/>
    <mergeCell ref="H94:J95"/>
    <mergeCell ref="K94:N95"/>
    <mergeCell ref="O94:V95"/>
    <mergeCell ref="G90:G91"/>
    <mergeCell ref="H90:J91"/>
    <mergeCell ref="K90:N91"/>
    <mergeCell ref="O90:V91"/>
    <mergeCell ref="G92:G93"/>
    <mergeCell ref="H92:J93"/>
    <mergeCell ref="K92:N93"/>
    <mergeCell ref="O92:V93"/>
    <mergeCell ref="G86:G87"/>
    <mergeCell ref="H86:J87"/>
    <mergeCell ref="K86:N87"/>
    <mergeCell ref="O84:V85"/>
    <mergeCell ref="G88:G89"/>
    <mergeCell ref="H88:J89"/>
    <mergeCell ref="K88:N89"/>
    <mergeCell ref="P86:W87"/>
    <mergeCell ref="G82:G83"/>
    <mergeCell ref="H82:J83"/>
    <mergeCell ref="K82:N83"/>
    <mergeCell ref="O82:V83"/>
    <mergeCell ref="G84:G85"/>
    <mergeCell ref="H84:J85"/>
    <mergeCell ref="K84:N85"/>
    <mergeCell ref="G78:G79"/>
    <mergeCell ref="H78:J79"/>
    <mergeCell ref="K78:N79"/>
    <mergeCell ref="O78:V79"/>
    <mergeCell ref="G80:G81"/>
    <mergeCell ref="H80:J81"/>
    <mergeCell ref="K80:N81"/>
    <mergeCell ref="O80:V81"/>
    <mergeCell ref="G74:G75"/>
    <mergeCell ref="H74:J75"/>
    <mergeCell ref="K74:N75"/>
    <mergeCell ref="O74:V75"/>
    <mergeCell ref="G76:G77"/>
    <mergeCell ref="H76:J77"/>
    <mergeCell ref="K76:N77"/>
    <mergeCell ref="O76:V77"/>
    <mergeCell ref="G67:G68"/>
    <mergeCell ref="H67:J68"/>
    <mergeCell ref="K67:N68"/>
    <mergeCell ref="O67:V68"/>
    <mergeCell ref="G69:G70"/>
    <mergeCell ref="H69:J70"/>
    <mergeCell ref="K69:N70"/>
    <mergeCell ref="O69:V70"/>
    <mergeCell ref="G63:G64"/>
    <mergeCell ref="H63:J64"/>
    <mergeCell ref="K63:N64"/>
    <mergeCell ref="O63:V64"/>
    <mergeCell ref="G65:G66"/>
    <mergeCell ref="H65:J66"/>
    <mergeCell ref="K65:N66"/>
    <mergeCell ref="O65:V66"/>
    <mergeCell ref="G59:G60"/>
    <mergeCell ref="H59:J60"/>
    <mergeCell ref="K59:N60"/>
    <mergeCell ref="O59:V60"/>
    <mergeCell ref="G61:G62"/>
    <mergeCell ref="H61:J62"/>
    <mergeCell ref="K61:N62"/>
    <mergeCell ref="O61:V62"/>
    <mergeCell ref="G55:G56"/>
    <mergeCell ref="H55:J56"/>
    <mergeCell ref="K55:N56"/>
    <mergeCell ref="O55:V56"/>
    <mergeCell ref="G57:G58"/>
    <mergeCell ref="H57:J58"/>
    <mergeCell ref="K57:N58"/>
    <mergeCell ref="O57:V58"/>
    <mergeCell ref="G51:G52"/>
    <mergeCell ref="H51:J52"/>
    <mergeCell ref="K51:N52"/>
    <mergeCell ref="O51:V52"/>
    <mergeCell ref="G53:G54"/>
    <mergeCell ref="H53:J54"/>
    <mergeCell ref="K53:N54"/>
    <mergeCell ref="O53:V54"/>
    <mergeCell ref="G49:G50"/>
    <mergeCell ref="H49:J50"/>
    <mergeCell ref="K49:N50"/>
    <mergeCell ref="O49:V50"/>
    <mergeCell ref="G23:L23"/>
    <mergeCell ref="P23:U23"/>
    <mergeCell ref="B30:C45"/>
    <mergeCell ref="G36:G37"/>
    <mergeCell ref="H36:J37"/>
    <mergeCell ref="K36:N37"/>
    <mergeCell ref="O36:V37"/>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K42:N43"/>
    <mergeCell ref="O42:V43"/>
    <mergeCell ref="G17:L18"/>
    <mergeCell ref="G19:L20"/>
    <mergeCell ref="G21:L22"/>
    <mergeCell ref="P21:U22"/>
    <mergeCell ref="G5:L6"/>
    <mergeCell ref="N5:Q14"/>
    <mergeCell ref="R5:U14"/>
    <mergeCell ref="G7:L8"/>
    <mergeCell ref="G9:L10"/>
    <mergeCell ref="G11:L12"/>
    <mergeCell ref="G13:L14"/>
  </mergeCells>
  <dataValidations count="1">
    <dataValidation type="list" allowBlank="1" showInputMessage="1" showErrorMessage="1" sqref="F6" xr:uid="{00000000-0002-0000-0400-000000000000}">
      <formula1>#REF!</formula1>
    </dataValidation>
  </dataValidations>
  <hyperlinks>
    <hyperlink ref="C49" r:id="rId1" xr:uid="{9269CA5D-86F7-488F-9FE4-32B07D374E63}"/>
    <hyperlink ref="C51" r:id="rId2" xr:uid="{812CB26E-BA8C-4397-9C1E-88DEF2D155FE}"/>
    <hyperlink ref="C53" r:id="rId3" xr:uid="{FE3DD0A6-C75D-44F4-AB7B-6B3C024CFEEB}"/>
    <hyperlink ref="C55" r:id="rId4" xr:uid="{5D2367B1-6E3A-4045-B40D-56F4AF3CC0FB}"/>
  </hyperlinks>
  <pageMargins left="0.7" right="0.7" top="0.75" bottom="0.75" header="0.3" footer="0.3"/>
  <pageSetup paperSize="9"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2:R86"/>
  <sheetViews>
    <sheetView showGridLines="0" topLeftCell="A35" zoomScale="65" zoomScaleNormal="85" workbookViewId="0">
      <selection activeCell="G21" sqref="G21"/>
    </sheetView>
  </sheetViews>
  <sheetFormatPr defaultRowHeight="14.1"/>
  <cols>
    <col min="1" max="1" width="2.625" customWidth="1"/>
    <col min="2" max="2" width="30.125" bestFit="1" customWidth="1"/>
    <col min="5" max="5" width="30.625" customWidth="1"/>
    <col min="6" max="6" width="13.125" customWidth="1"/>
    <col min="7" max="17" width="11.125" customWidth="1"/>
    <col min="18" max="18" width="20.625" style="6" customWidth="1"/>
  </cols>
  <sheetData>
    <row r="2" spans="1:18" s="34" customFormat="1" ht="20.25" customHeight="1">
      <c r="B2" s="643" t="s">
        <v>423</v>
      </c>
      <c r="R2" s="678"/>
    </row>
    <row r="4" spans="1:18" ht="15.6">
      <c r="A4" t="s">
        <v>424</v>
      </c>
      <c r="B4" s="215" t="s">
        <v>425</v>
      </c>
      <c r="C4" s="52"/>
      <c r="D4" s="52"/>
      <c r="E4" s="52"/>
      <c r="F4" s="52"/>
      <c r="G4" s="216">
        <v>2014</v>
      </c>
      <c r="H4" s="216">
        <f>+G4+1</f>
        <v>2015</v>
      </c>
      <c r="I4" s="216">
        <f t="shared" ref="I4:M4" si="0">+H4+1</f>
        <v>2016</v>
      </c>
      <c r="J4" s="216">
        <f t="shared" si="0"/>
        <v>2017</v>
      </c>
      <c r="K4" s="216">
        <f t="shared" si="0"/>
        <v>2018</v>
      </c>
      <c r="L4" s="216">
        <f t="shared" si="0"/>
        <v>2019</v>
      </c>
      <c r="M4" s="216">
        <f t="shared" si="0"/>
        <v>2020</v>
      </c>
      <c r="N4" s="216">
        <f>+M4+1</f>
        <v>2021</v>
      </c>
      <c r="O4" s="216">
        <f>+N4+1</f>
        <v>2022</v>
      </c>
      <c r="P4" s="216">
        <f t="shared" ref="P4" si="1">+O4+1</f>
        <v>2023</v>
      </c>
      <c r="Q4" s="216">
        <f>+P4+1</f>
        <v>2024</v>
      </c>
      <c r="R4" s="54" t="str">
        <f>"CAGR "&amp;$G$4&amp;" - "&amp;$Q$4</f>
        <v>CAGR 2014 - 2024</v>
      </c>
    </row>
    <row r="5" spans="1:18" ht="3.75" customHeight="1">
      <c r="B5" s="49"/>
      <c r="C5" s="49"/>
      <c r="D5" s="49"/>
      <c r="E5" s="49"/>
      <c r="F5" s="49"/>
      <c r="G5" s="217"/>
      <c r="H5" s="217"/>
      <c r="I5" s="217"/>
      <c r="J5" s="217"/>
      <c r="K5" s="217"/>
      <c r="L5" s="217"/>
      <c r="M5" s="217"/>
      <c r="N5" s="217"/>
      <c r="O5" s="217"/>
      <c r="P5" s="217"/>
      <c r="Q5" s="217"/>
      <c r="R5" s="56"/>
    </row>
    <row r="6" spans="1:18">
      <c r="B6" t="str">
        <f ca="1">+Peers!B6</f>
        <v>INTEL CORPORATION</v>
      </c>
      <c r="G6" s="754">
        <v>1041</v>
      </c>
      <c r="H6" s="754">
        <v>1052.5999999999999</v>
      </c>
      <c r="I6" s="755">
        <v>976</v>
      </c>
      <c r="J6" s="754">
        <v>1490</v>
      </c>
      <c r="K6" s="755">
        <v>940</v>
      </c>
      <c r="L6" s="754">
        <v>900</v>
      </c>
      <c r="M6" s="754">
        <v>1040</v>
      </c>
      <c r="N6" s="754">
        <v>1150</v>
      </c>
      <c r="O6" s="754">
        <v>1180</v>
      </c>
      <c r="P6" s="755">
        <v>845</v>
      </c>
      <c r="Q6" s="755"/>
      <c r="R6" s="679">
        <f t="shared" ref="R6:R16" si="2">IFERROR((Q6/G6)^(1/COUNT($G$4:$Q$4))-1,"")</f>
        <v>-1</v>
      </c>
    </row>
    <row r="7" spans="1:18">
      <c r="B7" s="647" t="str">
        <f>+Peers!B8</f>
        <v>NVIDIA</v>
      </c>
      <c r="C7" s="647"/>
      <c r="D7" s="647"/>
      <c r="E7" s="647"/>
      <c r="F7" s="647"/>
      <c r="G7" s="753">
        <v>2.7</v>
      </c>
      <c r="H7" s="753">
        <v>3.6</v>
      </c>
      <c r="I7" s="753">
        <v>2.4</v>
      </c>
      <c r="J7" s="753">
        <v>2.6</v>
      </c>
      <c r="K7" s="753">
        <v>2.4</v>
      </c>
      <c r="L7" s="753">
        <v>2.7</v>
      </c>
      <c r="M7" s="753">
        <v>2.8</v>
      </c>
      <c r="N7" s="753">
        <v>2.7</v>
      </c>
      <c r="O7" s="753">
        <v>4.5999999999999996</v>
      </c>
      <c r="P7" s="753">
        <v>12.3</v>
      </c>
      <c r="Q7" s="753">
        <v>14.4</v>
      </c>
      <c r="R7" s="680">
        <f t="shared" si="2"/>
        <v>0.16436942662239939</v>
      </c>
    </row>
    <row r="8" spans="1:18">
      <c r="B8" t="str">
        <f>+Peers!B9</f>
        <v>AMD</v>
      </c>
      <c r="G8" s="755">
        <v>55.1</v>
      </c>
      <c r="H8" s="755">
        <v>65.8</v>
      </c>
      <c r="I8" s="755">
        <v>2.6</v>
      </c>
      <c r="J8" s="755">
        <v>4.0999999999999996</v>
      </c>
      <c r="K8" s="755">
        <v>3.2</v>
      </c>
      <c r="L8" s="755">
        <v>3.4</v>
      </c>
      <c r="M8" s="755">
        <v>6.4</v>
      </c>
      <c r="N8" s="755">
        <v>6.5</v>
      </c>
      <c r="O8" s="755">
        <v>8.1</v>
      </c>
      <c r="P8" s="755">
        <v>10</v>
      </c>
      <c r="Q8" s="755"/>
      <c r="R8" s="679">
        <f t="shared" si="2"/>
        <v>-1</v>
      </c>
    </row>
    <row r="9" spans="1:18">
      <c r="B9" s="647" t="str">
        <f>+Peers!B10</f>
        <v>Broadcom Inc.</v>
      </c>
      <c r="C9" s="647"/>
      <c r="D9" s="647"/>
      <c r="E9" s="647"/>
      <c r="F9" s="647"/>
      <c r="G9" s="753"/>
      <c r="H9" s="753"/>
      <c r="I9" s="753"/>
      <c r="J9" s="753"/>
      <c r="K9" s="753"/>
      <c r="L9" s="753"/>
      <c r="M9" s="753"/>
      <c r="N9" s="753">
        <v>127.8</v>
      </c>
      <c r="O9" s="753">
        <v>97.2</v>
      </c>
      <c r="P9" s="753">
        <v>58.8</v>
      </c>
      <c r="Q9" s="87"/>
      <c r="R9" s="680" t="str">
        <f t="shared" si="2"/>
        <v/>
      </c>
    </row>
    <row r="10" spans="1:18">
      <c r="B10" t="str">
        <f>+Peers!B11</f>
        <v>ASML</v>
      </c>
      <c r="G10" s="755"/>
      <c r="H10" s="755"/>
      <c r="I10" s="755">
        <v>20.399999999999999</v>
      </c>
      <c r="J10" s="755">
        <v>19</v>
      </c>
      <c r="K10" s="755">
        <v>17.5</v>
      </c>
      <c r="L10" s="755">
        <v>16.899999999999999</v>
      </c>
      <c r="M10" s="755">
        <v>15.4</v>
      </c>
      <c r="N10" s="755">
        <v>19.3</v>
      </c>
      <c r="O10" s="755">
        <v>17.3</v>
      </c>
      <c r="P10" s="755">
        <v>19.2</v>
      </c>
      <c r="Q10" s="755">
        <v>23.5</v>
      </c>
      <c r="R10" s="679" t="str">
        <f t="shared" si="2"/>
        <v/>
      </c>
    </row>
    <row r="11" spans="1:18">
      <c r="B11" s="647" t="str">
        <f>+Peers!B12</f>
        <v/>
      </c>
      <c r="C11" s="647"/>
      <c r="D11" s="647"/>
      <c r="E11" s="647"/>
      <c r="F11" s="647"/>
      <c r="G11" s="648"/>
      <c r="H11" s="648"/>
      <c r="I11" s="648"/>
      <c r="J11" s="648"/>
      <c r="K11" s="648"/>
      <c r="L11" s="648"/>
      <c r="M11" s="648"/>
      <c r="N11" s="648"/>
      <c r="O11" s="648"/>
      <c r="P11" s="648"/>
      <c r="Q11" s="648"/>
      <c r="R11" s="680" t="str">
        <f t="shared" si="2"/>
        <v/>
      </c>
    </row>
    <row r="12" spans="1:18">
      <c r="B12" t="str">
        <f>+Peers!B13</f>
        <v/>
      </c>
      <c r="G12" s="195"/>
      <c r="H12" s="195"/>
      <c r="I12" s="195"/>
      <c r="J12" s="195"/>
      <c r="K12" s="195"/>
      <c r="L12" s="195"/>
      <c r="M12" s="195"/>
      <c r="N12" s="195"/>
      <c r="O12" s="195"/>
      <c r="P12" s="195"/>
      <c r="Q12" s="195"/>
      <c r="R12" s="679" t="str">
        <f t="shared" si="2"/>
        <v/>
      </c>
    </row>
    <row r="13" spans="1:18">
      <c r="B13" s="647" t="str">
        <f>+Peers!B14</f>
        <v/>
      </c>
      <c r="C13" s="647"/>
      <c r="D13" s="647"/>
      <c r="E13" s="647"/>
      <c r="F13" s="647"/>
      <c r="G13" s="648"/>
      <c r="H13" s="648"/>
      <c r="I13" s="648"/>
      <c r="J13" s="648"/>
      <c r="K13" s="648"/>
      <c r="L13" s="648"/>
      <c r="M13" s="648"/>
      <c r="N13" s="648"/>
      <c r="O13" s="648"/>
      <c r="P13" s="648"/>
      <c r="Q13" s="648"/>
      <c r="R13" s="680" t="str">
        <f t="shared" si="2"/>
        <v/>
      </c>
    </row>
    <row r="14" spans="1:18">
      <c r="B14" t="str">
        <f>+Peers!B15</f>
        <v/>
      </c>
      <c r="G14" s="195"/>
      <c r="H14" s="195"/>
      <c r="I14" s="195"/>
      <c r="J14" s="195"/>
      <c r="K14" s="195"/>
      <c r="L14" s="195"/>
      <c r="M14" s="195"/>
      <c r="N14" s="195"/>
      <c r="O14" s="195"/>
      <c r="P14" s="195"/>
      <c r="Q14" s="195"/>
      <c r="R14" s="679" t="str">
        <f t="shared" si="2"/>
        <v/>
      </c>
    </row>
    <row r="15" spans="1:18">
      <c r="B15" s="647" t="str">
        <f>+Peers!B16</f>
        <v/>
      </c>
      <c r="C15" s="647"/>
      <c r="D15" s="647"/>
      <c r="E15" s="647"/>
      <c r="F15" s="647"/>
      <c r="G15" s="648"/>
      <c r="H15" s="648"/>
      <c r="I15" s="648"/>
      <c r="J15" s="648"/>
      <c r="K15" s="648"/>
      <c r="L15" s="648"/>
      <c r="M15" s="648"/>
      <c r="N15" s="648"/>
      <c r="O15" s="648"/>
      <c r="P15" s="648"/>
      <c r="Q15" s="648"/>
      <c r="R15" s="680" t="str">
        <f t="shared" si="2"/>
        <v/>
      </c>
    </row>
    <row r="16" spans="1:18">
      <c r="B16" t="str">
        <f>+Peers!B17</f>
        <v/>
      </c>
      <c r="G16" s="195"/>
      <c r="H16" s="195"/>
      <c r="I16" s="195"/>
      <c r="J16" s="195"/>
      <c r="K16" s="195"/>
      <c r="L16" s="195"/>
      <c r="M16" s="195"/>
      <c r="N16" s="195"/>
      <c r="O16" s="195"/>
      <c r="P16" s="195"/>
      <c r="Q16" s="195"/>
      <c r="R16" s="679" t="str">
        <f t="shared" si="2"/>
        <v/>
      </c>
    </row>
    <row r="17" spans="1:18">
      <c r="G17" s="195"/>
      <c r="H17" s="195"/>
      <c r="I17" s="195"/>
      <c r="J17" s="195"/>
      <c r="K17" s="195"/>
      <c r="L17" s="195"/>
      <c r="M17" s="195"/>
      <c r="N17" s="195"/>
      <c r="O17" s="195"/>
      <c r="P17" s="195"/>
      <c r="Q17" s="195"/>
    </row>
    <row r="18" spans="1:18" ht="15.6">
      <c r="A18" t="s">
        <v>424</v>
      </c>
      <c r="B18" s="215" t="s">
        <v>426</v>
      </c>
      <c r="C18" s="52"/>
      <c r="D18" s="52"/>
      <c r="E18" s="52"/>
      <c r="F18" s="52"/>
      <c r="G18" s="216">
        <v>2014</v>
      </c>
      <c r="H18" s="216">
        <f t="shared" ref="H18:Q18" si="3">+G18+1</f>
        <v>2015</v>
      </c>
      <c r="I18" s="216">
        <f t="shared" si="3"/>
        <v>2016</v>
      </c>
      <c r="J18" s="216">
        <f t="shared" si="3"/>
        <v>2017</v>
      </c>
      <c r="K18" s="216">
        <f t="shared" si="3"/>
        <v>2018</v>
      </c>
      <c r="L18" s="216">
        <f t="shared" si="3"/>
        <v>2019</v>
      </c>
      <c r="M18" s="216">
        <f t="shared" si="3"/>
        <v>2020</v>
      </c>
      <c r="N18" s="216">
        <f t="shared" si="3"/>
        <v>2021</v>
      </c>
      <c r="O18" s="216">
        <f t="shared" si="3"/>
        <v>2022</v>
      </c>
      <c r="P18" s="216">
        <f t="shared" si="3"/>
        <v>2023</v>
      </c>
      <c r="Q18" s="216">
        <f t="shared" si="3"/>
        <v>2024</v>
      </c>
      <c r="R18" s="54" t="str">
        <f>"CAGR "&amp;$G$4&amp;" - "&amp;$Q$4</f>
        <v>CAGR 2014 - 2024</v>
      </c>
    </row>
    <row r="19" spans="1:18" s="92" customFormat="1" ht="3.75" customHeight="1">
      <c r="B19" s="644"/>
      <c r="C19" s="644"/>
      <c r="D19" s="644"/>
      <c r="E19" s="644"/>
      <c r="F19" s="644"/>
      <c r="G19" s="645"/>
      <c r="H19" s="645"/>
      <c r="I19" s="645"/>
      <c r="J19" s="645"/>
      <c r="K19" s="645"/>
      <c r="L19" s="645"/>
      <c r="M19" s="645"/>
      <c r="N19" s="645"/>
      <c r="O19" s="645"/>
      <c r="P19" s="645"/>
      <c r="Q19" s="645"/>
      <c r="R19" s="646"/>
    </row>
    <row r="20" spans="1:18">
      <c r="B20" t="str">
        <f ca="1">+$B$6</f>
        <v>INTEL CORPORATION</v>
      </c>
      <c r="G20" s="756">
        <v>2339</v>
      </c>
      <c r="H20" s="756">
        <v>2440.4</v>
      </c>
      <c r="I20" s="756">
        <v>2439</v>
      </c>
      <c r="J20" s="756">
        <v>2615</v>
      </c>
      <c r="K20" s="756">
        <v>1120</v>
      </c>
      <c r="L20" s="756">
        <v>3345</v>
      </c>
      <c r="M20" s="756">
        <v>3700</v>
      </c>
      <c r="N20" s="756">
        <v>3074.4</v>
      </c>
      <c r="O20" s="756">
        <v>3303.3</v>
      </c>
      <c r="P20" s="756">
        <v>3130</v>
      </c>
      <c r="Q20" s="757"/>
      <c r="R20" s="679">
        <f>IFERROR((Q20/G34)^(1/COUNT($G$4:$Q$4))-1,"")</f>
        <v>-1</v>
      </c>
    </row>
    <row r="21" spans="1:18">
      <c r="B21" s="647" t="str">
        <f>+$B$7</f>
        <v>NVIDIA</v>
      </c>
      <c r="C21" s="647"/>
      <c r="D21" s="647"/>
      <c r="E21" s="647"/>
      <c r="F21" s="647"/>
      <c r="G21" s="753">
        <v>48.7</v>
      </c>
      <c r="H21" s="753">
        <v>52.3</v>
      </c>
      <c r="I21" s="753">
        <v>48.8</v>
      </c>
      <c r="J21" s="753">
        <v>51.2</v>
      </c>
      <c r="K21" s="753">
        <v>50.9</v>
      </c>
      <c r="L21" s="753">
        <v>65.099999999999994</v>
      </c>
      <c r="M21" s="753">
        <v>74.7</v>
      </c>
      <c r="N21" s="753">
        <v>105.6</v>
      </c>
      <c r="O21" s="753">
        <v>133.6</v>
      </c>
      <c r="P21" s="753">
        <v>142.9</v>
      </c>
      <c r="Q21" s="753">
        <v>178.1</v>
      </c>
      <c r="R21" s="680">
        <f t="shared" ref="R21:R30" si="4">IFERROR((Q21/G21)^(1/COUNT($G$4:$Q$4))-1,"")</f>
        <v>0.1251076746056814</v>
      </c>
    </row>
    <row r="22" spans="1:18">
      <c r="B22" t="str">
        <f>+$B$8</f>
        <v>AMD</v>
      </c>
      <c r="G22" s="755">
        <v>145.80000000000001</v>
      </c>
      <c r="H22" s="755">
        <v>137.69999999999999</v>
      </c>
      <c r="I22" s="755">
        <v>67</v>
      </c>
      <c r="J22" s="755">
        <v>51.2</v>
      </c>
      <c r="K22" s="755">
        <v>50</v>
      </c>
      <c r="L22" s="755">
        <v>50.6</v>
      </c>
      <c r="M22" s="755">
        <v>68.5</v>
      </c>
      <c r="N22" s="755">
        <v>70.7</v>
      </c>
      <c r="O22" s="755">
        <v>74.5</v>
      </c>
      <c r="P22" s="755">
        <v>80.8</v>
      </c>
      <c r="Q22" s="755"/>
      <c r="R22" s="679">
        <f t="shared" si="4"/>
        <v>-1</v>
      </c>
    </row>
    <row r="23" spans="1:18">
      <c r="B23" s="647" t="str">
        <f>+$B$9</f>
        <v>Broadcom Inc.</v>
      </c>
      <c r="C23" s="647"/>
      <c r="D23" s="647"/>
      <c r="E23" s="647"/>
      <c r="F23" s="647"/>
      <c r="G23" s="758"/>
      <c r="H23" s="758"/>
      <c r="I23" s="758"/>
      <c r="J23" s="753"/>
      <c r="K23" s="753"/>
      <c r="L23" s="753"/>
      <c r="M23" s="753"/>
      <c r="N23" s="753">
        <v>188.4</v>
      </c>
      <c r="O23" s="753">
        <v>181.2</v>
      </c>
      <c r="P23" s="753">
        <v>186.1</v>
      </c>
      <c r="Q23" s="87"/>
      <c r="R23" s="680" t="str">
        <f t="shared" si="4"/>
        <v/>
      </c>
    </row>
    <row r="24" spans="1:18">
      <c r="B24" t="str">
        <f>+$B$10</f>
        <v>ASML</v>
      </c>
      <c r="G24" s="755"/>
      <c r="H24" s="755"/>
      <c r="I24" s="755"/>
      <c r="J24" s="755"/>
      <c r="K24" s="755"/>
      <c r="L24" s="755"/>
      <c r="M24" s="755"/>
      <c r="N24" s="755">
        <v>165.1</v>
      </c>
      <c r="O24" s="755">
        <v>192.9</v>
      </c>
      <c r="P24" s="755">
        <v>168.1</v>
      </c>
      <c r="Q24" s="755">
        <v>228.2</v>
      </c>
      <c r="R24" s="679" t="str">
        <f t="shared" si="4"/>
        <v/>
      </c>
    </row>
    <row r="25" spans="1:18">
      <c r="B25" s="647" t="str">
        <f>+$B$11</f>
        <v/>
      </c>
      <c r="C25" s="647"/>
      <c r="D25" s="647"/>
      <c r="E25" s="647"/>
      <c r="F25" s="647"/>
      <c r="G25" s="648"/>
      <c r="H25" s="648"/>
      <c r="I25" s="648"/>
      <c r="J25" s="648"/>
      <c r="K25" s="648"/>
      <c r="L25" s="648"/>
      <c r="M25" s="648"/>
      <c r="N25" s="648"/>
      <c r="O25" s="648"/>
      <c r="P25" s="648"/>
      <c r="Q25" s="648"/>
      <c r="R25" s="680" t="str">
        <f t="shared" si="4"/>
        <v/>
      </c>
    </row>
    <row r="26" spans="1:18">
      <c r="B26" t="str">
        <f>+$B$12</f>
        <v/>
      </c>
      <c r="G26" s="195"/>
      <c r="H26" s="195"/>
      <c r="I26" s="195"/>
      <c r="J26" s="195"/>
      <c r="K26" s="195"/>
      <c r="L26" s="195"/>
      <c r="M26" s="195"/>
      <c r="N26" s="195"/>
      <c r="O26" s="195"/>
      <c r="P26" s="195"/>
      <c r="Q26" s="195"/>
      <c r="R26" s="679" t="str">
        <f t="shared" si="4"/>
        <v/>
      </c>
    </row>
    <row r="27" spans="1:18">
      <c r="B27" s="647" t="str">
        <f>+$B$13</f>
        <v/>
      </c>
      <c r="C27" s="647"/>
      <c r="D27" s="647"/>
      <c r="E27" s="647"/>
      <c r="F27" s="647"/>
      <c r="G27" s="648"/>
      <c r="H27" s="648"/>
      <c r="I27" s="648"/>
      <c r="J27" s="648"/>
      <c r="K27" s="648"/>
      <c r="L27" s="648"/>
      <c r="M27" s="648"/>
      <c r="N27" s="648"/>
      <c r="O27" s="648"/>
      <c r="P27" s="648"/>
      <c r="Q27" s="648"/>
      <c r="R27" s="680" t="str">
        <f t="shared" si="4"/>
        <v/>
      </c>
    </row>
    <row r="28" spans="1:18">
      <c r="B28" t="str">
        <f>+$B$14</f>
        <v/>
      </c>
      <c r="G28" s="195"/>
      <c r="H28" s="195"/>
      <c r="I28" s="195"/>
      <c r="J28" s="195"/>
      <c r="K28" s="195"/>
      <c r="L28" s="195"/>
      <c r="M28" s="195"/>
      <c r="N28" s="195"/>
      <c r="O28" s="195"/>
      <c r="P28" s="195"/>
      <c r="Q28" s="195"/>
      <c r="R28" s="679" t="str">
        <f t="shared" si="4"/>
        <v/>
      </c>
    </row>
    <row r="29" spans="1:18">
      <c r="B29" s="647" t="str">
        <f>+$B$15</f>
        <v/>
      </c>
      <c r="C29" s="647"/>
      <c r="D29" s="647"/>
      <c r="E29" s="647"/>
      <c r="F29" s="647"/>
      <c r="G29" s="648"/>
      <c r="H29" s="648"/>
      <c r="I29" s="648"/>
      <c r="J29" s="648"/>
      <c r="K29" s="648"/>
      <c r="L29" s="648"/>
      <c r="M29" s="648"/>
      <c r="N29" s="648"/>
      <c r="O29" s="648"/>
      <c r="P29" s="648"/>
      <c r="Q29" s="648"/>
      <c r="R29" s="680" t="str">
        <f t="shared" si="4"/>
        <v/>
      </c>
    </row>
    <row r="30" spans="1:18">
      <c r="B30" t="str">
        <f>+$B$16</f>
        <v/>
      </c>
      <c r="G30" s="195"/>
      <c r="H30" s="195"/>
      <c r="I30" s="195"/>
      <c r="J30" s="195"/>
      <c r="K30" s="195"/>
      <c r="L30" s="195"/>
      <c r="M30" s="195"/>
      <c r="N30" s="195"/>
      <c r="O30" s="195"/>
      <c r="P30" s="195"/>
      <c r="Q30" s="195"/>
      <c r="R30" s="679" t="str">
        <f t="shared" si="4"/>
        <v/>
      </c>
    </row>
    <row r="31" spans="1:18">
      <c r="G31" s="195"/>
      <c r="H31" s="195"/>
      <c r="I31" s="195"/>
      <c r="J31" s="195"/>
      <c r="K31" s="195"/>
      <c r="L31" s="195"/>
      <c r="M31" s="195"/>
      <c r="N31" s="195"/>
      <c r="O31" s="195"/>
      <c r="P31" s="195"/>
      <c r="Q31" s="195"/>
    </row>
    <row r="32" spans="1:18" ht="15.6">
      <c r="A32" t="s">
        <v>424</v>
      </c>
      <c r="B32" s="215" t="s">
        <v>427</v>
      </c>
      <c r="C32" s="52"/>
      <c r="D32" s="52"/>
      <c r="E32" s="52"/>
      <c r="F32" s="52"/>
      <c r="G32" s="216">
        <v>2014</v>
      </c>
      <c r="H32" s="216">
        <f t="shared" ref="H32:Q32" si="5">+G32+1</f>
        <v>2015</v>
      </c>
      <c r="I32" s="216">
        <f t="shared" si="5"/>
        <v>2016</v>
      </c>
      <c r="J32" s="216">
        <f t="shared" si="5"/>
        <v>2017</v>
      </c>
      <c r="K32" s="216">
        <f t="shared" si="5"/>
        <v>2018</v>
      </c>
      <c r="L32" s="216">
        <f t="shared" si="5"/>
        <v>2019</v>
      </c>
      <c r="M32" s="216">
        <f t="shared" si="5"/>
        <v>2020</v>
      </c>
      <c r="N32" s="216">
        <f t="shared" si="5"/>
        <v>2021</v>
      </c>
      <c r="O32" s="216">
        <f t="shared" si="5"/>
        <v>2022</v>
      </c>
      <c r="P32" s="216">
        <f t="shared" si="5"/>
        <v>2023</v>
      </c>
      <c r="Q32" s="216">
        <f t="shared" si="5"/>
        <v>2024</v>
      </c>
      <c r="R32" s="54" t="str">
        <f>"CAGR "&amp;$G$4&amp;" - "&amp;$Q$4</f>
        <v>CAGR 2014 - 2024</v>
      </c>
    </row>
    <row r="33" spans="1:18" ht="3.75" customHeight="1">
      <c r="B33" s="49"/>
      <c r="C33" s="49"/>
      <c r="D33" s="49"/>
      <c r="E33" s="49"/>
      <c r="F33" s="49"/>
      <c r="G33" s="217"/>
      <c r="H33" s="217"/>
      <c r="I33" s="217"/>
      <c r="J33" s="217"/>
      <c r="K33" s="217"/>
      <c r="L33" s="217"/>
      <c r="M33" s="217"/>
      <c r="N33" s="217"/>
      <c r="O33" s="217"/>
      <c r="P33" s="217"/>
      <c r="Q33" s="217"/>
      <c r="R33" s="56"/>
    </row>
    <row r="34" spans="1:18">
      <c r="B34" t="str">
        <f ca="1">+$B$6</f>
        <v>INTEL CORPORATION</v>
      </c>
      <c r="G34" s="757">
        <v>5820</v>
      </c>
      <c r="H34" s="757">
        <v>6394.3</v>
      </c>
      <c r="I34" s="757">
        <v>6460.5</v>
      </c>
      <c r="J34" s="757">
        <v>7419</v>
      </c>
      <c r="K34" s="757">
        <v>8330</v>
      </c>
      <c r="L34" s="757">
        <v>9610</v>
      </c>
      <c r="M34" s="757">
        <v>10610</v>
      </c>
      <c r="N34" s="757">
        <v>11610</v>
      </c>
      <c r="O34" s="757">
        <v>10910</v>
      </c>
      <c r="P34" s="757">
        <v>10800</v>
      </c>
      <c r="Q34" s="755"/>
      <c r="R34" s="679" t="str">
        <f>IFERROR((Q34/#REF!)^(1/COUNT($G$4:$Q$4))-1,"")</f>
        <v/>
      </c>
    </row>
    <row r="35" spans="1:18">
      <c r="B35" s="647" t="str">
        <f>+$B$7</f>
        <v>NVIDIA</v>
      </c>
      <c r="C35" s="647"/>
      <c r="D35" s="647"/>
      <c r="E35" s="647"/>
      <c r="F35" s="647"/>
      <c r="G35" s="753">
        <v>129</v>
      </c>
      <c r="H35" s="753">
        <v>135</v>
      </c>
      <c r="I35" s="753">
        <v>131.30000000000001</v>
      </c>
      <c r="J35" s="753">
        <v>139.80000000000001</v>
      </c>
      <c r="K35" s="753">
        <v>154.1</v>
      </c>
      <c r="L35" s="753">
        <v>197.1</v>
      </c>
      <c r="M35" s="753">
        <v>254.1</v>
      </c>
      <c r="N35" s="753">
        <v>328.4</v>
      </c>
      <c r="O35" s="753">
        <v>425</v>
      </c>
      <c r="P35" s="753">
        <v>496.9</v>
      </c>
      <c r="Q35" s="753">
        <v>612.6</v>
      </c>
      <c r="R35" s="680">
        <f t="shared" ref="R35:R44" si="6">IFERROR((Q35/G35)^(1/COUNT($G$4:$Q$4))-1,"")</f>
        <v>0.15214710984579294</v>
      </c>
    </row>
    <row r="36" spans="1:18">
      <c r="B36" t="str">
        <f>+$B$8</f>
        <v>AMD</v>
      </c>
      <c r="G36" s="755">
        <v>289</v>
      </c>
      <c r="H36" s="755">
        <v>261</v>
      </c>
      <c r="I36" s="755">
        <v>125</v>
      </c>
      <c r="J36" s="755">
        <v>129</v>
      </c>
      <c r="K36" s="755">
        <v>121</v>
      </c>
      <c r="L36" s="755">
        <v>126</v>
      </c>
      <c r="M36" s="755">
        <v>199</v>
      </c>
      <c r="N36" s="755">
        <v>181</v>
      </c>
      <c r="O36" s="755">
        <v>208</v>
      </c>
      <c r="P36" s="755">
        <v>232.7</v>
      </c>
      <c r="Q36" s="755"/>
      <c r="R36" s="679">
        <f t="shared" si="6"/>
        <v>-1</v>
      </c>
    </row>
    <row r="37" spans="1:18">
      <c r="B37" s="647" t="str">
        <f>+$B$9</f>
        <v>Broadcom Inc.</v>
      </c>
      <c r="C37" s="647"/>
      <c r="D37" s="647"/>
      <c r="E37" s="647"/>
      <c r="F37" s="647"/>
      <c r="G37" s="758"/>
      <c r="H37" s="758"/>
      <c r="I37" s="758"/>
      <c r="J37" s="758"/>
      <c r="K37" s="753"/>
      <c r="L37" s="753"/>
      <c r="M37" s="753"/>
      <c r="N37" s="753">
        <v>551.79999999999995</v>
      </c>
      <c r="O37" s="753">
        <v>541.70000000000005</v>
      </c>
      <c r="P37" s="753">
        <v>550.79999999999995</v>
      </c>
      <c r="Q37" s="87"/>
      <c r="R37" s="680" t="str">
        <f t="shared" si="6"/>
        <v/>
      </c>
    </row>
    <row r="38" spans="1:18">
      <c r="B38" t="str">
        <f>+$B$10</f>
        <v>ASML</v>
      </c>
      <c r="G38" s="755">
        <v>282.2</v>
      </c>
      <c r="H38" s="755">
        <v>309.7</v>
      </c>
      <c r="I38" s="755">
        <v>131.9</v>
      </c>
      <c r="J38" s="755">
        <v>366.7</v>
      </c>
      <c r="K38" s="755">
        <v>376.3</v>
      </c>
      <c r="L38" s="755">
        <v>379.8</v>
      </c>
      <c r="M38" s="755">
        <v>391.2</v>
      </c>
      <c r="N38" s="755">
        <v>469.2</v>
      </c>
      <c r="O38" s="755">
        <v>453.6</v>
      </c>
      <c r="P38" s="755">
        <v>480.3</v>
      </c>
      <c r="Q38" s="755">
        <v>582.20000000000005</v>
      </c>
      <c r="R38" s="679">
        <f t="shared" si="6"/>
        <v>6.8051735753140274E-2</v>
      </c>
    </row>
    <row r="39" spans="1:18">
      <c r="B39" s="647" t="str">
        <f>+$B$11</f>
        <v/>
      </c>
      <c r="C39" s="647"/>
      <c r="D39" s="647"/>
      <c r="E39" s="647"/>
      <c r="F39" s="647"/>
      <c r="G39" s="648"/>
      <c r="H39" s="648"/>
      <c r="I39" s="648"/>
      <c r="J39" s="648"/>
      <c r="K39" s="648"/>
      <c r="L39" s="648"/>
      <c r="M39" s="648"/>
      <c r="N39" s="648"/>
      <c r="O39" s="648"/>
      <c r="P39" s="648"/>
      <c r="Q39" s="648"/>
      <c r="R39" s="680" t="str">
        <f t="shared" si="6"/>
        <v/>
      </c>
    </row>
    <row r="40" spans="1:18">
      <c r="B40" t="str">
        <f>+$B$12</f>
        <v/>
      </c>
      <c r="G40" s="195"/>
      <c r="H40" s="195"/>
      <c r="I40" s="195"/>
      <c r="J40" s="195"/>
      <c r="K40" s="195"/>
      <c r="L40" s="195"/>
      <c r="M40" s="195"/>
      <c r="N40" s="195"/>
      <c r="O40" s="195"/>
      <c r="P40" s="195"/>
      <c r="Q40" s="195"/>
      <c r="R40" s="679" t="str">
        <f t="shared" si="6"/>
        <v/>
      </c>
    </row>
    <row r="41" spans="1:18">
      <c r="B41" s="647" t="str">
        <f>+$B$13</f>
        <v/>
      </c>
      <c r="C41" s="647"/>
      <c r="D41" s="647"/>
      <c r="E41" s="647"/>
      <c r="F41" s="647"/>
      <c r="G41" s="648"/>
      <c r="H41" s="648"/>
      <c r="I41" s="648"/>
      <c r="J41" s="648"/>
      <c r="K41" s="648"/>
      <c r="L41" s="648"/>
      <c r="M41" s="648"/>
      <c r="N41" s="648"/>
      <c r="O41" s="648"/>
      <c r="P41" s="648"/>
      <c r="Q41" s="648"/>
      <c r="R41" s="680" t="str">
        <f t="shared" si="6"/>
        <v/>
      </c>
    </row>
    <row r="42" spans="1:18">
      <c r="B42" t="str">
        <f>+$B$14</f>
        <v/>
      </c>
      <c r="G42" s="195"/>
      <c r="H42" s="195"/>
      <c r="I42" s="195"/>
      <c r="J42" s="195"/>
      <c r="K42" s="195"/>
      <c r="L42" s="195"/>
      <c r="M42" s="195"/>
      <c r="N42" s="195"/>
      <c r="O42" s="195"/>
      <c r="P42" s="195"/>
      <c r="Q42" s="195"/>
      <c r="R42" s="679" t="str">
        <f t="shared" si="6"/>
        <v/>
      </c>
    </row>
    <row r="43" spans="1:18">
      <c r="B43" s="647" t="str">
        <f>+$B$15</f>
        <v/>
      </c>
      <c r="C43" s="647"/>
      <c r="D43" s="647"/>
      <c r="E43" s="647"/>
      <c r="F43" s="647"/>
      <c r="G43" s="648"/>
      <c r="H43" s="648"/>
      <c r="I43" s="648"/>
      <c r="J43" s="648"/>
      <c r="K43" s="648"/>
      <c r="L43" s="648"/>
      <c r="M43" s="648"/>
      <c r="N43" s="648"/>
      <c r="O43" s="648"/>
      <c r="P43" s="648"/>
      <c r="Q43" s="648"/>
      <c r="R43" s="680" t="str">
        <f t="shared" si="6"/>
        <v/>
      </c>
    </row>
    <row r="44" spans="1:18">
      <c r="B44" t="str">
        <f>+$B$16</f>
        <v/>
      </c>
      <c r="G44" s="195"/>
      <c r="H44" s="195"/>
      <c r="I44" s="195"/>
      <c r="J44" s="195"/>
      <c r="K44" s="195"/>
      <c r="L44" s="195"/>
      <c r="M44" s="195"/>
      <c r="N44" s="195"/>
      <c r="O44" s="195"/>
      <c r="P44" s="195"/>
      <c r="Q44" s="195"/>
      <c r="R44" s="679" t="str">
        <f t="shared" si="6"/>
        <v/>
      </c>
    </row>
    <row r="45" spans="1:18">
      <c r="G45" s="195"/>
      <c r="H45" s="195"/>
      <c r="I45" s="195"/>
      <c r="J45" s="195"/>
      <c r="K45" s="195"/>
      <c r="L45" s="195"/>
      <c r="M45" s="195"/>
      <c r="N45" s="195"/>
      <c r="O45" s="195"/>
      <c r="P45" s="195"/>
      <c r="Q45" s="195"/>
    </row>
    <row r="46" spans="1:18" ht="15.6">
      <c r="A46" t="s">
        <v>424</v>
      </c>
      <c r="B46" s="215" t="s">
        <v>428</v>
      </c>
      <c r="C46" s="52"/>
      <c r="D46" s="52"/>
      <c r="E46" s="52"/>
      <c r="F46" s="52"/>
      <c r="G46" s="216">
        <v>2014</v>
      </c>
      <c r="H46" s="216">
        <f t="shared" ref="H46:Q46" si="7">+G46+1</f>
        <v>2015</v>
      </c>
      <c r="I46" s="216">
        <f t="shared" si="7"/>
        <v>2016</v>
      </c>
      <c r="J46" s="216">
        <f t="shared" si="7"/>
        <v>2017</v>
      </c>
      <c r="K46" s="216">
        <f t="shared" si="7"/>
        <v>2018</v>
      </c>
      <c r="L46" s="216">
        <f t="shared" si="7"/>
        <v>2019</v>
      </c>
      <c r="M46" s="216">
        <f t="shared" si="7"/>
        <v>2020</v>
      </c>
      <c r="N46" s="216">
        <f t="shared" si="7"/>
        <v>2021</v>
      </c>
      <c r="O46" s="216">
        <f t="shared" si="7"/>
        <v>2022</v>
      </c>
      <c r="P46" s="216">
        <f t="shared" si="7"/>
        <v>2023</v>
      </c>
      <c r="Q46" s="216">
        <f t="shared" si="7"/>
        <v>2024</v>
      </c>
      <c r="R46" s="54" t="str">
        <f>"CAGR "&amp;$G$4&amp;" - "&amp;$Q$4</f>
        <v>CAGR 2014 - 2024</v>
      </c>
    </row>
    <row r="47" spans="1:18" ht="3.75" customHeight="1">
      <c r="B47" s="49"/>
      <c r="C47" s="49"/>
      <c r="D47" s="49"/>
      <c r="E47" s="49"/>
      <c r="F47" s="49"/>
      <c r="G47" s="217"/>
      <c r="H47" s="217"/>
      <c r="I47" s="217"/>
      <c r="J47" s="217"/>
      <c r="K47" s="217"/>
      <c r="L47" s="217"/>
      <c r="M47" s="217"/>
      <c r="N47" s="217"/>
      <c r="O47" s="217"/>
      <c r="P47" s="217"/>
      <c r="Q47" s="217"/>
      <c r="R47" s="56"/>
    </row>
    <row r="48" spans="1:18">
      <c r="B48" t="str">
        <f ca="1">+$B$6</f>
        <v>INTEL CORPORATION</v>
      </c>
      <c r="G48" s="755"/>
      <c r="H48" s="754">
        <v>7465.2</v>
      </c>
      <c r="I48" s="754">
        <v>7083.1</v>
      </c>
      <c r="J48" s="754">
        <v>10289.200000000001</v>
      </c>
      <c r="K48" s="754">
        <v>11541</v>
      </c>
      <c r="L48" s="754">
        <v>11028</v>
      </c>
      <c r="M48" s="754">
        <v>13020</v>
      </c>
      <c r="N48" s="754">
        <v>10791</v>
      </c>
      <c r="O48" s="754">
        <v>9971</v>
      </c>
      <c r="P48" s="754">
        <v>9890</v>
      </c>
      <c r="Q48" s="755"/>
      <c r="R48" s="679" t="str">
        <f t="shared" ref="R48:R58" si="8">IFERROR((Q48/G48)^(1/COUNT($G$4:$Q$4))-1,"")</f>
        <v/>
      </c>
    </row>
    <row r="49" spans="1:18">
      <c r="B49" s="647" t="str">
        <f>+$B$7</f>
        <v>NVIDIA</v>
      </c>
      <c r="C49" s="647"/>
      <c r="D49" s="647"/>
      <c r="E49" s="647"/>
      <c r="F49" s="647"/>
      <c r="G49" s="753">
        <v>80.099999999999994</v>
      </c>
      <c r="H49" s="753">
        <v>57.2</v>
      </c>
      <c r="I49" s="753">
        <v>29.1</v>
      </c>
      <c r="J49" s="753">
        <v>39.5</v>
      </c>
      <c r="K49" s="753">
        <v>61.2</v>
      </c>
      <c r="L49" s="753">
        <v>96.2</v>
      </c>
      <c r="M49" s="753">
        <v>72.400000000000006</v>
      </c>
      <c r="N49" s="753">
        <v>97.3</v>
      </c>
      <c r="O49" s="753">
        <v>239.8</v>
      </c>
      <c r="P49" s="753">
        <v>197.8</v>
      </c>
      <c r="Q49" s="753">
        <v>145.80000000000001</v>
      </c>
      <c r="R49" s="680">
        <f t="shared" si="8"/>
        <v>5.5960633761823919E-2</v>
      </c>
    </row>
    <row r="50" spans="1:18">
      <c r="B50" t="str">
        <f>+$B$8</f>
        <v>AMD</v>
      </c>
      <c r="G50" s="755"/>
      <c r="H50" s="755"/>
      <c r="I50" s="755"/>
      <c r="J50" s="755"/>
      <c r="K50" s="755"/>
      <c r="L50" s="755"/>
      <c r="M50" s="755"/>
      <c r="N50" s="755">
        <v>0</v>
      </c>
      <c r="O50" s="755">
        <v>0</v>
      </c>
      <c r="P50" s="755">
        <v>0</v>
      </c>
      <c r="Q50" s="755"/>
      <c r="R50" s="679" t="str">
        <f t="shared" si="8"/>
        <v/>
      </c>
    </row>
    <row r="51" spans="1:18">
      <c r="B51" s="647" t="str">
        <f>+$B$9</f>
        <v>Broadcom Inc.</v>
      </c>
      <c r="C51" s="647"/>
      <c r="D51" s="647"/>
      <c r="E51" s="647"/>
      <c r="F51" s="647"/>
      <c r="G51" s="753"/>
      <c r="H51" s="753"/>
      <c r="I51" s="753"/>
      <c r="J51" s="753"/>
      <c r="K51" s="753"/>
      <c r="L51" s="753"/>
      <c r="M51" s="753"/>
      <c r="N51" s="753"/>
      <c r="O51" s="753"/>
      <c r="P51" s="753"/>
      <c r="Q51" s="753"/>
      <c r="R51" s="680" t="str">
        <f t="shared" si="8"/>
        <v/>
      </c>
    </row>
    <row r="52" spans="1:18">
      <c r="B52" t="str">
        <f>+$B$10</f>
        <v>ASML</v>
      </c>
      <c r="G52" s="755"/>
      <c r="H52" s="755"/>
      <c r="I52" s="755"/>
      <c r="J52" s="755"/>
      <c r="K52" s="755"/>
      <c r="L52" s="755"/>
      <c r="M52" s="755"/>
      <c r="N52" s="755"/>
      <c r="O52" s="755"/>
      <c r="P52" s="755"/>
      <c r="Q52" s="755"/>
      <c r="R52" s="679" t="str">
        <f t="shared" si="8"/>
        <v/>
      </c>
    </row>
    <row r="53" spans="1:18">
      <c r="B53" s="647" t="str">
        <f>+$B$11</f>
        <v/>
      </c>
      <c r="C53" s="647"/>
      <c r="D53" s="647"/>
      <c r="E53" s="647"/>
      <c r="F53" s="647"/>
      <c r="G53" s="753"/>
      <c r="H53" s="753"/>
      <c r="I53" s="753"/>
      <c r="J53" s="753"/>
      <c r="K53" s="753"/>
      <c r="L53" s="758"/>
      <c r="M53" s="758"/>
      <c r="N53" s="758"/>
      <c r="O53" s="758"/>
      <c r="P53" s="753"/>
      <c r="Q53" s="753"/>
      <c r="R53" s="680" t="str">
        <f t="shared" si="8"/>
        <v/>
      </c>
    </row>
    <row r="54" spans="1:18">
      <c r="B54" t="str">
        <f>+$B$12</f>
        <v/>
      </c>
      <c r="G54" s="195"/>
      <c r="H54" s="195"/>
      <c r="I54" s="195"/>
      <c r="J54" s="195"/>
      <c r="K54" s="195"/>
      <c r="L54" s="195"/>
      <c r="M54" s="195"/>
      <c r="N54" s="195"/>
      <c r="O54" s="195"/>
      <c r="P54" s="195"/>
      <c r="Q54" s="195"/>
      <c r="R54" s="679" t="str">
        <f t="shared" si="8"/>
        <v/>
      </c>
    </row>
    <row r="55" spans="1:18">
      <c r="B55" s="647" t="str">
        <f>+$B$13</f>
        <v/>
      </c>
      <c r="C55" s="647"/>
      <c r="D55" s="647"/>
      <c r="E55" s="647"/>
      <c r="F55" s="647"/>
      <c r="G55" s="648"/>
      <c r="H55" s="648"/>
      <c r="I55" s="648"/>
      <c r="J55" s="648"/>
      <c r="K55" s="648"/>
      <c r="L55" s="648"/>
      <c r="M55" s="648"/>
      <c r="N55" s="648"/>
      <c r="O55" s="648"/>
      <c r="P55" s="648"/>
      <c r="Q55" s="648"/>
      <c r="R55" s="680" t="str">
        <f t="shared" si="8"/>
        <v/>
      </c>
    </row>
    <row r="56" spans="1:18">
      <c r="B56" t="str">
        <f>+$B$14</f>
        <v/>
      </c>
      <c r="G56" s="195"/>
      <c r="H56" s="195"/>
      <c r="I56" s="195"/>
      <c r="J56" s="195"/>
      <c r="K56" s="195"/>
      <c r="L56" s="195"/>
      <c r="M56" s="195"/>
      <c r="N56" s="195"/>
      <c r="O56" s="195"/>
      <c r="P56" s="195"/>
      <c r="Q56" s="195"/>
      <c r="R56" s="679" t="str">
        <f t="shared" si="8"/>
        <v/>
      </c>
    </row>
    <row r="57" spans="1:18">
      <c r="B57" s="647" t="str">
        <f>+$B$15</f>
        <v/>
      </c>
      <c r="C57" s="647"/>
      <c r="D57" s="647"/>
      <c r="E57" s="647"/>
      <c r="F57" s="647"/>
      <c r="G57" s="648"/>
      <c r="H57" s="648"/>
      <c r="I57" s="648"/>
      <c r="J57" s="648"/>
      <c r="K57" s="648"/>
      <c r="L57" s="648"/>
      <c r="M57" s="648"/>
      <c r="N57" s="648"/>
      <c r="O57" s="648"/>
      <c r="P57" s="648"/>
      <c r="Q57" s="648"/>
      <c r="R57" s="680" t="str">
        <f t="shared" si="8"/>
        <v/>
      </c>
    </row>
    <row r="58" spans="1:18">
      <c r="B58" t="str">
        <f>+$B$16</f>
        <v/>
      </c>
      <c r="G58" s="195"/>
      <c r="H58" s="195"/>
      <c r="I58" s="195"/>
      <c r="J58" s="195"/>
      <c r="K58" s="195"/>
      <c r="L58" s="195"/>
      <c r="M58" s="195"/>
      <c r="N58" s="195"/>
      <c r="O58" s="195"/>
      <c r="P58" s="195"/>
      <c r="Q58" s="195"/>
      <c r="R58" s="679" t="str">
        <f t="shared" si="8"/>
        <v/>
      </c>
    </row>
    <row r="60" spans="1:18" ht="15.6">
      <c r="A60" t="s">
        <v>424</v>
      </c>
      <c r="B60" s="215" t="s">
        <v>429</v>
      </c>
      <c r="C60" s="52"/>
      <c r="D60" s="52"/>
      <c r="E60" s="52"/>
      <c r="F60" s="52"/>
      <c r="G60" s="216">
        <v>2014</v>
      </c>
      <c r="H60" s="216">
        <f t="shared" ref="H60:Q60" si="9">+G60+1</f>
        <v>2015</v>
      </c>
      <c r="I60" s="216">
        <f t="shared" si="9"/>
        <v>2016</v>
      </c>
      <c r="J60" s="216">
        <f t="shared" si="9"/>
        <v>2017</v>
      </c>
      <c r="K60" s="216">
        <f t="shared" si="9"/>
        <v>2018</v>
      </c>
      <c r="L60" s="216">
        <f t="shared" si="9"/>
        <v>2019</v>
      </c>
      <c r="M60" s="216">
        <f t="shared" si="9"/>
        <v>2020</v>
      </c>
      <c r="N60" s="216">
        <f t="shared" si="9"/>
        <v>2021</v>
      </c>
      <c r="O60" s="216">
        <f t="shared" si="9"/>
        <v>2022</v>
      </c>
      <c r="P60" s="216">
        <f t="shared" si="9"/>
        <v>2023</v>
      </c>
      <c r="Q60" s="216">
        <f t="shared" si="9"/>
        <v>2024</v>
      </c>
      <c r="R60" s="54" t="str">
        <f>"CAGR "&amp;$G$4&amp;" - "&amp;$Q$4</f>
        <v>CAGR 2014 - 2024</v>
      </c>
    </row>
    <row r="61" spans="1:18" ht="3.75" customHeight="1">
      <c r="B61" s="49"/>
      <c r="C61" s="49"/>
      <c r="D61" s="49"/>
      <c r="E61" s="49"/>
      <c r="F61" s="49"/>
      <c r="G61" s="217"/>
      <c r="H61" s="217"/>
      <c r="I61" s="217"/>
      <c r="J61" s="217"/>
      <c r="K61" s="217"/>
      <c r="L61" s="217"/>
      <c r="M61" s="217"/>
      <c r="N61" s="217"/>
      <c r="O61" s="217"/>
      <c r="P61" s="217"/>
      <c r="Q61" s="217"/>
      <c r="R61" s="56"/>
    </row>
    <row r="62" spans="1:18">
      <c r="B62" t="str">
        <f ca="1">+$B$6</f>
        <v>INTEL CORPORATION</v>
      </c>
      <c r="G62" s="755">
        <v>144.1</v>
      </c>
      <c r="H62" s="755">
        <v>129.19999999999999</v>
      </c>
      <c r="I62" s="755">
        <v>160.5</v>
      </c>
      <c r="J62" s="755">
        <v>183</v>
      </c>
      <c r="K62" s="755">
        <v>186</v>
      </c>
      <c r="L62" s="755">
        <v>351.1</v>
      </c>
      <c r="M62" s="755">
        <v>375.6</v>
      </c>
      <c r="N62" s="755">
        <v>312.10000000000002</v>
      </c>
      <c r="O62" s="755">
        <v>282.10000000000002</v>
      </c>
      <c r="P62" s="755">
        <v>264.89999999999998</v>
      </c>
      <c r="Q62" s="755" t="s">
        <v>430</v>
      </c>
      <c r="R62" s="679" t="str">
        <f t="shared" ref="R62:R72" si="10">IFERROR((Q62/G62)^(1/COUNT($G$4:$Q$4))-1,"")</f>
        <v/>
      </c>
    </row>
    <row r="63" spans="1:18">
      <c r="B63" s="647" t="str">
        <f>+$B$7</f>
        <v>NVIDIA</v>
      </c>
      <c r="C63" s="647"/>
      <c r="D63" s="647"/>
      <c r="E63" s="647"/>
      <c r="F63" s="647"/>
      <c r="G63" s="753" t="s">
        <v>430</v>
      </c>
      <c r="H63" s="753">
        <v>1.3</v>
      </c>
      <c r="I63" s="753">
        <v>15.6</v>
      </c>
      <c r="J63" s="753">
        <v>3</v>
      </c>
      <c r="K63" s="753">
        <v>2.7</v>
      </c>
      <c r="L63" s="753">
        <v>18.3</v>
      </c>
      <c r="M63" s="753">
        <v>5.3</v>
      </c>
      <c r="N63" s="753">
        <v>2.8</v>
      </c>
      <c r="O63" s="753">
        <v>0.9</v>
      </c>
      <c r="P63" s="753">
        <v>1.9</v>
      </c>
      <c r="Q63" s="753">
        <v>2.2999999999999998</v>
      </c>
      <c r="R63" s="680" t="str">
        <f t="shared" si="10"/>
        <v/>
      </c>
    </row>
    <row r="64" spans="1:18">
      <c r="B64" t="str">
        <f>+$B$8</f>
        <v>AMD</v>
      </c>
      <c r="G64" s="754">
        <v>2</v>
      </c>
      <c r="H64" s="755">
        <v>0.6</v>
      </c>
      <c r="I64" s="755">
        <v>0.6</v>
      </c>
      <c r="J64" s="755">
        <v>0.7</v>
      </c>
      <c r="K64" s="755">
        <v>0.6</v>
      </c>
      <c r="L64" s="755">
        <v>0.7</v>
      </c>
      <c r="M64" s="755">
        <v>0.5</v>
      </c>
      <c r="N64" s="755">
        <v>0.5</v>
      </c>
      <c r="O64" s="755">
        <v>0.8</v>
      </c>
      <c r="P64" s="755">
        <v>1.3</v>
      </c>
      <c r="Q64" s="755" t="s">
        <v>430</v>
      </c>
      <c r="R64" s="679" t="str">
        <f t="shared" si="10"/>
        <v/>
      </c>
    </row>
    <row r="65" spans="1:18">
      <c r="B65" s="647" t="str">
        <f>+$B$9</f>
        <v>Broadcom Inc.</v>
      </c>
      <c r="C65" s="647"/>
      <c r="D65" s="647"/>
      <c r="E65" s="647"/>
      <c r="F65" s="647"/>
      <c r="G65" s="753" t="s">
        <v>430</v>
      </c>
      <c r="H65" s="753" t="s">
        <v>430</v>
      </c>
      <c r="I65" s="753" t="s">
        <v>430</v>
      </c>
      <c r="J65" s="753" t="s">
        <v>430</v>
      </c>
      <c r="K65" s="753" t="s">
        <v>430</v>
      </c>
      <c r="L65" s="753" t="s">
        <v>430</v>
      </c>
      <c r="M65" s="87" t="s">
        <v>430</v>
      </c>
      <c r="N65" s="87">
        <v>12.4</v>
      </c>
      <c r="O65" s="87">
        <v>14.7</v>
      </c>
      <c r="P65" s="87">
        <v>39.6</v>
      </c>
      <c r="Q65" s="87" t="s">
        <v>430</v>
      </c>
      <c r="R65" s="680" t="str">
        <f t="shared" si="10"/>
        <v/>
      </c>
    </row>
    <row r="66" spans="1:18">
      <c r="B66" t="str">
        <f>+$B$10</f>
        <v>ASML</v>
      </c>
      <c r="G66" s="755">
        <v>3.8</v>
      </c>
      <c r="H66" s="755">
        <v>5.3</v>
      </c>
      <c r="I66" s="755">
        <v>3.9</v>
      </c>
      <c r="J66" s="755">
        <v>3.9</v>
      </c>
      <c r="K66" s="755">
        <v>4.5</v>
      </c>
      <c r="L66" s="755">
        <v>5.5</v>
      </c>
      <c r="M66" s="755">
        <v>5.3</v>
      </c>
      <c r="N66" s="755">
        <v>5.9</v>
      </c>
      <c r="O66" s="755">
        <v>6.9</v>
      </c>
      <c r="P66" s="755">
        <v>8.9</v>
      </c>
      <c r="Q66" s="755">
        <v>13.5</v>
      </c>
      <c r="R66" s="679">
        <f t="shared" si="10"/>
        <v>0.12214767925988834</v>
      </c>
    </row>
    <row r="67" spans="1:18">
      <c r="B67" s="647" t="str">
        <f>+$B$11</f>
        <v/>
      </c>
      <c r="C67" s="647"/>
      <c r="D67" s="647"/>
      <c r="E67" s="647"/>
      <c r="F67" s="647"/>
      <c r="G67" s="753"/>
      <c r="H67" s="753"/>
      <c r="I67" s="753"/>
      <c r="J67" s="753"/>
      <c r="K67" s="753"/>
      <c r="L67" s="753"/>
      <c r="M67" s="753"/>
      <c r="N67" s="753"/>
      <c r="O67" s="753"/>
      <c r="P67" s="753"/>
      <c r="Q67" s="753"/>
      <c r="R67" s="680" t="str">
        <f t="shared" si="10"/>
        <v/>
      </c>
    </row>
    <row r="68" spans="1:18">
      <c r="B68" t="str">
        <f>+$B$12</f>
        <v/>
      </c>
      <c r="G68" s="195"/>
      <c r="H68" s="195"/>
      <c r="I68" s="195"/>
      <c r="J68" s="195"/>
      <c r="K68" s="195"/>
      <c r="L68" s="195"/>
      <c r="M68" s="195"/>
      <c r="N68" s="195"/>
      <c r="O68" s="195"/>
      <c r="P68" s="195"/>
      <c r="Q68" s="195"/>
      <c r="R68" s="679" t="str">
        <f t="shared" si="10"/>
        <v/>
      </c>
    </row>
    <row r="69" spans="1:18">
      <c r="B69" s="647" t="str">
        <f>+$B$13</f>
        <v/>
      </c>
      <c r="C69" s="647"/>
      <c r="D69" s="647"/>
      <c r="E69" s="647"/>
      <c r="F69" s="647"/>
      <c r="G69" s="648"/>
      <c r="H69" s="648"/>
      <c r="I69" s="648"/>
      <c r="J69" s="648"/>
      <c r="K69" s="648"/>
      <c r="L69" s="648"/>
      <c r="M69" s="648"/>
      <c r="N69" s="648"/>
      <c r="O69" s="648"/>
      <c r="P69" s="648"/>
      <c r="Q69" s="648"/>
      <c r="R69" s="680" t="str">
        <f t="shared" si="10"/>
        <v/>
      </c>
    </row>
    <row r="70" spans="1:18">
      <c r="B70" t="str">
        <f>+$B$14</f>
        <v/>
      </c>
      <c r="G70" s="195"/>
      <c r="H70" s="195"/>
      <c r="I70" s="195"/>
      <c r="J70" s="195"/>
      <c r="K70" s="195"/>
      <c r="L70" s="195"/>
      <c r="M70" s="195"/>
      <c r="N70" s="195"/>
      <c r="O70" s="195"/>
      <c r="P70" s="195"/>
      <c r="Q70" s="195"/>
      <c r="R70" s="679" t="str">
        <f t="shared" si="10"/>
        <v/>
      </c>
    </row>
    <row r="71" spans="1:18">
      <c r="B71" s="647" t="str">
        <f>+$B$15</f>
        <v/>
      </c>
      <c r="C71" s="647"/>
      <c r="D71" s="647"/>
      <c r="E71" s="647"/>
      <c r="F71" s="647"/>
      <c r="G71" s="648"/>
      <c r="H71" s="648"/>
      <c r="I71" s="648"/>
      <c r="J71" s="648"/>
      <c r="K71" s="648"/>
      <c r="L71" s="648"/>
      <c r="M71" s="648"/>
      <c r="N71" s="648"/>
      <c r="O71" s="648"/>
      <c r="P71" s="648"/>
      <c r="Q71" s="648"/>
      <c r="R71" s="680" t="str">
        <f t="shared" si="10"/>
        <v/>
      </c>
    </row>
    <row r="72" spans="1:18">
      <c r="B72" t="str">
        <f>+$B$16</f>
        <v/>
      </c>
      <c r="G72" s="195"/>
      <c r="H72" s="195"/>
      <c r="I72" s="195"/>
      <c r="J72" s="195"/>
      <c r="K72" s="195"/>
      <c r="L72" s="195"/>
      <c r="M72" s="195"/>
      <c r="N72" s="195"/>
      <c r="O72" s="195"/>
      <c r="P72" s="195"/>
      <c r="Q72" s="195"/>
      <c r="R72" s="679" t="str">
        <f t="shared" si="10"/>
        <v/>
      </c>
    </row>
    <row r="73" spans="1:18">
      <c r="G73" s="195"/>
      <c r="H73" s="195"/>
      <c r="I73" s="195"/>
      <c r="J73" s="195"/>
      <c r="K73" s="195"/>
      <c r="L73" s="195"/>
      <c r="M73" s="195"/>
      <c r="N73" s="195"/>
      <c r="O73" s="195"/>
      <c r="P73" s="195"/>
      <c r="Q73" s="195"/>
    </row>
    <row r="74" spans="1:18" ht="15.6">
      <c r="A74" t="s">
        <v>424</v>
      </c>
      <c r="B74" s="215" t="s">
        <v>431</v>
      </c>
      <c r="C74" s="52"/>
      <c r="D74" s="52"/>
      <c r="E74" s="52"/>
      <c r="F74" s="52"/>
      <c r="G74" s="216">
        <v>2014</v>
      </c>
      <c r="H74" s="216">
        <f t="shared" ref="H74" si="11">+G74+1</f>
        <v>2015</v>
      </c>
      <c r="I74" s="216">
        <f t="shared" ref="I74" si="12">+H74+1</f>
        <v>2016</v>
      </c>
      <c r="J74" s="216">
        <f t="shared" ref="J74" si="13">+I74+1</f>
        <v>2017</v>
      </c>
      <c r="K74" s="216">
        <f t="shared" ref="K74" si="14">+J74+1</f>
        <v>2018</v>
      </c>
      <c r="L74" s="216">
        <f t="shared" ref="L74" si="15">+K74+1</f>
        <v>2019</v>
      </c>
      <c r="M74" s="216">
        <f t="shared" ref="M74" si="16">+L74+1</f>
        <v>2020</v>
      </c>
      <c r="N74" s="216">
        <f t="shared" ref="N74" si="17">+M74+1</f>
        <v>2021</v>
      </c>
      <c r="O74" s="216">
        <f t="shared" ref="O74" si="18">+N74+1</f>
        <v>2022</v>
      </c>
      <c r="P74" s="216">
        <f t="shared" ref="P74" si="19">+O74+1</f>
        <v>2023</v>
      </c>
      <c r="Q74" s="216">
        <f t="shared" ref="Q74" si="20">+P74+1</f>
        <v>2024</v>
      </c>
      <c r="R74" s="54" t="str">
        <f>"CAGR "&amp;$G$4&amp;" - "&amp;$Q$4</f>
        <v>CAGR 2014 - 2024</v>
      </c>
    </row>
    <row r="75" spans="1:18" ht="3.95" customHeight="1">
      <c r="B75" s="49"/>
      <c r="C75" s="49"/>
      <c r="D75" s="49"/>
      <c r="E75" s="49"/>
      <c r="F75" s="49"/>
      <c r="G75" s="217"/>
      <c r="H75" s="217"/>
      <c r="I75" s="217"/>
      <c r="J75" s="217"/>
      <c r="K75" s="217"/>
      <c r="L75" s="217"/>
      <c r="M75" s="217"/>
      <c r="N75" s="217"/>
      <c r="O75" s="217"/>
      <c r="P75" s="217"/>
      <c r="Q75" s="217"/>
      <c r="R75" s="56"/>
    </row>
    <row r="76" spans="1:18">
      <c r="B76" t="str">
        <f ca="1">+$B$6</f>
        <v>INTEL CORPORATION</v>
      </c>
      <c r="G76" s="10">
        <f t="shared" ref="G76:P76" si="21">+G6+G34</f>
        <v>6861</v>
      </c>
      <c r="H76" s="10">
        <f t="shared" si="21"/>
        <v>7446.9</v>
      </c>
      <c r="I76" s="10">
        <f t="shared" si="21"/>
        <v>7436.5</v>
      </c>
      <c r="J76" s="10">
        <f t="shared" si="21"/>
        <v>8909</v>
      </c>
      <c r="K76" s="10">
        <f t="shared" si="21"/>
        <v>9270</v>
      </c>
      <c r="L76" s="10">
        <f t="shared" si="21"/>
        <v>10510</v>
      </c>
      <c r="M76" s="10">
        <f t="shared" si="21"/>
        <v>11650</v>
      </c>
      <c r="N76" s="10">
        <f t="shared" si="21"/>
        <v>12760</v>
      </c>
      <c r="O76" s="10">
        <f t="shared" si="21"/>
        <v>12090</v>
      </c>
      <c r="P76" s="10">
        <f t="shared" si="21"/>
        <v>11645</v>
      </c>
      <c r="Q76" s="10">
        <f t="shared" ref="Q76" si="22">+Q6+Q20</f>
        <v>0</v>
      </c>
      <c r="R76" s="679">
        <f t="shared" ref="R76:R86" si="23">IFERROR((Q76/G76)^(1/COUNT($G$4:$Q$4))-1,"")</f>
        <v>-1</v>
      </c>
    </row>
    <row r="77" spans="1:18">
      <c r="B77" s="647" t="str">
        <f>+$B$7</f>
        <v>NVIDIA</v>
      </c>
      <c r="C77" s="647"/>
      <c r="D77" s="647"/>
      <c r="E77" s="647"/>
      <c r="F77" s="647"/>
      <c r="G77" s="677">
        <f t="shared" ref="G77:Q77" si="24">+G7+G21</f>
        <v>51.400000000000006</v>
      </c>
      <c r="H77" s="677">
        <f t="shared" si="24"/>
        <v>55.9</v>
      </c>
      <c r="I77" s="677">
        <f t="shared" si="24"/>
        <v>51.199999999999996</v>
      </c>
      <c r="J77" s="677">
        <f t="shared" si="24"/>
        <v>53.800000000000004</v>
      </c>
      <c r="K77" s="677">
        <f t="shared" si="24"/>
        <v>53.3</v>
      </c>
      <c r="L77" s="677">
        <f t="shared" si="24"/>
        <v>67.8</v>
      </c>
      <c r="M77" s="677">
        <f t="shared" si="24"/>
        <v>77.5</v>
      </c>
      <c r="N77" s="677">
        <f t="shared" si="24"/>
        <v>108.3</v>
      </c>
      <c r="O77" s="677">
        <f t="shared" si="24"/>
        <v>138.19999999999999</v>
      </c>
      <c r="P77" s="677">
        <f t="shared" si="24"/>
        <v>155.20000000000002</v>
      </c>
      <c r="Q77" s="677">
        <f t="shared" si="24"/>
        <v>192.5</v>
      </c>
      <c r="R77" s="680">
        <f t="shared" si="23"/>
        <v>0.12754379550537154</v>
      </c>
    </row>
    <row r="78" spans="1:18">
      <c r="B78" t="str">
        <f>+$B$8</f>
        <v>AMD</v>
      </c>
      <c r="G78" s="744">
        <f t="shared" ref="G78:Q78" si="25">+G8+G22</f>
        <v>200.9</v>
      </c>
      <c r="H78" s="10">
        <f t="shared" si="25"/>
        <v>203.5</v>
      </c>
      <c r="I78" s="10">
        <f t="shared" si="25"/>
        <v>69.599999999999994</v>
      </c>
      <c r="J78" s="10">
        <f t="shared" si="25"/>
        <v>55.300000000000004</v>
      </c>
      <c r="K78" s="10">
        <f t="shared" si="25"/>
        <v>53.2</v>
      </c>
      <c r="L78" s="10">
        <f t="shared" si="25"/>
        <v>54</v>
      </c>
      <c r="M78" s="10">
        <f t="shared" si="25"/>
        <v>74.900000000000006</v>
      </c>
      <c r="N78" s="10">
        <f t="shared" si="25"/>
        <v>77.2</v>
      </c>
      <c r="O78" s="10">
        <f t="shared" si="25"/>
        <v>82.6</v>
      </c>
      <c r="P78" s="10">
        <f t="shared" si="25"/>
        <v>90.8</v>
      </c>
      <c r="Q78" s="10">
        <f t="shared" si="25"/>
        <v>0</v>
      </c>
      <c r="R78" s="679">
        <f t="shared" si="23"/>
        <v>-1</v>
      </c>
    </row>
    <row r="79" spans="1:18">
      <c r="B79" s="647" t="str">
        <f>+$B$9</f>
        <v>Broadcom Inc.</v>
      </c>
      <c r="C79" s="647"/>
      <c r="D79" s="647"/>
      <c r="E79" s="647"/>
      <c r="F79" s="647"/>
      <c r="G79" s="677">
        <f t="shared" ref="G79:Q79" si="26">+G9+G23</f>
        <v>0</v>
      </c>
      <c r="H79" s="677">
        <f t="shared" si="26"/>
        <v>0</v>
      </c>
      <c r="I79" s="677">
        <f t="shared" si="26"/>
        <v>0</v>
      </c>
      <c r="J79" s="677">
        <f t="shared" si="26"/>
        <v>0</v>
      </c>
      <c r="K79" s="677">
        <f t="shared" si="26"/>
        <v>0</v>
      </c>
      <c r="L79" s="677">
        <f t="shared" si="26"/>
        <v>0</v>
      </c>
      <c r="M79" s="677">
        <f t="shared" si="26"/>
        <v>0</v>
      </c>
      <c r="N79" s="677">
        <f t="shared" si="26"/>
        <v>316.2</v>
      </c>
      <c r="O79" s="677">
        <f t="shared" si="26"/>
        <v>278.39999999999998</v>
      </c>
      <c r="P79" s="677">
        <f t="shared" si="26"/>
        <v>244.89999999999998</v>
      </c>
      <c r="Q79" s="677">
        <f t="shared" si="26"/>
        <v>0</v>
      </c>
      <c r="R79" s="680" t="str">
        <f t="shared" si="23"/>
        <v/>
      </c>
    </row>
    <row r="80" spans="1:18">
      <c r="B80" t="str">
        <f>+$B$10</f>
        <v>ASML</v>
      </c>
      <c r="G80" s="10">
        <f t="shared" ref="G80:Q80" si="27">+G10+G24</f>
        <v>0</v>
      </c>
      <c r="H80" s="10">
        <f t="shared" si="27"/>
        <v>0</v>
      </c>
      <c r="I80" s="10">
        <f t="shared" si="27"/>
        <v>20.399999999999999</v>
      </c>
      <c r="J80" s="10">
        <f t="shared" si="27"/>
        <v>19</v>
      </c>
      <c r="K80" s="10">
        <f t="shared" si="27"/>
        <v>17.5</v>
      </c>
      <c r="L80" s="10">
        <f t="shared" si="27"/>
        <v>16.899999999999999</v>
      </c>
      <c r="M80" s="10">
        <f t="shared" si="27"/>
        <v>15.4</v>
      </c>
      <c r="N80" s="10">
        <f t="shared" si="27"/>
        <v>184.4</v>
      </c>
      <c r="O80" s="10">
        <f t="shared" si="27"/>
        <v>210.20000000000002</v>
      </c>
      <c r="P80" s="10">
        <f t="shared" si="27"/>
        <v>187.29999999999998</v>
      </c>
      <c r="Q80" s="10">
        <f t="shared" si="27"/>
        <v>251.7</v>
      </c>
      <c r="R80" s="679" t="str">
        <f t="shared" si="23"/>
        <v/>
      </c>
    </row>
    <row r="81" spans="2:18">
      <c r="B81" s="647" t="str">
        <f>+$B$11</f>
        <v/>
      </c>
      <c r="C81" s="647"/>
      <c r="D81" s="647"/>
      <c r="E81" s="647"/>
      <c r="F81" s="647"/>
      <c r="G81" s="677">
        <f t="shared" ref="G81:Q81" si="28">+G11+G25</f>
        <v>0</v>
      </c>
      <c r="H81" s="677">
        <f t="shared" si="28"/>
        <v>0</v>
      </c>
      <c r="I81" s="677">
        <f t="shared" si="28"/>
        <v>0</v>
      </c>
      <c r="J81" s="677">
        <f t="shared" si="28"/>
        <v>0</v>
      </c>
      <c r="K81" s="677">
        <f t="shared" si="28"/>
        <v>0</v>
      </c>
      <c r="L81" s="677">
        <f t="shared" si="28"/>
        <v>0</v>
      </c>
      <c r="M81" s="677">
        <f t="shared" si="28"/>
        <v>0</v>
      </c>
      <c r="N81" s="677">
        <f t="shared" si="28"/>
        <v>0</v>
      </c>
      <c r="O81" s="677">
        <f t="shared" si="28"/>
        <v>0</v>
      </c>
      <c r="P81" s="677">
        <f t="shared" si="28"/>
        <v>0</v>
      </c>
      <c r="Q81" s="677">
        <f t="shared" si="28"/>
        <v>0</v>
      </c>
      <c r="R81" s="680" t="str">
        <f t="shared" si="23"/>
        <v/>
      </c>
    </row>
    <row r="82" spans="2:18">
      <c r="B82" t="str">
        <f>+$B$12</f>
        <v/>
      </c>
      <c r="G82" s="10">
        <f t="shared" ref="G82:Q82" si="29">+G12+G26</f>
        <v>0</v>
      </c>
      <c r="H82" s="10">
        <f t="shared" si="29"/>
        <v>0</v>
      </c>
      <c r="I82" s="10">
        <f t="shared" si="29"/>
        <v>0</v>
      </c>
      <c r="J82" s="10">
        <f t="shared" si="29"/>
        <v>0</v>
      </c>
      <c r="K82" s="10">
        <f t="shared" si="29"/>
        <v>0</v>
      </c>
      <c r="L82" s="10">
        <f t="shared" si="29"/>
        <v>0</v>
      </c>
      <c r="M82" s="10">
        <f t="shared" si="29"/>
        <v>0</v>
      </c>
      <c r="N82" s="10">
        <f t="shared" si="29"/>
        <v>0</v>
      </c>
      <c r="O82" s="10">
        <f t="shared" si="29"/>
        <v>0</v>
      </c>
      <c r="P82" s="10">
        <f t="shared" si="29"/>
        <v>0</v>
      </c>
      <c r="Q82" s="10">
        <f t="shared" si="29"/>
        <v>0</v>
      </c>
      <c r="R82" s="679" t="str">
        <f t="shared" si="23"/>
        <v/>
      </c>
    </row>
    <row r="83" spans="2:18">
      <c r="B83" s="647" t="str">
        <f>+$B$13</f>
        <v/>
      </c>
      <c r="C83" s="647"/>
      <c r="D83" s="647"/>
      <c r="E83" s="647"/>
      <c r="F83" s="647"/>
      <c r="G83" s="677">
        <f t="shared" ref="G83:Q83" si="30">+G13+G27</f>
        <v>0</v>
      </c>
      <c r="H83" s="677">
        <f t="shared" si="30"/>
        <v>0</v>
      </c>
      <c r="I83" s="677">
        <f t="shared" si="30"/>
        <v>0</v>
      </c>
      <c r="J83" s="677">
        <f t="shared" si="30"/>
        <v>0</v>
      </c>
      <c r="K83" s="677">
        <f t="shared" si="30"/>
        <v>0</v>
      </c>
      <c r="L83" s="677">
        <f t="shared" si="30"/>
        <v>0</v>
      </c>
      <c r="M83" s="677">
        <f t="shared" si="30"/>
        <v>0</v>
      </c>
      <c r="N83" s="677">
        <f t="shared" si="30"/>
        <v>0</v>
      </c>
      <c r="O83" s="677">
        <f t="shared" si="30"/>
        <v>0</v>
      </c>
      <c r="P83" s="677">
        <f t="shared" si="30"/>
        <v>0</v>
      </c>
      <c r="Q83" s="677">
        <f t="shared" si="30"/>
        <v>0</v>
      </c>
      <c r="R83" s="680" t="str">
        <f t="shared" si="23"/>
        <v/>
      </c>
    </row>
    <row r="84" spans="2:18">
      <c r="B84" t="str">
        <f>+$B$14</f>
        <v/>
      </c>
      <c r="G84" s="10">
        <f t="shared" ref="G84:Q84" si="31">+G14+G28</f>
        <v>0</v>
      </c>
      <c r="H84" s="10">
        <f t="shared" si="31"/>
        <v>0</v>
      </c>
      <c r="I84" s="10">
        <f t="shared" si="31"/>
        <v>0</v>
      </c>
      <c r="J84" s="10">
        <f t="shared" si="31"/>
        <v>0</v>
      </c>
      <c r="K84" s="10">
        <f t="shared" si="31"/>
        <v>0</v>
      </c>
      <c r="L84" s="10">
        <f t="shared" si="31"/>
        <v>0</v>
      </c>
      <c r="M84" s="10">
        <f t="shared" si="31"/>
        <v>0</v>
      </c>
      <c r="N84" s="10">
        <f t="shared" si="31"/>
        <v>0</v>
      </c>
      <c r="O84" s="10">
        <f t="shared" si="31"/>
        <v>0</v>
      </c>
      <c r="P84" s="10">
        <f t="shared" si="31"/>
        <v>0</v>
      </c>
      <c r="Q84" s="10">
        <f t="shared" si="31"/>
        <v>0</v>
      </c>
      <c r="R84" s="679" t="str">
        <f t="shared" si="23"/>
        <v/>
      </c>
    </row>
    <row r="85" spans="2:18">
      <c r="B85" s="647" t="str">
        <f>+$B$15</f>
        <v/>
      </c>
      <c r="C85" s="647"/>
      <c r="D85" s="647"/>
      <c r="E85" s="647"/>
      <c r="F85" s="647"/>
      <c r="G85" s="677">
        <f t="shared" ref="G85:Q85" si="32">+G15+G29</f>
        <v>0</v>
      </c>
      <c r="H85" s="677">
        <f t="shared" si="32"/>
        <v>0</v>
      </c>
      <c r="I85" s="677">
        <f t="shared" si="32"/>
        <v>0</v>
      </c>
      <c r="J85" s="677">
        <f t="shared" si="32"/>
        <v>0</v>
      </c>
      <c r="K85" s="677">
        <f t="shared" si="32"/>
        <v>0</v>
      </c>
      <c r="L85" s="677">
        <f t="shared" si="32"/>
        <v>0</v>
      </c>
      <c r="M85" s="677">
        <f t="shared" si="32"/>
        <v>0</v>
      </c>
      <c r="N85" s="677">
        <f t="shared" si="32"/>
        <v>0</v>
      </c>
      <c r="O85" s="677">
        <f t="shared" si="32"/>
        <v>0</v>
      </c>
      <c r="P85" s="677">
        <f t="shared" si="32"/>
        <v>0</v>
      </c>
      <c r="Q85" s="677">
        <f t="shared" si="32"/>
        <v>0</v>
      </c>
      <c r="R85" s="680" t="str">
        <f t="shared" si="23"/>
        <v/>
      </c>
    </row>
    <row r="86" spans="2:18">
      <c r="B86" t="str">
        <f>+$B$16</f>
        <v/>
      </c>
      <c r="G86" s="10">
        <f t="shared" ref="G86:Q86" si="33">+G16+G30</f>
        <v>0</v>
      </c>
      <c r="H86" s="10">
        <f t="shared" si="33"/>
        <v>0</v>
      </c>
      <c r="I86" s="10">
        <f t="shared" si="33"/>
        <v>0</v>
      </c>
      <c r="J86" s="10">
        <f t="shared" si="33"/>
        <v>0</v>
      </c>
      <c r="K86" s="10">
        <f t="shared" si="33"/>
        <v>0</v>
      </c>
      <c r="L86" s="10">
        <f t="shared" si="33"/>
        <v>0</v>
      </c>
      <c r="M86" s="10">
        <f t="shared" si="33"/>
        <v>0</v>
      </c>
      <c r="N86" s="10">
        <f t="shared" si="33"/>
        <v>0</v>
      </c>
      <c r="O86" s="10">
        <f t="shared" si="33"/>
        <v>0</v>
      </c>
      <c r="P86" s="10">
        <f t="shared" si="33"/>
        <v>0</v>
      </c>
      <c r="Q86" s="10">
        <f t="shared" si="33"/>
        <v>0</v>
      </c>
      <c r="R86" s="679" t="str">
        <f t="shared" si="23"/>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sheetPr>
  <dimension ref="A2:AW1778"/>
  <sheetViews>
    <sheetView showGridLines="0" topLeftCell="A174" zoomScale="57" zoomScaleNormal="70" workbookViewId="0">
      <selection activeCell="G17" sqref="G17"/>
    </sheetView>
  </sheetViews>
  <sheetFormatPr defaultColWidth="9" defaultRowHeight="15" customHeight="1"/>
  <cols>
    <col min="1" max="1" width="2.375" style="122" customWidth="1"/>
    <col min="2" max="2" width="45" style="122" customWidth="1"/>
    <col min="3" max="3" width="14" style="122" customWidth="1"/>
    <col min="4" max="4" width="3.5" style="122" customWidth="1"/>
    <col min="5" max="7" width="13.375" style="122" customWidth="1"/>
    <col min="8" max="17" width="12.875" style="122" customWidth="1"/>
    <col min="18" max="18" width="11.625" style="122" customWidth="1"/>
    <col min="19" max="19" width="29.125" style="122" customWidth="1"/>
    <col min="20" max="20" width="16.625" style="122" customWidth="1"/>
    <col min="21" max="21" width="32.125" style="122" hidden="1" customWidth="1"/>
    <col min="22" max="22" width="11.125" style="122" hidden="1" customWidth="1"/>
    <col min="23" max="35" width="9" style="122" hidden="1" customWidth="1"/>
    <col min="36" max="37" width="9" style="122" customWidth="1"/>
    <col min="38" max="38" width="8.625" style="122" customWidth="1"/>
    <col min="39" max="39" width="2.625" style="122" customWidth="1"/>
    <col min="40" max="43" width="9" style="122"/>
    <col min="44" max="44" width="11.125" style="122" bestFit="1" customWidth="1"/>
    <col min="45" max="16384" width="9" style="122"/>
  </cols>
  <sheetData>
    <row r="2" spans="1:36" s="37" customFormat="1" ht="20.100000000000001" customHeight="1">
      <c r="B2" s="36" t="s">
        <v>432</v>
      </c>
    </row>
    <row r="4" spans="1:36" ht="15.6">
      <c r="A4" s="122" t="s">
        <v>424</v>
      </c>
      <c r="B4" s="48" t="s">
        <v>433</v>
      </c>
      <c r="C4" s="52"/>
      <c r="D4" s="52"/>
      <c r="E4" s="52"/>
      <c r="F4" s="52"/>
      <c r="G4" s="52"/>
      <c r="H4" s="52"/>
      <c r="I4" s="52"/>
      <c r="J4" s="52"/>
      <c r="K4" s="52"/>
      <c r="L4" s="52"/>
      <c r="M4" s="52"/>
      <c r="N4" s="52"/>
      <c r="O4" s="52"/>
      <c r="P4" s="52"/>
      <c r="Q4" s="52"/>
      <c r="R4" s="122" t="e" vm="1">
        <v>#VALUE!</v>
      </c>
      <c r="S4" s="395"/>
      <c r="T4" s="123"/>
      <c r="U4" s="123"/>
    </row>
    <row r="5" spans="1:36" ht="3.95" customHeight="1">
      <c r="B5" s="124"/>
      <c r="C5" s="125"/>
      <c r="D5" s="125"/>
      <c r="E5" s="125"/>
      <c r="F5" s="125"/>
      <c r="G5" s="125"/>
      <c r="H5" s="125"/>
      <c r="I5" s="125"/>
      <c r="J5" s="125"/>
      <c r="K5" s="125"/>
      <c r="L5" s="125"/>
      <c r="M5" s="125"/>
      <c r="N5" s="125"/>
      <c r="O5" s="125"/>
      <c r="P5" s="125"/>
      <c r="Q5" s="125"/>
      <c r="S5" s="123"/>
      <c r="T5" s="123"/>
      <c r="U5" s="123"/>
    </row>
    <row r="6" spans="1:36" ht="15.6">
      <c r="B6" s="126" t="s">
        <v>434</v>
      </c>
      <c r="C6" s="127"/>
      <c r="D6" s="127"/>
      <c r="E6" s="126" t="s">
        <v>435</v>
      </c>
      <c r="F6" s="127"/>
      <c r="G6" s="127"/>
      <c r="H6" s="126" t="s">
        <v>436</v>
      </c>
      <c r="J6" s="127"/>
      <c r="K6" s="126" t="s">
        <v>437</v>
      </c>
      <c r="L6" s="127"/>
      <c r="P6" s="127"/>
      <c r="Q6" s="127"/>
      <c r="X6" s="122" t="s">
        <v>27</v>
      </c>
      <c r="Y6" s="122" t="s">
        <v>438</v>
      </c>
      <c r="Z6" s="122" t="s">
        <v>439</v>
      </c>
      <c r="AA6" s="122" t="s">
        <v>440</v>
      </c>
      <c r="AB6" s="122" t="s">
        <v>441</v>
      </c>
      <c r="AC6" s="122" t="s">
        <v>308</v>
      </c>
      <c r="AD6" s="122" t="s">
        <v>442</v>
      </c>
      <c r="AE6" s="122" t="s">
        <v>299</v>
      </c>
      <c r="AF6" s="122" t="s">
        <v>443</v>
      </c>
      <c r="AG6" s="122" t="s">
        <v>304</v>
      </c>
      <c r="AH6" s="122" t="s">
        <v>301</v>
      </c>
      <c r="AI6" s="122" t="s">
        <v>297</v>
      </c>
    </row>
    <row r="7" spans="1:36" ht="15.6">
      <c r="B7" s="127" t="s">
        <v>223</v>
      </c>
      <c r="C7" s="601">
        <v>2</v>
      </c>
      <c r="D7" s="127"/>
      <c r="E7" s="122" t="s">
        <v>223</v>
      </c>
      <c r="F7" s="605">
        <v>-0.02</v>
      </c>
      <c r="H7" s="122" t="s">
        <v>223</v>
      </c>
      <c r="K7" s="122" t="s">
        <v>223</v>
      </c>
      <c r="L7" s="605">
        <v>0.02</v>
      </c>
      <c r="P7" s="127"/>
      <c r="S7" s="122" t="s">
        <v>444</v>
      </c>
      <c r="T7" s="347">
        <v>2024</v>
      </c>
      <c r="W7" s="122">
        <v>2022</v>
      </c>
      <c r="X7" s="164">
        <f>+E195</f>
        <v>-10609.043069694597</v>
      </c>
      <c r="Y7" s="164">
        <f>+E247</f>
        <v>2563</v>
      </c>
      <c r="Z7" s="164">
        <f ca="1">+H219</f>
        <v>0</v>
      </c>
      <c r="AA7" s="164">
        <f>+E260</f>
        <v>-3988</v>
      </c>
      <c r="AB7" s="164">
        <f>+E185</f>
        <v>1507.9569303054034</v>
      </c>
      <c r="AC7" s="203">
        <f>+E245</f>
        <v>11877</v>
      </c>
      <c r="AD7" s="164">
        <f>+E90</f>
        <v>28338</v>
      </c>
      <c r="AH7" s="164"/>
    </row>
    <row r="8" spans="1:36" ht="15.6">
      <c r="B8" s="127" t="s">
        <v>445</v>
      </c>
      <c r="C8" s="601">
        <v>2</v>
      </c>
      <c r="D8" s="127"/>
      <c r="E8" s="122" t="s">
        <v>445</v>
      </c>
      <c r="F8" s="605">
        <v>-0.01</v>
      </c>
      <c r="H8" s="122" t="s">
        <v>445</v>
      </c>
      <c r="K8" s="122" t="s">
        <v>445</v>
      </c>
      <c r="L8" s="605">
        <v>0.01</v>
      </c>
      <c r="P8" s="127"/>
      <c r="S8" s="122" t="s">
        <v>446</v>
      </c>
      <c r="T8" s="348">
        <v>45657</v>
      </c>
      <c r="W8" s="122">
        <f t="shared" ref="W8:W14" si="0">+W7+1</f>
        <v>2023</v>
      </c>
      <c r="X8" s="164">
        <f>+F195</f>
        <v>-15272.197154471545</v>
      </c>
      <c r="Y8" s="164">
        <f>+F247</f>
        <v>-1230</v>
      </c>
      <c r="Z8" s="164">
        <f ca="1">+I219</f>
        <v>0</v>
      </c>
      <c r="AA8" s="164">
        <f>+F260</f>
        <v>913</v>
      </c>
      <c r="AB8" s="164">
        <f>+F185</f>
        <v>-235.19715447154471</v>
      </c>
      <c r="AC8" s="203">
        <f>+F245</f>
        <v>11910</v>
      </c>
      <c r="AD8" s="164">
        <f>+F90</f>
        <v>25034</v>
      </c>
    </row>
    <row r="9" spans="1:36" ht="15.6">
      <c r="B9" s="127" t="s">
        <v>447</v>
      </c>
      <c r="C9" s="601">
        <v>2</v>
      </c>
      <c r="D9" s="127"/>
      <c r="E9" s="127" t="s">
        <v>447</v>
      </c>
      <c r="F9" s="603">
        <f ca="1">IFERROR(+I9+0.5%,"")</f>
        <v>9.5345548731479213E-2</v>
      </c>
      <c r="H9" s="127" t="s">
        <v>447</v>
      </c>
      <c r="I9" s="604">
        <f ca="1">WACC!G25</f>
        <v>9.0345548731479208E-2</v>
      </c>
      <c r="J9" s="127"/>
      <c r="K9" s="127" t="s">
        <v>447</v>
      </c>
      <c r="L9" s="606">
        <f ca="1">IFERROR(I9-0.5%,"")</f>
        <v>8.5345548731479204E-2</v>
      </c>
      <c r="M9" s="127"/>
      <c r="P9" s="127"/>
      <c r="Q9" s="127"/>
      <c r="S9" s="122" t="s">
        <v>448</v>
      </c>
      <c r="T9" s="348">
        <v>45654</v>
      </c>
      <c r="W9" s="122">
        <f t="shared" si="0"/>
        <v>2024</v>
      </c>
      <c r="X9" s="164">
        <f>+G195</f>
        <v>-24467.235341527303</v>
      </c>
      <c r="Y9" s="164">
        <f>+G247</f>
        <v>-17998</v>
      </c>
      <c r="Z9" s="164">
        <f ca="1">+J219</f>
        <v>0</v>
      </c>
      <c r="AA9" s="164">
        <f>+G260</f>
        <v>-612</v>
      </c>
      <c r="AB9" s="164">
        <f>+G185</f>
        <v>-14192.235341527301</v>
      </c>
      <c r="AC9" s="203">
        <f>+G245</f>
        <v>5263</v>
      </c>
      <c r="AD9" s="164">
        <f>+G90</f>
        <v>22062</v>
      </c>
      <c r="AE9" s="203">
        <f>Inputs!Q48</f>
        <v>196485</v>
      </c>
      <c r="AF9" s="203">
        <f>+Inputs!Q60</f>
        <v>91453</v>
      </c>
      <c r="AG9" s="203">
        <f>+AE9-AF9</f>
        <v>105032</v>
      </c>
      <c r="AH9" s="203">
        <f>+Inputs!Q54</f>
        <v>35666</v>
      </c>
      <c r="AI9" s="203">
        <f>+Inputs!Q38</f>
        <v>47324</v>
      </c>
    </row>
    <row r="10" spans="1:36" ht="15.6">
      <c r="B10" s="127" t="s">
        <v>449</v>
      </c>
      <c r="C10" s="601">
        <v>2</v>
      </c>
      <c r="D10" s="127"/>
      <c r="E10" s="127" t="s">
        <v>449</v>
      </c>
      <c r="F10" s="603">
        <f>+I10-0.5%</f>
        <v>1.4999999999999999E-2</v>
      </c>
      <c r="H10" s="127" t="s">
        <v>449</v>
      </c>
      <c r="I10" s="605">
        <v>0.02</v>
      </c>
      <c r="J10" s="127"/>
      <c r="K10" s="127" t="s">
        <v>449</v>
      </c>
      <c r="L10" s="603">
        <f>+I10+0.5%</f>
        <v>2.5000000000000001E-2</v>
      </c>
      <c r="M10" s="127"/>
      <c r="P10" s="127"/>
      <c r="S10" s="122" t="s">
        <v>450</v>
      </c>
      <c r="T10" s="348">
        <v>45762</v>
      </c>
      <c r="W10" s="122">
        <f t="shared" si="0"/>
        <v>2025</v>
      </c>
      <c r="X10" s="164">
        <f ca="1">+H195</f>
        <v>10069.535523323939</v>
      </c>
      <c r="Y10" s="164">
        <f>+H247</f>
        <v>23001.220972294126</v>
      </c>
      <c r="Z10" s="164">
        <f ca="1">+K219</f>
        <v>0</v>
      </c>
      <c r="AA10" s="164">
        <f ca="1">+H260</f>
        <v>0</v>
      </c>
      <c r="AB10" s="164">
        <f ca="1">+H185</f>
        <v>-7754.1799433783435</v>
      </c>
      <c r="AC10" s="203">
        <f>+H245</f>
        <v>17998</v>
      </c>
      <c r="AD10" s="164">
        <f ca="1">+H90</f>
        <v>56777.72832463526</v>
      </c>
      <c r="AE10" s="203">
        <f ca="1">Inputs!Q48+DCF!H90+DCF!H92+DCF!H95+DCF!H98+DCF!H101+DCF!H107-DCF!G90-DCF!G92-DCF!G95-DCF!G98-DCF!G101-DCF!G107</f>
        <v>225415.23591886827</v>
      </c>
      <c r="AF10" s="203">
        <f>+Inputs!Q60+(DCF!H112+DCF!H115+DCF!H118+DCF!H120*DCF!G112*DCF!G115*DCF!G118*DCF!G120)</f>
        <v>3.5738632598682604E+18</v>
      </c>
      <c r="AG10" s="203">
        <f ca="1">+AE10-AF10</f>
        <v>-3.5738632598680351E+18</v>
      </c>
      <c r="AH10" s="164">
        <f>+AH9+H112+H115-G112-G115</f>
        <v>41236.046608660094</v>
      </c>
      <c r="AI10" s="164">
        <f ca="1">+H90+H92+H95+H98</f>
        <v>83208.671255232475</v>
      </c>
    </row>
    <row r="11" spans="1:36" ht="9.9499999999999993" customHeight="1">
      <c r="B11" s="127"/>
      <c r="C11" s="127"/>
      <c r="D11" s="127"/>
      <c r="E11" s="127"/>
      <c r="G11" s="127"/>
      <c r="K11" s="127"/>
      <c r="M11" s="127"/>
      <c r="P11" s="127"/>
      <c r="W11" s="122">
        <f t="shared" si="0"/>
        <v>2026</v>
      </c>
      <c r="X11" s="164">
        <f ca="1">+I195</f>
        <v>6728.373909198518</v>
      </c>
      <c r="Y11" s="164">
        <f>+I247</f>
        <v>-1189.6228782929802</v>
      </c>
      <c r="Z11" s="164">
        <f ca="1">+L219</f>
        <v>0</v>
      </c>
      <c r="AA11" s="164">
        <f ca="1">+I260</f>
        <v>0</v>
      </c>
      <c r="AB11" s="164">
        <f ca="1">+I185</f>
        <v>-2239.8839472815134</v>
      </c>
      <c r="AC11" s="203">
        <f>+I245</f>
        <v>-6900.3662916882377</v>
      </c>
      <c r="AD11" s="164">
        <f ca="1">+I90</f>
        <v>80702.74460684153</v>
      </c>
      <c r="AE11" s="203">
        <f ca="1">AE10+DCF!I90+DCF!I92+DCF!I95+DCF!I98+DCF!I101+DCF!I107-DCF!H90-DCF!H92-DCF!H95-DCF!H98-DCF!H101-DCF!H107</f>
        <v>244277.27470812728</v>
      </c>
      <c r="AF11" s="203">
        <f>AF10+(DCF!I112+DCF!I115+DCF!I118+DCF!I120*DCF!H112*DCF!H115*DCF!H118*DCF!H120)</f>
        <v>1.2350362882593817E+19</v>
      </c>
      <c r="AG11" s="203">
        <f ca="1">+AE11-AF11</f>
        <v>-1.2350362882593573E+19</v>
      </c>
      <c r="AH11" s="164">
        <f>+AH10+I112+I115-H112-H115</f>
        <v>37910.690827761748</v>
      </c>
      <c r="AI11" s="164">
        <f ca="1">+I90+I92+I95+I98</f>
        <v>107911.25708544358</v>
      </c>
      <c r="AJ11" s="164"/>
    </row>
    <row r="12" spans="1:36" ht="13.5" customHeight="1">
      <c r="B12" s="127" t="s">
        <v>447</v>
      </c>
      <c r="C12" s="602">
        <f ca="1">CHOOSE(C9,F9,I9,L9)</f>
        <v>9.0345548731479208E-2</v>
      </c>
      <c r="D12" s="127"/>
      <c r="E12" s="127"/>
      <c r="G12" s="127"/>
      <c r="K12" s="127"/>
      <c r="P12" s="127"/>
      <c r="S12" s="128"/>
      <c r="T12" s="129"/>
      <c r="W12" s="122">
        <f t="shared" si="0"/>
        <v>2027</v>
      </c>
      <c r="X12" s="164">
        <f ca="1">+J195</f>
        <v>12111.31534655888</v>
      </c>
      <c r="Y12" s="164">
        <f>+J247</f>
        <v>14910.525034297847</v>
      </c>
      <c r="Z12" s="164">
        <f ca="1">+M219</f>
        <v>0</v>
      </c>
      <c r="AA12" s="164">
        <f ca="1">+J260</f>
        <v>-641.0247247204079</v>
      </c>
      <c r="AB12" s="164">
        <f ca="1">+J185</f>
        <v>-2185.2784110614912</v>
      </c>
      <c r="AC12" s="203">
        <f>+J245</f>
        <v>1189.6228782929802</v>
      </c>
      <c r="AD12" s="164">
        <f ca="1">+J90</f>
        <v>111291.77635277985</v>
      </c>
    </row>
    <row r="13" spans="1:36" ht="15.6">
      <c r="B13" s="127" t="s">
        <v>449</v>
      </c>
      <c r="C13" s="602">
        <f>CHOOSE(C10,F10,I10,L10)</f>
        <v>0.02</v>
      </c>
      <c r="D13" s="127"/>
      <c r="E13" s="127"/>
      <c r="G13" s="130"/>
      <c r="H13" s="127"/>
      <c r="I13" s="127"/>
      <c r="J13" s="127"/>
      <c r="K13" s="127"/>
      <c r="L13" s="127"/>
      <c r="M13" s="127"/>
      <c r="O13" s="127"/>
      <c r="P13" s="127"/>
      <c r="Q13" s="127"/>
      <c r="R13" s="127"/>
      <c r="W13" s="122">
        <f t="shared" si="0"/>
        <v>2028</v>
      </c>
      <c r="X13" s="164">
        <f ca="1">+K195</f>
        <v>6742.7190070678971</v>
      </c>
      <c r="Y13" s="164">
        <f>+K247</f>
        <v>4092.0776392022572</v>
      </c>
      <c r="Z13" s="164">
        <f ca="1">+N219</f>
        <v>0</v>
      </c>
      <c r="AA13" s="164">
        <f ca="1">+K260</f>
        <v>-641.0247247204079</v>
      </c>
      <c r="AB13" s="164">
        <f ca="1">+K185</f>
        <v>-8433.2258320122328</v>
      </c>
      <c r="AC13" s="203">
        <f>+K245</f>
        <v>-4473.1575102893539</v>
      </c>
      <c r="AD13" s="164">
        <f ca="1">+K90</f>
        <v>137371.95573039242</v>
      </c>
    </row>
    <row r="14" spans="1:36" ht="15.6">
      <c r="B14" s="127"/>
      <c r="C14" s="131"/>
      <c r="D14" s="127"/>
      <c r="E14" s="132"/>
      <c r="F14" s="132"/>
      <c r="G14" s="132"/>
      <c r="H14" s="127"/>
      <c r="I14" s="127"/>
      <c r="J14" s="127"/>
      <c r="K14" s="127"/>
      <c r="L14" s="127"/>
      <c r="M14" s="127"/>
      <c r="O14" s="127"/>
      <c r="P14" s="127"/>
      <c r="Q14" s="127"/>
      <c r="R14" s="127"/>
      <c r="W14" s="122">
        <f t="shared" si="0"/>
        <v>2029</v>
      </c>
      <c r="X14" s="164">
        <f ca="1">+L195</f>
        <v>4999.684435582978</v>
      </c>
      <c r="Y14" s="164">
        <f>+L247</f>
        <v>5165.4942632729781</v>
      </c>
      <c r="Z14" s="164">
        <f ca="1">+O219</f>
        <v>0</v>
      </c>
      <c r="AA14" s="164">
        <f ca="1">+L260</f>
        <v>-641.0247247204079</v>
      </c>
      <c r="AB14" s="164">
        <f ca="1">+L185</f>
        <v>-8981.6159079741919</v>
      </c>
      <c r="AC14" s="203">
        <f>+L245</f>
        <v>-1636.8310556809029</v>
      </c>
      <c r="AD14" s="164">
        <f ca="1">+L90</f>
        <v>159559.1266330225</v>
      </c>
    </row>
    <row r="15" spans="1:36" ht="15.6">
      <c r="A15" s="122" t="s">
        <v>424</v>
      </c>
      <c r="B15" s="48" t="s">
        <v>451</v>
      </c>
      <c r="C15" s="52"/>
      <c r="D15" s="52"/>
      <c r="E15" s="133">
        <v>2022</v>
      </c>
      <c r="F15" s="133">
        <f>+E15+1</f>
        <v>2023</v>
      </c>
      <c r="G15" s="134">
        <f>+F15+1</f>
        <v>2024</v>
      </c>
      <c r="H15" s="99">
        <f t="shared" ref="H15:J15" si="1">+G15+1</f>
        <v>2025</v>
      </c>
      <c r="I15" s="99">
        <f t="shared" si="1"/>
        <v>2026</v>
      </c>
      <c r="J15" s="99">
        <f t="shared" si="1"/>
        <v>2027</v>
      </c>
      <c r="K15" s="99">
        <f>+J15+1</f>
        <v>2028</v>
      </c>
      <c r="L15" s="99">
        <f t="shared" ref="L15:Q15" si="2">+K15+1</f>
        <v>2029</v>
      </c>
      <c r="M15" s="99">
        <f t="shared" si="2"/>
        <v>2030</v>
      </c>
      <c r="N15" s="99">
        <f t="shared" si="2"/>
        <v>2031</v>
      </c>
      <c r="O15" s="99">
        <f t="shared" si="2"/>
        <v>2032</v>
      </c>
      <c r="P15" s="99">
        <f t="shared" si="2"/>
        <v>2033</v>
      </c>
      <c r="Q15" s="99">
        <f t="shared" si="2"/>
        <v>2034</v>
      </c>
      <c r="R15" s="127"/>
    </row>
    <row r="16" spans="1:36" ht="3.75" customHeight="1">
      <c r="B16" s="66"/>
      <c r="C16" s="66"/>
      <c r="D16" s="66"/>
      <c r="E16" s="66"/>
      <c r="F16" s="66"/>
      <c r="G16" s="135"/>
      <c r="H16" s="66"/>
      <c r="I16" s="66"/>
      <c r="J16" s="66"/>
      <c r="K16" s="66"/>
      <c r="L16" s="66"/>
      <c r="M16" s="66"/>
      <c r="N16" s="66"/>
      <c r="O16" s="66"/>
      <c r="P16" s="66"/>
      <c r="Q16" s="66"/>
      <c r="R16" s="127"/>
    </row>
    <row r="17" spans="1:34" ht="17.25" customHeight="1">
      <c r="B17" s="127" t="s">
        <v>452</v>
      </c>
      <c r="C17" s="131"/>
      <c r="D17" s="127"/>
      <c r="E17" s="136">
        <f>Segments!G15</f>
        <v>31773</v>
      </c>
      <c r="F17" s="136">
        <f>Segments!H15</f>
        <v>29258</v>
      </c>
      <c r="G17" s="137">
        <f>Segments!I15</f>
        <v>30290</v>
      </c>
      <c r="H17" s="787">
        <f>G17*(1+H19)</f>
        <v>31804.5</v>
      </c>
      <c r="I17" s="138">
        <f>H17*(1+I19)</f>
        <v>34030.815000000002</v>
      </c>
      <c r="J17" s="138">
        <f t="shared" ref="J17:Q17" si="3">I17*(1+J19)</f>
        <v>36412.972050000004</v>
      </c>
      <c r="K17" s="138">
        <f t="shared" si="3"/>
        <v>38961.880093500004</v>
      </c>
      <c r="L17" s="138">
        <f t="shared" si="3"/>
        <v>41689.211700045009</v>
      </c>
      <c r="M17" s="138">
        <f t="shared" si="3"/>
        <v>44607.456519048159</v>
      </c>
      <c r="N17" s="138">
        <f t="shared" si="3"/>
        <v>46391.754779810086</v>
      </c>
      <c r="O17" s="138">
        <f t="shared" si="3"/>
        <v>48247.424971002489</v>
      </c>
      <c r="P17" s="138">
        <f t="shared" si="3"/>
        <v>50177.321969842589</v>
      </c>
      <c r="Q17" s="138">
        <f t="shared" si="3"/>
        <v>52184.414848636297</v>
      </c>
      <c r="R17" s="127"/>
    </row>
    <row r="18" spans="1:34" s="782" customFormat="1" ht="18" customHeight="1">
      <c r="B18" s="783" t="s">
        <v>453</v>
      </c>
      <c r="C18" s="784"/>
      <c r="E18" s="276">
        <f>E17/E32</f>
        <v>0.50390141783233422</v>
      </c>
      <c r="F18" s="276">
        <f>F17/F32</f>
        <v>0.53953677067197758</v>
      </c>
      <c r="G18" s="786">
        <f>G17/G32</f>
        <v>0.57042240259128829</v>
      </c>
      <c r="H18" s="276">
        <f t="shared" ref="H18:Q18" si="4">H17/H32</f>
        <v>0.47251123949646928</v>
      </c>
      <c r="I18" s="276">
        <f t="shared" si="4"/>
        <v>0.48379139535754512</v>
      </c>
      <c r="J18" s="276">
        <f t="shared" si="4"/>
        <v>0.49701568907532456</v>
      </c>
      <c r="K18" s="276">
        <f t="shared" si="4"/>
        <v>0.50977594529528303</v>
      </c>
      <c r="L18" s="276">
        <f t="shared" si="4"/>
        <v>0.5220726655262582</v>
      </c>
      <c r="M18" s="276">
        <f t="shared" si="4"/>
        <v>0.52974044220529992</v>
      </c>
      <c r="N18" s="276">
        <f t="shared" si="4"/>
        <v>0.53457484470683847</v>
      </c>
      <c r="O18" s="276">
        <f t="shared" si="4"/>
        <v>0.53940276035110724</v>
      </c>
      <c r="P18" s="276">
        <f t="shared" si="4"/>
        <v>0.54422329394618885</v>
      </c>
      <c r="Q18" s="276">
        <f t="shared" si="4"/>
        <v>0.5490355558141774</v>
      </c>
      <c r="AE18" s="785"/>
      <c r="AF18" s="785"/>
      <c r="AG18" s="785"/>
      <c r="AH18" s="785"/>
    </row>
    <row r="19" spans="1:34" s="782" customFormat="1" ht="18" customHeight="1">
      <c r="B19" s="783" t="s">
        <v>454</v>
      </c>
      <c r="C19" s="784"/>
      <c r="E19" s="276"/>
      <c r="F19" s="276">
        <f>F17/E17-1</f>
        <v>-7.9155257608661489E-2</v>
      </c>
      <c r="G19" s="786">
        <f t="shared" ref="G19" si="5">G17/F17-1</f>
        <v>3.5272404128785295E-2</v>
      </c>
      <c r="H19" s="276">
        <v>0.05</v>
      </c>
      <c r="I19" s="276">
        <v>7.0000000000000007E-2</v>
      </c>
      <c r="J19" s="276">
        <v>7.0000000000000007E-2</v>
      </c>
      <c r="K19" s="276">
        <v>7.0000000000000007E-2</v>
      </c>
      <c r="L19" s="276">
        <v>7.0000000000000007E-2</v>
      </c>
      <c r="M19" s="276">
        <v>7.0000000000000007E-2</v>
      </c>
      <c r="N19" s="276">
        <v>0.04</v>
      </c>
      <c r="O19" s="276">
        <v>0.04</v>
      </c>
      <c r="P19" s="276">
        <v>0.04</v>
      </c>
      <c r="Q19" s="276">
        <v>0.04</v>
      </c>
      <c r="AE19" s="785"/>
      <c r="AF19" s="785"/>
      <c r="AG19" s="785"/>
      <c r="AH19" s="785"/>
    </row>
    <row r="20" spans="1:34" ht="15.6">
      <c r="B20" s="127" t="s">
        <v>118</v>
      </c>
      <c r="C20" s="131"/>
      <c r="D20" s="127"/>
      <c r="E20" s="136">
        <f>Segments!G16</f>
        <v>16856</v>
      </c>
      <c r="F20" s="136">
        <f>Segments!H16</f>
        <v>12635</v>
      </c>
      <c r="G20" s="137">
        <f>Segments!I16</f>
        <v>12817</v>
      </c>
      <c r="H20" s="127">
        <f>G20*(1+H22)</f>
        <v>11535.300000000001</v>
      </c>
      <c r="I20" s="127">
        <f t="shared" ref="I20:Q20" si="6">H20*(1+I22)</f>
        <v>10958.535</v>
      </c>
      <c r="J20" s="127">
        <f t="shared" si="6"/>
        <v>10410.608249999999</v>
      </c>
      <c r="K20" s="127">
        <f t="shared" si="6"/>
        <v>9890.0778374999991</v>
      </c>
      <c r="L20" s="127">
        <f t="shared" si="6"/>
        <v>9395.5739456249994</v>
      </c>
      <c r="M20" s="127">
        <f t="shared" si="6"/>
        <v>9583.4854245374991</v>
      </c>
      <c r="N20" s="127">
        <f t="shared" si="6"/>
        <v>9775.1551330282491</v>
      </c>
      <c r="O20" s="127">
        <f t="shared" si="6"/>
        <v>9970.6582356888139</v>
      </c>
      <c r="P20" s="127">
        <f t="shared" si="6"/>
        <v>10170.07140040259</v>
      </c>
      <c r="Q20" s="127">
        <f t="shared" si="6"/>
        <v>10373.472828410642</v>
      </c>
      <c r="R20" s="127"/>
      <c r="AD20" s="164"/>
      <c r="AE20" s="164"/>
      <c r="AF20" s="164"/>
      <c r="AG20" s="164"/>
    </row>
    <row r="21" spans="1:34" ht="15.6">
      <c r="B21" s="783" t="s">
        <v>453</v>
      </c>
      <c r="C21" s="131"/>
      <c r="D21" s="127"/>
      <c r="E21" s="276">
        <f>E20/E32</f>
        <v>0.26732641862530532</v>
      </c>
      <c r="F21" s="276">
        <f>F20/F32</f>
        <v>0.23299771335841263</v>
      </c>
      <c r="G21" s="786">
        <f>G20/G32</f>
        <v>0.24137021901659103</v>
      </c>
      <c r="H21" s="276">
        <f t="shared" ref="H21:Q21" si="7">H20/H32</f>
        <v>0.17137697184246325</v>
      </c>
      <c r="I21" s="276">
        <f t="shared" si="7"/>
        <v>0.15578953776818144</v>
      </c>
      <c r="J21" s="276">
        <f t="shared" si="7"/>
        <v>0.14209869015805887</v>
      </c>
      <c r="K21" s="276">
        <f t="shared" si="7"/>
        <v>0.12940144999564843</v>
      </c>
      <c r="L21" s="276">
        <f t="shared" si="7"/>
        <v>0.11766047219204699</v>
      </c>
      <c r="M21" s="276">
        <f t="shared" si="7"/>
        <v>0.11380966777369779</v>
      </c>
      <c r="N21" s="276">
        <f t="shared" si="7"/>
        <v>0.11263967189915429</v>
      </c>
      <c r="O21" s="276">
        <f t="shared" si="7"/>
        <v>0.11147124593862648</v>
      </c>
      <c r="P21" s="276">
        <f t="shared" si="7"/>
        <v>0.11030460654160715</v>
      </c>
      <c r="Q21" s="276">
        <f t="shared" si="7"/>
        <v>0.109139969023118</v>
      </c>
      <c r="R21" s="127"/>
      <c r="S21" s="28"/>
      <c r="T21" s="92"/>
      <c r="U21" s="92"/>
      <c r="V21" s="92"/>
      <c r="W21" s="92"/>
      <c r="X21" s="92"/>
    </row>
    <row r="22" spans="1:34" ht="15.6">
      <c r="B22" s="783" t="s">
        <v>454</v>
      </c>
      <c r="C22" s="131"/>
      <c r="D22" s="127"/>
      <c r="E22" s="276"/>
      <c r="F22" s="276">
        <f t="shared" ref="F22:G22" si="8">F20/E20-1</f>
        <v>-0.25041528239202659</v>
      </c>
      <c r="G22" s="786">
        <f t="shared" si="8"/>
        <v>1.440443213296394E-2</v>
      </c>
      <c r="H22" s="276">
        <v>-0.1</v>
      </c>
      <c r="I22" s="276">
        <v>-0.05</v>
      </c>
      <c r="J22" s="276">
        <v>-0.05</v>
      </c>
      <c r="K22" s="276">
        <v>-0.05</v>
      </c>
      <c r="L22" s="276">
        <v>-0.05</v>
      </c>
      <c r="M22" s="276">
        <v>0.02</v>
      </c>
      <c r="N22" s="276">
        <v>0.02</v>
      </c>
      <c r="O22" s="276">
        <v>0.02</v>
      </c>
      <c r="P22" s="276">
        <v>0.02</v>
      </c>
      <c r="Q22" s="276">
        <v>0.02</v>
      </c>
      <c r="R22" s="127"/>
      <c r="S22" s="28"/>
      <c r="T22" s="92"/>
      <c r="U22" s="92"/>
      <c r="V22" s="92"/>
      <c r="W22" s="92"/>
      <c r="X22" s="92"/>
    </row>
    <row r="23" spans="1:34" ht="15.6">
      <c r="B23" s="127" t="s">
        <v>119</v>
      </c>
      <c r="C23" s="131"/>
      <c r="D23" s="127"/>
      <c r="E23" s="136">
        <f>Segments!G17</f>
        <v>8409</v>
      </c>
      <c r="F23" s="136">
        <f>Segments!H17</f>
        <v>5774</v>
      </c>
      <c r="G23" s="137">
        <f>Segments!I17</f>
        <v>5842</v>
      </c>
      <c r="H23" s="139">
        <f>G23*(1+H25)</f>
        <v>5900.42</v>
      </c>
      <c r="I23" s="139">
        <f t="shared" ref="I23:Q23" si="9">H23*(1+I25)</f>
        <v>6018.4283999999998</v>
      </c>
      <c r="J23" s="139">
        <f t="shared" si="9"/>
        <v>6138.7969679999997</v>
      </c>
      <c r="K23" s="139">
        <f t="shared" si="9"/>
        <v>6261.5729073599996</v>
      </c>
      <c r="L23" s="139">
        <f t="shared" si="9"/>
        <v>6386.8043655071997</v>
      </c>
      <c r="M23" s="139">
        <f t="shared" si="9"/>
        <v>6514.540452817344</v>
      </c>
      <c r="N23" s="139">
        <f t="shared" si="9"/>
        <v>6644.8312618736909</v>
      </c>
      <c r="O23" s="139">
        <f t="shared" si="9"/>
        <v>6777.7278871111648</v>
      </c>
      <c r="P23" s="139">
        <f t="shared" si="9"/>
        <v>6913.2824448533884</v>
      </c>
      <c r="Q23" s="139">
        <f t="shared" si="9"/>
        <v>7051.5480937504562</v>
      </c>
      <c r="R23" s="127"/>
      <c r="S23" s="92"/>
      <c r="T23"/>
      <c r="U23"/>
      <c r="V23"/>
      <c r="W23"/>
      <c r="X23"/>
    </row>
    <row r="24" spans="1:34" ht="15.6">
      <c r="B24" s="783" t="s">
        <v>453</v>
      </c>
      <c r="C24" s="131"/>
      <c r="D24" s="127"/>
      <c r="E24" s="275">
        <f>E23/E32</f>
        <v>0.13336188029308213</v>
      </c>
      <c r="F24" s="275">
        <f>F23/F32</f>
        <v>0.10647635907649185</v>
      </c>
      <c r="G24" s="279">
        <f>G23/G32</f>
        <v>0.11001676051298469</v>
      </c>
      <c r="H24" s="275">
        <f t="shared" ref="H24:Q24" si="10">H23/H32</f>
        <v>8.7661015508804022E-2</v>
      </c>
      <c r="I24" s="275">
        <f t="shared" si="10"/>
        <v>8.5559628045801361E-2</v>
      </c>
      <c r="J24" s="275">
        <f t="shared" si="10"/>
        <v>8.3790974297689405E-2</v>
      </c>
      <c r="K24" s="275">
        <f t="shared" si="10"/>
        <v>8.1926211985270642E-2</v>
      </c>
      <c r="L24" s="275">
        <f t="shared" si="10"/>
        <v>7.9981746915389285E-2</v>
      </c>
      <c r="M24" s="275">
        <f t="shared" si="10"/>
        <v>7.7364095815822417E-2</v>
      </c>
      <c r="N24" s="275">
        <f t="shared" si="10"/>
        <v>7.6568770825310328E-2</v>
      </c>
      <c r="O24" s="275">
        <f t="shared" si="10"/>
        <v>7.5774513011082192E-2</v>
      </c>
      <c r="P24" s="275">
        <f t="shared" si="10"/>
        <v>7.4981469644388746E-2</v>
      </c>
      <c r="Q24" s="275">
        <f t="shared" si="10"/>
        <v>7.4189787089350825E-2</v>
      </c>
      <c r="R24" s="127"/>
      <c r="S24" s="92"/>
      <c r="T24"/>
      <c r="U24"/>
      <c r="V24"/>
      <c r="W24"/>
      <c r="X24"/>
    </row>
    <row r="25" spans="1:34" ht="15.6">
      <c r="B25" s="783" t="s">
        <v>454</v>
      </c>
      <c r="C25" s="131"/>
      <c r="D25" s="127"/>
      <c r="E25" s="275"/>
      <c r="F25" s="276">
        <f t="shared" ref="F25:G25" si="11">F23/E23-1</f>
        <v>-0.31335473897015098</v>
      </c>
      <c r="G25" s="786">
        <f t="shared" si="11"/>
        <v>1.17769310703153E-2</v>
      </c>
      <c r="H25" s="276">
        <v>0.01</v>
      </c>
      <c r="I25" s="276">
        <v>0.02</v>
      </c>
      <c r="J25" s="276">
        <v>0.02</v>
      </c>
      <c r="K25" s="276">
        <v>0.02</v>
      </c>
      <c r="L25" s="276">
        <v>0.02</v>
      </c>
      <c r="M25" s="276">
        <v>0.02</v>
      </c>
      <c r="N25" s="276">
        <v>0.02</v>
      </c>
      <c r="O25" s="276">
        <v>0.02</v>
      </c>
      <c r="P25" s="276">
        <v>0.02</v>
      </c>
      <c r="Q25" s="276">
        <v>0.02</v>
      </c>
      <c r="R25" s="127"/>
      <c r="S25" s="92"/>
      <c r="T25"/>
      <c r="U25"/>
      <c r="V25"/>
      <c r="W25"/>
      <c r="X25"/>
    </row>
    <row r="26" spans="1:34" ht="15.6">
      <c r="B26" s="127" t="s">
        <v>120</v>
      </c>
      <c r="C26" s="131"/>
      <c r="D26" s="127"/>
      <c r="E26" s="136">
        <f>Segments!G18</f>
        <v>27491</v>
      </c>
      <c r="F26" s="136">
        <f>Segments!H18</f>
        <v>18910</v>
      </c>
      <c r="G26" s="137">
        <f>Segments!I18</f>
        <v>17543</v>
      </c>
      <c r="H26" s="138">
        <f>G26*(1+H28)</f>
        <v>18069.29</v>
      </c>
      <c r="I26" s="138">
        <f t="shared" ref="I26:Q26" si="12">H26*(1+I28)</f>
        <v>19334.140300000003</v>
      </c>
      <c r="J26" s="138">
        <f t="shared" si="12"/>
        <v>20300.847315000003</v>
      </c>
      <c r="K26" s="138">
        <f t="shared" si="12"/>
        <v>21315.889680750002</v>
      </c>
      <c r="L26" s="138">
        <f t="shared" si="12"/>
        <v>22381.684164787504</v>
      </c>
      <c r="M26" s="138">
        <f t="shared" si="12"/>
        <v>23500.76837302688</v>
      </c>
      <c r="N26" s="138">
        <f t="shared" si="12"/>
        <v>23970.783740487419</v>
      </c>
      <c r="O26" s="138">
        <f t="shared" si="12"/>
        <v>24450.199415297167</v>
      </c>
      <c r="P26" s="138">
        <f t="shared" si="12"/>
        <v>24939.203403603111</v>
      </c>
      <c r="Q26" s="138">
        <f t="shared" si="12"/>
        <v>25437.987471675173</v>
      </c>
      <c r="R26" s="127"/>
      <c r="S26" s="92"/>
      <c r="T26"/>
      <c r="U26"/>
      <c r="V26"/>
      <c r="W26"/>
      <c r="X26"/>
    </row>
    <row r="27" spans="1:34" ht="15.6">
      <c r="B27" s="783" t="s">
        <v>453</v>
      </c>
      <c r="C27" s="131"/>
      <c r="D27" s="127"/>
      <c r="E27" s="276">
        <f>E26/E32</f>
        <v>0.43599137247438702</v>
      </c>
      <c r="F27" s="276">
        <f t="shared" ref="F27:G27" si="13">F26/F32</f>
        <v>0.34871284207420522</v>
      </c>
      <c r="G27" s="786">
        <f t="shared" si="13"/>
        <v>0.3303704261689987</v>
      </c>
      <c r="H27" s="276">
        <f t="shared" ref="H27" si="14">H26/H32</f>
        <v>0.26845077315226329</v>
      </c>
      <c r="I27" s="276">
        <f t="shared" ref="I27" si="15">I26/I32</f>
        <v>0.27485943882847197</v>
      </c>
      <c r="J27" s="276">
        <f t="shared" ref="J27" si="16">J26/J32</f>
        <v>0.27709464646892723</v>
      </c>
      <c r="K27" s="276">
        <f>K26/K32</f>
        <v>0.2788963927237979</v>
      </c>
      <c r="L27" s="276">
        <f>L26/L32</f>
        <v>0.28028511536630568</v>
      </c>
      <c r="M27" s="276">
        <f t="shared" ref="M27" si="17">M26/M32</f>
        <v>0.27908579420517987</v>
      </c>
      <c r="N27" s="276">
        <f t="shared" ref="N27" si="18">N26/N32</f>
        <v>0.27621671256869684</v>
      </c>
      <c r="O27" s="276">
        <f t="shared" ref="O27" si="19">O26/O32</f>
        <v>0.27335148069918408</v>
      </c>
      <c r="P27" s="276">
        <f t="shared" ref="P27" si="20">P26/P32</f>
        <v>0.2704906298678153</v>
      </c>
      <c r="Q27" s="276">
        <f>Q26/Q32</f>
        <v>0.26763468807335367</v>
      </c>
      <c r="R27" s="167"/>
      <c r="S27" s="92"/>
      <c r="T27"/>
      <c r="U27"/>
      <c r="V27"/>
      <c r="W27"/>
      <c r="X27"/>
    </row>
    <row r="28" spans="1:34" ht="15.6">
      <c r="B28" s="783" t="s">
        <v>454</v>
      </c>
      <c r="C28" s="131"/>
      <c r="D28" s="127"/>
      <c r="E28" s="138"/>
      <c r="F28" s="276">
        <f t="shared" ref="F28:G28" si="21">F26/E26-1</f>
        <v>-0.31213851806045612</v>
      </c>
      <c r="G28" s="786">
        <f t="shared" si="21"/>
        <v>-7.2289793759915399E-2</v>
      </c>
      <c r="H28" s="276">
        <v>0.03</v>
      </c>
      <c r="I28" s="276">
        <v>7.0000000000000007E-2</v>
      </c>
      <c r="J28" s="276">
        <v>0.05</v>
      </c>
      <c r="K28" s="276">
        <v>0.05</v>
      </c>
      <c r="L28" s="276">
        <v>0.05</v>
      </c>
      <c r="M28" s="276">
        <v>0.05</v>
      </c>
      <c r="N28" s="276">
        <v>0.02</v>
      </c>
      <c r="O28" s="276">
        <v>0.02</v>
      </c>
      <c r="P28" s="276">
        <v>0.02</v>
      </c>
      <c r="Q28" s="276">
        <v>0.02</v>
      </c>
      <c r="R28" s="167"/>
      <c r="S28" s="92"/>
      <c r="T28"/>
      <c r="U28"/>
      <c r="V28"/>
      <c r="W28"/>
      <c r="X28"/>
    </row>
    <row r="29" spans="1:34" ht="15.6">
      <c r="B29" s="142" t="s">
        <v>455</v>
      </c>
      <c r="G29" s="143"/>
      <c r="R29" s="127"/>
      <c r="S29" s="92"/>
      <c r="T29"/>
      <c r="U29"/>
      <c r="V29"/>
      <c r="W29"/>
      <c r="X29"/>
    </row>
    <row r="30" spans="1:34" ht="15.6">
      <c r="B30" s="48" t="s">
        <v>272</v>
      </c>
      <c r="C30" s="52"/>
      <c r="D30" s="52"/>
      <c r="E30" s="133">
        <v>2022</v>
      </c>
      <c r="F30" s="133">
        <f>+E30+1</f>
        <v>2023</v>
      </c>
      <c r="G30" s="134">
        <f>+F30+1</f>
        <v>2024</v>
      </c>
      <c r="H30" s="99">
        <f t="shared" ref="H30:Q30" si="22">+G30+1</f>
        <v>2025</v>
      </c>
      <c r="I30" s="99">
        <f t="shared" si="22"/>
        <v>2026</v>
      </c>
      <c r="J30" s="99">
        <f t="shared" si="22"/>
        <v>2027</v>
      </c>
      <c r="K30" s="99">
        <f>+J30+1</f>
        <v>2028</v>
      </c>
      <c r="L30" s="99">
        <f t="shared" si="22"/>
        <v>2029</v>
      </c>
      <c r="M30" s="99">
        <f t="shared" si="22"/>
        <v>2030</v>
      </c>
      <c r="N30" s="99">
        <f t="shared" si="22"/>
        <v>2031</v>
      </c>
      <c r="O30" s="99">
        <f t="shared" si="22"/>
        <v>2032</v>
      </c>
      <c r="P30" s="99">
        <f t="shared" si="22"/>
        <v>2033</v>
      </c>
      <c r="Q30" s="99">
        <f t="shared" si="22"/>
        <v>2034</v>
      </c>
      <c r="R30" s="127"/>
      <c r="S30" s="92"/>
      <c r="T30"/>
      <c r="U30"/>
      <c r="V30"/>
      <c r="W30"/>
      <c r="X30"/>
    </row>
    <row r="31" spans="1:34" ht="3.95" customHeight="1">
      <c r="B31" s="66"/>
      <c r="C31" s="66"/>
      <c r="D31" s="66"/>
      <c r="E31" s="66"/>
      <c r="F31" s="66"/>
      <c r="G31" s="135"/>
      <c r="H31" s="66"/>
      <c r="I31" s="66"/>
      <c r="J31" s="66"/>
      <c r="K31" s="66"/>
      <c r="L31" s="66"/>
      <c r="M31" s="66"/>
      <c r="N31" s="66"/>
      <c r="O31" s="66"/>
      <c r="P31" s="66"/>
      <c r="Q31" s="66"/>
      <c r="S31" s="92"/>
    </row>
    <row r="32" spans="1:34" ht="15.6">
      <c r="A32" s="122" t="s">
        <v>424</v>
      </c>
      <c r="B32" s="122" t="s">
        <v>456</v>
      </c>
      <c r="D32" s="299">
        <f>+_xlfn.XLOOKUP($B32,Inputs!$B:$B,Inputs!N:N)</f>
        <v>74718</v>
      </c>
      <c r="E32" s="146">
        <f>+_xlfn.XLOOKUP($B32,Inputs!$B:$B,Inputs!O:O)</f>
        <v>63054</v>
      </c>
      <c r="F32" s="146">
        <f>+_xlfn.XLOOKUP($B32,Inputs!$B:$B,Inputs!P:P)</f>
        <v>54228</v>
      </c>
      <c r="G32" s="265">
        <f>+_xlfn.XLOOKUP($B32,Inputs!$B:$B,Inputs!Q:Q)</f>
        <v>53101</v>
      </c>
      <c r="H32" s="147">
        <f>H17+H20+H23+H26</f>
        <v>67309.510000000009</v>
      </c>
      <c r="I32" s="147">
        <f t="shared" ref="I32:Q32" si="23">I17+I20+I23+I26</f>
        <v>70341.918700000009</v>
      </c>
      <c r="J32" s="147">
        <f t="shared" si="23"/>
        <v>73263.224583000003</v>
      </c>
      <c r="K32" s="147">
        <f t="shared" si="23"/>
        <v>76429.420519110005</v>
      </c>
      <c r="L32" s="147">
        <f t="shared" si="23"/>
        <v>79853.274175964703</v>
      </c>
      <c r="M32" s="147">
        <f t="shared" si="23"/>
        <v>84206.250769429884</v>
      </c>
      <c r="N32" s="147">
        <f t="shared" si="23"/>
        <v>86782.52491519945</v>
      </c>
      <c r="O32" s="147">
        <f t="shared" si="23"/>
        <v>89446.010509099637</v>
      </c>
      <c r="P32" s="147">
        <f t="shared" si="23"/>
        <v>92199.879218701681</v>
      </c>
      <c r="Q32" s="147">
        <f t="shared" si="23"/>
        <v>95047.423242472578</v>
      </c>
      <c r="R32" s="144"/>
      <c r="S32" s="123"/>
      <c r="T32" s="123"/>
      <c r="U32" s="123"/>
    </row>
    <row r="33" spans="2:17" ht="15.75" customHeight="1">
      <c r="B33" s="274" t="s">
        <v>457</v>
      </c>
      <c r="C33" s="273"/>
      <c r="D33" s="273"/>
      <c r="E33" s="276">
        <f>IFERROR((E32-D32)/D32,"")</f>
        <v>-0.15610696217778849</v>
      </c>
      <c r="F33" s="276">
        <f>IFERROR((F32-E32)/E32,"")</f>
        <v>-0.13997525930155105</v>
      </c>
      <c r="G33" s="277">
        <f>IFERROR((G32-F32)/F32,"")</f>
        <v>-2.0782621523935976E-2</v>
      </c>
      <c r="H33" s="278">
        <f>IFERROR(H32/G32-1,"")</f>
        <v>0.26757518690796811</v>
      </c>
      <c r="I33" s="278">
        <f t="shared" ref="I33:Q33" si="24">IFERROR(I32/H32-1,"")</f>
        <v>4.5051712603464189E-2</v>
      </c>
      <c r="J33" s="278">
        <f t="shared" si="24"/>
        <v>4.1530085288958629E-2</v>
      </c>
      <c r="K33" s="278">
        <f t="shared" si="24"/>
        <v>4.3216715536769978E-2</v>
      </c>
      <c r="L33" s="278">
        <f t="shared" si="24"/>
        <v>4.4797587546782758E-2</v>
      </c>
      <c r="M33" s="278">
        <f t="shared" si="24"/>
        <v>5.4512186737302182E-2</v>
      </c>
      <c r="N33" s="278">
        <f t="shared" si="24"/>
        <v>3.0594808844106147E-2</v>
      </c>
      <c r="O33" s="278">
        <f t="shared" si="24"/>
        <v>3.0691496894136749E-2</v>
      </c>
      <c r="P33" s="278">
        <f t="shared" si="24"/>
        <v>3.0788055207022103E-2</v>
      </c>
      <c r="Q33" s="278">
        <f t="shared" si="24"/>
        <v>3.0884465878923795E-2</v>
      </c>
    </row>
    <row r="34" spans="2:17" ht="15.6">
      <c r="B34" s="148"/>
      <c r="E34" s="150"/>
      <c r="F34" s="150"/>
      <c r="G34" s="151"/>
      <c r="H34" s="149"/>
      <c r="I34" s="149"/>
      <c r="J34" s="149"/>
      <c r="K34" s="149"/>
      <c r="L34" s="149"/>
      <c r="O34" s="152"/>
      <c r="P34" s="152"/>
      <c r="Q34" s="152"/>
    </row>
    <row r="35" spans="2:17" s="273" customFormat="1" ht="15.6">
      <c r="B35" s="272" t="s">
        <v>281</v>
      </c>
      <c r="C35" s="122"/>
      <c r="D35" s="122"/>
      <c r="E35" s="146">
        <f>+_xlfn.XLOOKUP($B35,Inputs!$B:$B,Inputs!O:O)</f>
        <v>36188</v>
      </c>
      <c r="F35" s="146">
        <f>+_xlfn.XLOOKUP($B35,Inputs!$B:$B,Inputs!P:P)</f>
        <v>32517</v>
      </c>
      <c r="G35" s="265">
        <f>+_xlfn.XLOOKUP($B35,Inputs!$B:$B,Inputs!Q:Q)</f>
        <v>35756</v>
      </c>
      <c r="H35" s="153">
        <f t="shared" ref="H35:Q35" si="25">H36*H$32</f>
        <v>43751.181500000006</v>
      </c>
      <c r="I35" s="153">
        <f t="shared" si="25"/>
        <v>43611.989594000006</v>
      </c>
      <c r="J35" s="153">
        <f t="shared" si="25"/>
        <v>43957.934749799999</v>
      </c>
      <c r="K35" s="153">
        <f t="shared" si="25"/>
        <v>48914.829132230407</v>
      </c>
      <c r="L35" s="153">
        <f t="shared" si="25"/>
        <v>51106.09547261741</v>
      </c>
      <c r="M35" s="153">
        <f t="shared" si="25"/>
        <v>53892.000492435123</v>
      </c>
      <c r="N35" s="153">
        <f t="shared" si="25"/>
        <v>55540.815945727649</v>
      </c>
      <c r="O35" s="153">
        <f t="shared" si="25"/>
        <v>57245.446725823771</v>
      </c>
      <c r="P35" s="153">
        <f t="shared" si="25"/>
        <v>59007.92269996908</v>
      </c>
      <c r="Q35" s="153">
        <f t="shared" si="25"/>
        <v>60830.350875182448</v>
      </c>
    </row>
    <row r="36" spans="2:17" ht="16.5" customHeight="1">
      <c r="B36" s="282" t="s">
        <v>458</v>
      </c>
      <c r="C36" s="273"/>
      <c r="D36" s="273"/>
      <c r="E36" s="275">
        <f>IFERROR(E35/E$32,"")</f>
        <v>0.57392076632727507</v>
      </c>
      <c r="F36" s="275">
        <f t="shared" ref="F36:G36" si="26">IFERROR(F35/F$32,"")</f>
        <v>0.59963487497233903</v>
      </c>
      <c r="G36" s="279">
        <f t="shared" si="26"/>
        <v>0.67335831716916816</v>
      </c>
      <c r="H36" s="300">
        <v>0.65</v>
      </c>
      <c r="I36" s="300">
        <v>0.62</v>
      </c>
      <c r="J36" s="300">
        <v>0.6</v>
      </c>
      <c r="K36" s="300">
        <v>0.64</v>
      </c>
      <c r="L36" s="300">
        <v>0.64</v>
      </c>
      <c r="M36" s="300">
        <v>0.64</v>
      </c>
      <c r="N36" s="300">
        <v>0.64</v>
      </c>
      <c r="O36" s="300">
        <v>0.64</v>
      </c>
      <c r="P36" s="300">
        <v>0.64</v>
      </c>
      <c r="Q36" s="300">
        <v>0.64</v>
      </c>
    </row>
    <row r="37" spans="2:17" ht="15.6">
      <c r="B37" s="148"/>
      <c r="E37" s="150"/>
      <c r="F37" s="150"/>
      <c r="G37" s="151"/>
      <c r="H37" s="156"/>
      <c r="I37" s="156"/>
      <c r="J37" s="156"/>
      <c r="K37" s="156"/>
      <c r="L37" s="156"/>
      <c r="M37" s="156"/>
      <c r="N37" s="156"/>
      <c r="O37" s="156"/>
      <c r="P37" s="156"/>
      <c r="Q37" s="156"/>
    </row>
    <row r="38" spans="2:17" s="273" customFormat="1" ht="15.6">
      <c r="B38" s="122" t="s">
        <v>282</v>
      </c>
      <c r="C38" s="122"/>
      <c r="D38" s="122"/>
      <c r="E38" s="146">
        <f>+_xlfn.XLOOKUP($B38,Inputs!$B:$B,Inputs!O:O)</f>
        <v>26866</v>
      </c>
      <c r="F38" s="146">
        <f>+_xlfn.XLOOKUP($B38,Inputs!$B:$B,Inputs!P:P)</f>
        <v>21711</v>
      </c>
      <c r="G38" s="265">
        <f>+_xlfn.XLOOKUP($B38,Inputs!$B:$B,Inputs!Q:Q)</f>
        <v>17345</v>
      </c>
      <c r="H38" s="153">
        <f>+H32-H35</f>
        <v>23558.328500000003</v>
      </c>
      <c r="I38" s="153">
        <f t="shared" ref="I38:Q38" si="27">+I32-I35</f>
        <v>26729.929106000003</v>
      </c>
      <c r="J38" s="153">
        <f t="shared" si="27"/>
        <v>29305.289833200004</v>
      </c>
      <c r="K38" s="153">
        <f t="shared" si="27"/>
        <v>27514.591386879598</v>
      </c>
      <c r="L38" s="153">
        <f t="shared" si="27"/>
        <v>28747.178703347294</v>
      </c>
      <c r="M38" s="153">
        <f t="shared" si="27"/>
        <v>30314.25027699476</v>
      </c>
      <c r="N38" s="153">
        <f t="shared" si="27"/>
        <v>31241.708969471802</v>
      </c>
      <c r="O38" s="153">
        <f t="shared" si="27"/>
        <v>32200.563783275866</v>
      </c>
      <c r="P38" s="153">
        <f t="shared" si="27"/>
        <v>33191.956518732601</v>
      </c>
      <c r="Q38" s="153">
        <f t="shared" si="27"/>
        <v>34217.072367290129</v>
      </c>
    </row>
    <row r="39" spans="2:17" ht="18.75" customHeight="1">
      <c r="B39" s="273" t="s">
        <v>39</v>
      </c>
      <c r="C39" s="273"/>
      <c r="D39" s="273"/>
      <c r="E39" s="275">
        <f>IFERROR(E38/E$32,"")</f>
        <v>0.42607923367272499</v>
      </c>
      <c r="F39" s="275">
        <f t="shared" ref="F39:Q39" si="28">IFERROR(F38/F$32,"")</f>
        <v>0.40036512502766097</v>
      </c>
      <c r="G39" s="279">
        <f t="shared" ref="G39" si="29">IFERROR(G38/G$32,"")</f>
        <v>0.32664168283083184</v>
      </c>
      <c r="H39" s="275">
        <f t="shared" si="28"/>
        <v>0.35</v>
      </c>
      <c r="I39" s="275">
        <f t="shared" si="28"/>
        <v>0.38</v>
      </c>
      <c r="J39" s="275">
        <f t="shared" si="28"/>
        <v>0.4</v>
      </c>
      <c r="K39" s="275">
        <f>IFERROR(K38/K$32,"")</f>
        <v>0.35999999999999993</v>
      </c>
      <c r="L39" s="275">
        <f t="shared" si="28"/>
        <v>0.36</v>
      </c>
      <c r="M39" s="275">
        <f t="shared" si="28"/>
        <v>0.36000000000000004</v>
      </c>
      <c r="N39" s="275">
        <f t="shared" si="28"/>
        <v>0.36</v>
      </c>
      <c r="O39" s="275">
        <f t="shared" si="28"/>
        <v>0.36</v>
      </c>
      <c r="P39" s="275">
        <f t="shared" si="28"/>
        <v>0.35999999999999993</v>
      </c>
      <c r="Q39" s="275">
        <f t="shared" si="28"/>
        <v>0.36000000000000004</v>
      </c>
    </row>
    <row r="40" spans="2:17" ht="15.6">
      <c r="G40" s="154"/>
      <c r="H40" s="127"/>
      <c r="I40" s="127"/>
      <c r="J40" s="127"/>
      <c r="K40" s="127"/>
      <c r="L40" s="127"/>
      <c r="O40" s="127"/>
      <c r="P40" s="127"/>
      <c r="Q40" s="127"/>
    </row>
    <row r="41" spans="2:17" s="273" customFormat="1" ht="15.6">
      <c r="B41" s="272" t="s">
        <v>459</v>
      </c>
      <c r="C41" s="122"/>
      <c r="D41" s="122"/>
      <c r="E41" s="146">
        <f>+_xlfn.XLOOKUP($B41,Inputs!$B:$B,Inputs!O:O)</f>
        <v>7002</v>
      </c>
      <c r="F41" s="146">
        <f>+_xlfn.XLOOKUP($B41,Inputs!$B:$B,Inputs!P:P)</f>
        <v>5634</v>
      </c>
      <c r="G41" s="265">
        <f>+_xlfn.XLOOKUP($B41,Inputs!$B:$B,Inputs!Q:Q)</f>
        <v>5507</v>
      </c>
      <c r="H41" s="153">
        <f>IFERROR(G41*(1+H33),"")</f>
        <v>6980.5365543021808</v>
      </c>
      <c r="I41" s="153">
        <f t="shared" ref="I41:Q41" si="30">IFERROR(H41*(1+I33),"")</f>
        <v>7295.021680964579</v>
      </c>
      <c r="J41" s="153">
        <f t="shared" si="30"/>
        <v>7597.9845535598406</v>
      </c>
      <c r="K41" s="153">
        <f t="shared" si="30"/>
        <v>7926.3444906638088</v>
      </c>
      <c r="L41" s="153">
        <f t="shared" si="30"/>
        <v>8281.4256019102795</v>
      </c>
      <c r="M41" s="153">
        <f t="shared" si="30"/>
        <v>8732.864220772688</v>
      </c>
      <c r="N41" s="153">
        <f t="shared" si="30"/>
        <v>9000.0445322687629</v>
      </c>
      <c r="O41" s="153">
        <f t="shared" si="30"/>
        <v>9276.2693710779822</v>
      </c>
      <c r="P41" s="153">
        <f t="shared" si="30"/>
        <v>9561.8676645899395</v>
      </c>
      <c r="Q41" s="153">
        <f t="shared" si="30"/>
        <v>9857.1808402157531</v>
      </c>
    </row>
    <row r="42" spans="2:17" ht="12.75" customHeight="1">
      <c r="B42" s="282" t="s">
        <v>41</v>
      </c>
      <c r="C42" s="273"/>
      <c r="D42" s="273"/>
      <c r="E42" s="275">
        <f>IFERROR(E41/E$32,"")</f>
        <v>0.11104767342278048</v>
      </c>
      <c r="F42" s="275">
        <f t="shared" ref="F42:G42" si="31">IFERROR(F41/F$32,"")</f>
        <v>0.10389466696171719</v>
      </c>
      <c r="G42" s="280">
        <f t="shared" si="31"/>
        <v>0.10370802809739929</v>
      </c>
      <c r="H42" s="300">
        <f>IFERROR(AVERAGE(E42:G42),"")</f>
        <v>0.10621678949396567</v>
      </c>
      <c r="I42" s="300">
        <f t="shared" ref="I42:Q42" si="32">IFERROR(AVERAGE(F42:H42),"")</f>
        <v>0.1046064948510274</v>
      </c>
      <c r="J42" s="300">
        <f t="shared" si="32"/>
        <v>0.10484377081413078</v>
      </c>
      <c r="K42" s="300">
        <f t="shared" si="32"/>
        <v>0.10522235171970795</v>
      </c>
      <c r="L42" s="300">
        <f t="shared" si="32"/>
        <v>0.10489087246162204</v>
      </c>
      <c r="M42" s="300">
        <f t="shared" si="32"/>
        <v>0.10498566499848692</v>
      </c>
      <c r="N42" s="300">
        <f t="shared" si="32"/>
        <v>0.10503296305993898</v>
      </c>
      <c r="O42" s="300">
        <f t="shared" si="32"/>
        <v>0.10496983350668265</v>
      </c>
      <c r="P42" s="300">
        <f t="shared" si="32"/>
        <v>0.10499615385503619</v>
      </c>
      <c r="Q42" s="300">
        <f t="shared" si="32"/>
        <v>0.10499965014055261</v>
      </c>
    </row>
    <row r="43" spans="2:17" ht="14.25" customHeight="1">
      <c r="B43" s="148"/>
      <c r="E43" s="150"/>
      <c r="F43" s="150"/>
      <c r="G43" s="151"/>
      <c r="H43" s="149"/>
      <c r="I43" s="149"/>
      <c r="J43" s="149"/>
      <c r="K43" s="149"/>
      <c r="L43" s="149"/>
      <c r="O43" s="127"/>
      <c r="P43" s="127"/>
      <c r="Q43" s="127"/>
    </row>
    <row r="44" spans="2:17" s="273" customFormat="1" ht="15.6">
      <c r="B44" s="272" t="s">
        <v>291</v>
      </c>
      <c r="C44" s="122"/>
      <c r="D44" s="122"/>
      <c r="E44" s="146">
        <f>+_xlfn.XLOOKUP($B44,Inputs!$B:$B,Inputs!O:O)</f>
        <v>17528</v>
      </c>
      <c r="F44" s="146">
        <f>+_xlfn.XLOOKUP($B44,Inputs!$B:$B,Inputs!P:P)</f>
        <v>16046</v>
      </c>
      <c r="G44" s="265">
        <f>+_xlfn.XLOOKUP($B44,Inputs!$B:$B,Inputs!Q:Q)</f>
        <v>16546</v>
      </c>
      <c r="H44" s="153">
        <f>H45*H$32</f>
        <v>23558.328500000003</v>
      </c>
      <c r="I44" s="153">
        <f t="shared" ref="I44:Q44" si="33">I45*I$32</f>
        <v>21102.575610000004</v>
      </c>
      <c r="J44" s="153">
        <f t="shared" si="33"/>
        <v>21978.967374899999</v>
      </c>
      <c r="K44" s="153">
        <f t="shared" si="33"/>
        <v>22928.826155733001</v>
      </c>
      <c r="L44" s="153">
        <f t="shared" si="33"/>
        <v>23955.98225278941</v>
      </c>
      <c r="M44" s="153">
        <f t="shared" si="33"/>
        <v>25261.875230828966</v>
      </c>
      <c r="N44" s="153">
        <f t="shared" si="33"/>
        <v>26034.757474559836</v>
      </c>
      <c r="O44" s="153">
        <f t="shared" si="33"/>
        <v>26833.803152729892</v>
      </c>
      <c r="P44" s="153">
        <f t="shared" si="33"/>
        <v>27659.963765610504</v>
      </c>
      <c r="Q44" s="153">
        <f t="shared" si="33"/>
        <v>28514.226972741773</v>
      </c>
    </row>
    <row r="45" spans="2:17" ht="15.75" customHeight="1">
      <c r="B45" s="282" t="s">
        <v>458</v>
      </c>
      <c r="C45" s="273"/>
      <c r="D45" s="273"/>
      <c r="E45" s="275">
        <f>IFERROR(E44/E32,"")</f>
        <v>0.27798395026485234</v>
      </c>
      <c r="F45" s="275">
        <f>IFERROR(F44/F32,"")</f>
        <v>0.29589879766910082</v>
      </c>
      <c r="G45" s="280">
        <f>IFERROR(G44/G32,"")</f>
        <v>0.31159488521873413</v>
      </c>
      <c r="H45" s="300">
        <v>0.35</v>
      </c>
      <c r="I45" s="300">
        <v>0.3</v>
      </c>
      <c r="J45" s="300">
        <v>0.3</v>
      </c>
      <c r="K45" s="300">
        <v>0.3</v>
      </c>
      <c r="L45" s="300">
        <v>0.3</v>
      </c>
      <c r="M45" s="300">
        <v>0.3</v>
      </c>
      <c r="N45" s="300">
        <v>0.3</v>
      </c>
      <c r="O45" s="300">
        <v>0.3</v>
      </c>
      <c r="P45" s="300">
        <v>0.3</v>
      </c>
      <c r="Q45" s="300">
        <v>0.3</v>
      </c>
    </row>
    <row r="46" spans="2:17" ht="15.6">
      <c r="B46" s="266"/>
      <c r="C46" s="239"/>
      <c r="D46" s="239"/>
      <c r="E46" s="267"/>
      <c r="F46" s="267"/>
      <c r="G46" s="268"/>
      <c r="H46" s="269"/>
      <c r="I46" s="269"/>
      <c r="J46" s="269"/>
      <c r="K46" s="269"/>
      <c r="L46" s="269"/>
      <c r="M46" s="239"/>
      <c r="N46" s="239"/>
      <c r="O46" s="270"/>
      <c r="P46" s="270"/>
      <c r="Q46" s="270"/>
    </row>
    <row r="47" spans="2:17" s="273" customFormat="1" ht="15.6">
      <c r="B47" s="483" t="s">
        <v>460</v>
      </c>
      <c r="C47" s="122"/>
      <c r="D47" s="122"/>
      <c r="E47" s="146">
        <f>+_xlfn.XLOOKUP($B47,Inputs!$B:$B,Inputs!O:O)</f>
        <v>962</v>
      </c>
      <c r="F47" s="146">
        <f>+_xlfn.XLOOKUP($B47,Inputs!$B:$B,Inputs!P:P)</f>
        <v>153</v>
      </c>
      <c r="G47" s="265">
        <f>+_xlfn.XLOOKUP($B47,Inputs!$B:$B,Inputs!Q:Q)</f>
        <v>716</v>
      </c>
      <c r="H47" s="153">
        <f>IFERROR(AVERAGE(E47:G47)*(1+H33),"")</f>
        <v>773.6433890761632</v>
      </c>
      <c r="I47" s="153">
        <f t="shared" ref="I47:Q47" si="34">IFERROR(AVERAGE(F47:H47)*(1+I33),"")</f>
        <v>572.21576231693427</v>
      </c>
      <c r="J47" s="153">
        <f t="shared" si="34"/>
        <v>715.82944593475759</v>
      </c>
      <c r="K47" s="153">
        <f t="shared" si="34"/>
        <v>716.9293356546583</v>
      </c>
      <c r="L47" s="153">
        <f t="shared" si="34"/>
        <v>698.26418885535509</v>
      </c>
      <c r="M47" s="153">
        <f t="shared" si="34"/>
        <v>749.06323085037889</v>
      </c>
      <c r="N47" s="153">
        <f t="shared" si="34"/>
        <v>743.49059236006951</v>
      </c>
      <c r="O47" s="153">
        <f t="shared" si="34"/>
        <v>752.6858320929133</v>
      </c>
      <c r="P47" s="153">
        <f t="shared" si="34"/>
        <v>771.45540592127895</v>
      </c>
      <c r="Q47" s="153">
        <f t="shared" si="34"/>
        <v>779.22214275513909</v>
      </c>
    </row>
    <row r="48" spans="2:17" s="239" customFormat="1" ht="5.25" customHeight="1">
      <c r="B48" s="194"/>
      <c r="C48" s="122"/>
      <c r="D48" s="122"/>
      <c r="E48" s="146"/>
      <c r="F48" s="146"/>
      <c r="G48" s="265"/>
      <c r="H48" s="156"/>
      <c r="I48" s="156"/>
      <c r="J48" s="156"/>
      <c r="K48" s="156"/>
      <c r="L48" s="156"/>
      <c r="M48" s="122"/>
      <c r="N48" s="122"/>
      <c r="O48" s="155"/>
      <c r="P48" s="155"/>
      <c r="Q48" s="155"/>
    </row>
    <row r="49" spans="2:17" ht="15.6">
      <c r="B49" s="194" t="s">
        <v>224</v>
      </c>
      <c r="E49" s="146">
        <f>+_xlfn.XLOOKUP($B49,Inputs!$B:$B,Inputs!O:O)</f>
        <v>14409</v>
      </c>
      <c r="F49" s="146">
        <f>+_xlfn.XLOOKUP($B49,Inputs!$B:$B,Inputs!P:P)</f>
        <v>9480</v>
      </c>
      <c r="G49" s="265">
        <f>+_xlfn.XLOOKUP($B49,Inputs!$B:$B,Inputs!Q:Q)</f>
        <v>5955</v>
      </c>
      <c r="H49" s="153">
        <f>IFERROR(H38-H41-H44-H47,"")</f>
        <v>-7754.1799433783435</v>
      </c>
      <c r="I49" s="153">
        <f t="shared" ref="I49:Q49" si="35">IFERROR(I38-I41-I44-I47,"")</f>
        <v>-2239.8839472815134</v>
      </c>
      <c r="J49" s="153">
        <f t="shared" si="35"/>
        <v>-987.49154119459263</v>
      </c>
      <c r="K49" s="153">
        <f t="shared" si="35"/>
        <v>-4057.5085951718715</v>
      </c>
      <c r="L49" s="153">
        <f t="shared" si="35"/>
        <v>-4188.4933402077513</v>
      </c>
      <c r="M49" s="153">
        <f t="shared" si="35"/>
        <v>-4429.5524054572725</v>
      </c>
      <c r="N49" s="153">
        <f t="shared" si="35"/>
        <v>-4536.5836297168662</v>
      </c>
      <c r="O49" s="153">
        <f t="shared" si="35"/>
        <v>-4662.1945726249214</v>
      </c>
      <c r="P49" s="153">
        <f t="shared" si="35"/>
        <v>-4801.3303173891218</v>
      </c>
      <c r="Q49" s="153">
        <f t="shared" si="35"/>
        <v>-4933.5575884225382</v>
      </c>
    </row>
    <row r="50" spans="2:17" ht="12.75" customHeight="1">
      <c r="B50" s="273" t="s">
        <v>37</v>
      </c>
      <c r="C50" s="273"/>
      <c r="D50" s="273"/>
      <c r="E50" s="275">
        <f>IFERROR(E49/E$32,"")</f>
        <v>0.22851841278903798</v>
      </c>
      <c r="F50" s="275">
        <f t="shared" ref="F50:Q50" si="36">IFERROR(F49/F$32,"")</f>
        <v>0.17481743748616951</v>
      </c>
      <c r="G50" s="279">
        <f t="shared" si="36"/>
        <v>0.11214478070092843</v>
      </c>
      <c r="H50" s="275">
        <f t="shared" si="36"/>
        <v>-0.11520184805057031</v>
      </c>
      <c r="I50" s="275">
        <f t="shared" si="36"/>
        <v>-3.1842804243574226E-2</v>
      </c>
      <c r="J50" s="275">
        <f t="shared" si="36"/>
        <v>-1.3478679744376556E-2</v>
      </c>
      <c r="K50" s="275">
        <f t="shared" si="36"/>
        <v>-5.308830771727955E-2</v>
      </c>
      <c r="L50" s="275">
        <f t="shared" si="36"/>
        <v>-5.2452368214457756E-2</v>
      </c>
      <c r="M50" s="275">
        <f t="shared" si="36"/>
        <v>-5.2603605611014459E-2</v>
      </c>
      <c r="N50" s="275">
        <f t="shared" si="36"/>
        <v>-5.2275312733178037E-2</v>
      </c>
      <c r="O50" s="275">
        <f t="shared" si="36"/>
        <v>-5.2123001865473036E-2</v>
      </c>
      <c r="P50" s="275">
        <f t="shared" si="36"/>
        <v>-5.2075234350363743E-2</v>
      </c>
      <c r="Q50" s="275">
        <f t="shared" si="36"/>
        <v>-5.190627394323663E-2</v>
      </c>
    </row>
    <row r="51" spans="2:17" ht="15.6">
      <c r="B51" s="148"/>
      <c r="E51" s="150"/>
      <c r="F51" s="150"/>
      <c r="G51" s="158"/>
      <c r="H51" s="150"/>
      <c r="I51" s="150"/>
      <c r="J51" s="150"/>
      <c r="K51" s="150"/>
      <c r="L51" s="150"/>
      <c r="O51" s="155"/>
      <c r="P51" s="155"/>
      <c r="Q51" s="155"/>
    </row>
    <row r="52" spans="2:17" s="273" customFormat="1" ht="15.6">
      <c r="B52" s="272" t="s">
        <v>461</v>
      </c>
      <c r="C52" s="122"/>
      <c r="D52" s="122"/>
      <c r="E52" s="146">
        <f>+_xlfn.XLOOKUP($B52,Inputs!$B:$B,Inputs!O:O)</f>
        <v>13035</v>
      </c>
      <c r="F52" s="146">
        <f>+_xlfn.XLOOKUP($B52,Inputs!$B:$B,Inputs!P:P)</f>
        <v>9602</v>
      </c>
      <c r="G52" s="265">
        <f>+_xlfn.XLOOKUP($B52,Inputs!$B:$B,Inputs!Q:Q)</f>
        <v>11379</v>
      </c>
      <c r="H52" s="170">
        <f>+IFERROR(H55+H58,"")</f>
        <v>12721.471761364119</v>
      </c>
      <c r="I52" s="170">
        <f t="shared" ref="I52:Q52" si="37">+IFERROR(I55+I58,"")</f>
        <v>12267.234391452086</v>
      </c>
      <c r="J52" s="170">
        <f t="shared" si="37"/>
        <v>13170.432615512935</v>
      </c>
      <c r="K52" s="170">
        <f t="shared" si="37"/>
        <v>13944.565368988562</v>
      </c>
      <c r="L52" s="170">
        <f t="shared" si="37"/>
        <v>14364.594560871243</v>
      </c>
      <c r="M52" s="170">
        <f t="shared" si="37"/>
        <v>14748.526767741158</v>
      </c>
      <c r="N52" s="170">
        <f t="shared" si="37"/>
        <v>13943.527938244142</v>
      </c>
      <c r="O52" s="170">
        <f t="shared" si="37"/>
        <v>13884.174409412355</v>
      </c>
      <c r="P52" s="170">
        <f t="shared" si="37"/>
        <v>14261.864444525032</v>
      </c>
      <c r="Q52" s="170">
        <f t="shared" si="37"/>
        <v>14913.532330941835</v>
      </c>
    </row>
    <row r="53" spans="2:17" ht="14.25" customHeight="1">
      <c r="B53" s="282" t="s">
        <v>462</v>
      </c>
      <c r="E53" s="292">
        <f>IFERROR(E52/AVERAGE(Inputs!O39+Inputs!O42+Inputs!O44,Inputs!N39+Inputs!N42+Inputs!N44),"")</f>
        <v>0.13054908735822129</v>
      </c>
      <c r="F53" s="292">
        <f>IFERROR(F52/AVERAGE(Inputs!P39+Inputs!P42+Inputs!P44,Inputs!O39+Inputs!O42+Inputs!O44),"")</f>
        <v>8.2180408334438834E-2</v>
      </c>
      <c r="G53" s="279">
        <f>IFERROR(G52/AVERAGE(Inputs!Q39+Inputs!Q42+Inputs!Q44,Inputs!P39+Inputs!P42+Inputs!P44),"")</f>
        <v>8.8273625742789324E-2</v>
      </c>
      <c r="H53" s="150">
        <f>IFERROR(H52/(G101+G107),"")</f>
        <v>0.11351666200901353</v>
      </c>
      <c r="I53" s="150">
        <f t="shared" ref="I53:Q53" si="38">IFERROR(I52/(H101+H107),"")</f>
        <v>0.11670569004483615</v>
      </c>
      <c r="J53" s="150">
        <f t="shared" si="38"/>
        <v>0.13267014140451469</v>
      </c>
      <c r="K53" s="150">
        <f t="shared" si="38"/>
        <v>0.14985037597968884</v>
      </c>
      <c r="L53" s="150">
        <f t="shared" si="38"/>
        <v>0.1654914029639542</v>
      </c>
      <c r="M53" s="150">
        <f t="shared" si="38"/>
        <v>0.18253654475707889</v>
      </c>
      <c r="N53" s="150">
        <f t="shared" si="38"/>
        <v>0.19452152067851144</v>
      </c>
      <c r="O53" s="150">
        <f t="shared" si="38"/>
        <v>0.21842371966686941</v>
      </c>
      <c r="P53" s="150">
        <f t="shared" si="38"/>
        <v>0.25151733251171038</v>
      </c>
      <c r="Q53" s="150">
        <f t="shared" si="38"/>
        <v>0.293632922500002</v>
      </c>
    </row>
    <row r="54" spans="2:17" ht="13.5" customHeight="1">
      <c r="B54" s="148"/>
      <c r="E54" s="150"/>
      <c r="F54" s="150"/>
      <c r="G54" s="158"/>
      <c r="H54" s="150"/>
      <c r="I54" s="150"/>
      <c r="J54" s="150"/>
      <c r="K54" s="150"/>
      <c r="L54" s="150"/>
      <c r="O54" s="155"/>
      <c r="P54" s="155"/>
      <c r="Q54" s="155"/>
    </row>
    <row r="55" spans="2:17" ht="13.5" customHeight="1">
      <c r="B55" s="295" t="s">
        <v>463</v>
      </c>
      <c r="C55" s="148"/>
      <c r="D55" s="148"/>
      <c r="E55" s="296">
        <f>+_xlfn.XLOOKUP($B55,Inputs!$B:$B,Inputs!O:O)</f>
        <v>11128</v>
      </c>
      <c r="F55" s="296">
        <f>+_xlfn.XLOOKUP($B55,Inputs!$B:$B,Inputs!P:P)</f>
        <v>7847</v>
      </c>
      <c r="G55" s="297">
        <f>+_xlfn.XLOOKUP($B55,Inputs!$B:$B,Inputs!Q:Q)</f>
        <v>9951</v>
      </c>
      <c r="H55" s="298">
        <f>IFERROR(H56*(G102+G103),"")</f>
        <v>11245.071761364119</v>
      </c>
      <c r="I55" s="298">
        <f t="shared" ref="I55:Q55" si="39">IFERROR(I56*(H102+H103),"")</f>
        <v>10319.667821452085</v>
      </c>
      <c r="J55" s="298">
        <f t="shared" si="39"/>
        <v>10909.56512162646</v>
      </c>
      <c r="K55" s="298">
        <f t="shared" si="39"/>
        <v>11178.342779197374</v>
      </c>
      <c r="L55" s="298">
        <f t="shared" si="39"/>
        <v>11163.474075695127</v>
      </c>
      <c r="M55" s="298">
        <f t="shared" si="39"/>
        <v>11469.994869606266</v>
      </c>
      <c r="N55" s="298">
        <f t="shared" si="39"/>
        <v>11675.876644532109</v>
      </c>
      <c r="O55" s="298">
        <f t="shared" si="39"/>
        <v>11859.503941810397</v>
      </c>
      <c r="P55" s="298">
        <f t="shared" si="39"/>
        <v>12114.490873663341</v>
      </c>
      <c r="Q55" s="298">
        <f t="shared" si="39"/>
        <v>12351.259303595985</v>
      </c>
    </row>
    <row r="56" spans="2:17" ht="16.5" customHeight="1">
      <c r="B56" s="294" t="s">
        <v>464</v>
      </c>
      <c r="C56" s="273"/>
      <c r="D56" s="273"/>
      <c r="E56" s="292">
        <f>IFERROR(E55/AVERAGE(Inputs!O40+Inputs!O42,Inputs!N40+Inputs!N42),"")</f>
        <v>6.8729328857609601E-2</v>
      </c>
      <c r="F56" s="292">
        <f>IFERROR(F55/AVERAGE(Inputs!P40+Inputs!P42,Inputs!O40+Inputs!O42),"")</f>
        <v>4.2428256667432648E-2</v>
      </c>
      <c r="G56" s="279">
        <f>IFERROR(G55/AVERAGE(Inputs!Q40+Inputs!Q42,Inputs!P40+Inputs!P42),"")</f>
        <v>4.9052204539460874E-2</v>
      </c>
      <c r="H56" s="300">
        <f>IFERROR(AVERAGE(E56:G56),"")</f>
        <v>5.340326335483437E-2</v>
      </c>
      <c r="I56" s="300">
        <f t="shared" ref="I56:Q56" si="40">IFERROR(AVERAGE(F56:H56),"")</f>
        <v>4.829457485390929E-2</v>
      </c>
      <c r="J56" s="300">
        <f t="shared" si="40"/>
        <v>5.0250014249401509E-2</v>
      </c>
      <c r="K56" s="300">
        <f t="shared" si="40"/>
        <v>5.0649284152715059E-2</v>
      </c>
      <c r="L56" s="300">
        <f t="shared" si="40"/>
        <v>4.9731291085341946E-2</v>
      </c>
      <c r="M56" s="300">
        <f t="shared" si="40"/>
        <v>5.0210196495819502E-2</v>
      </c>
      <c r="N56" s="300">
        <f t="shared" si="40"/>
        <v>5.0196923911292164E-2</v>
      </c>
      <c r="O56" s="300">
        <f t="shared" si="40"/>
        <v>5.0046137164151204E-2</v>
      </c>
      <c r="P56" s="300">
        <f t="shared" si="40"/>
        <v>5.0151085857087628E-2</v>
      </c>
      <c r="Q56" s="300">
        <f t="shared" si="40"/>
        <v>5.0131382310843665E-2</v>
      </c>
    </row>
    <row r="57" spans="2:17" s="148" customFormat="1" ht="15.6">
      <c r="C57" s="122"/>
      <c r="D57" s="122"/>
      <c r="E57" s="150"/>
      <c r="F57" s="150"/>
      <c r="G57" s="158"/>
      <c r="H57" s="156"/>
      <c r="I57" s="156"/>
      <c r="J57" s="156"/>
      <c r="K57" s="156"/>
      <c r="L57" s="156"/>
      <c r="M57" s="156"/>
      <c r="N57" s="156"/>
      <c r="O57" s="156"/>
      <c r="P57" s="156"/>
      <c r="Q57" s="156"/>
    </row>
    <row r="58" spans="2:17" s="273" customFormat="1" ht="15.6">
      <c r="B58" s="295" t="s">
        <v>465</v>
      </c>
      <c r="C58" s="148"/>
      <c r="D58" s="148"/>
      <c r="E58" s="296">
        <f>+_xlfn.XLOOKUP($B58,Inputs!$B:$B,Inputs!O:O)</f>
        <v>1907</v>
      </c>
      <c r="F58" s="296">
        <f>+_xlfn.XLOOKUP($B58,Inputs!$B:$B,Inputs!P:P)</f>
        <v>1755</v>
      </c>
      <c r="G58" s="297">
        <f>+_xlfn.XLOOKUP($B58,Inputs!$B:$B,Inputs!Q:Q)</f>
        <v>1428</v>
      </c>
      <c r="H58" s="170">
        <f t="shared" ref="H58:Q58" si="41">+H59*G107</f>
        <v>1476.4</v>
      </c>
      <c r="I58" s="170">
        <f t="shared" si="41"/>
        <v>1947.5665700000002</v>
      </c>
      <c r="J58" s="170">
        <f t="shared" si="41"/>
        <v>2260.8674938864742</v>
      </c>
      <c r="K58" s="170">
        <f t="shared" si="41"/>
        <v>2766.2225897911876</v>
      </c>
      <c r="L58" s="170">
        <f t="shared" si="41"/>
        <v>3201.1204851761167</v>
      </c>
      <c r="M58" s="170">
        <f t="shared" si="41"/>
        <v>3278.5318981348923</v>
      </c>
      <c r="N58" s="170">
        <f t="shared" si="41"/>
        <v>2267.6512937120328</v>
      </c>
      <c r="O58" s="170">
        <f t="shared" si="41"/>
        <v>2024.6704676019583</v>
      </c>
      <c r="P58" s="170">
        <f t="shared" si="41"/>
        <v>2147.3735708616914</v>
      </c>
      <c r="Q58" s="170">
        <f t="shared" si="41"/>
        <v>2562.2730273458492</v>
      </c>
    </row>
    <row r="59" spans="2:17" ht="17.100000000000001" customHeight="1">
      <c r="B59" s="294" t="s">
        <v>466</v>
      </c>
      <c r="C59" s="273"/>
      <c r="D59" s="273"/>
      <c r="E59" s="275">
        <f>IFERROR(E58/AVERAGE(Inputs!N45:O45),"")</f>
        <v>0.28702588801926548</v>
      </c>
      <c r="F59" s="275">
        <f>IFERROR(F58/AVERAGE(Inputs!O45:P45),"")</f>
        <v>0.33091354765720749</v>
      </c>
      <c r="G59" s="279">
        <f>IFERROR(G58/AVERAGE(Inputs!P45:Q45),"")</f>
        <v>0.34492753623188405</v>
      </c>
      <c r="H59" s="300">
        <v>0.4</v>
      </c>
      <c r="I59" s="300">
        <v>0.4</v>
      </c>
      <c r="J59" s="300">
        <f t="shared" ref="J59:L59" si="42">AVERAGE(G59:I59)</f>
        <v>0.38164251207729477</v>
      </c>
      <c r="K59" s="300">
        <f t="shared" si="42"/>
        <v>0.39388083735909829</v>
      </c>
      <c r="L59" s="300">
        <f t="shared" si="42"/>
        <v>0.39184111647879766</v>
      </c>
      <c r="M59" s="300">
        <v>0.35</v>
      </c>
      <c r="N59" s="300">
        <v>0.3</v>
      </c>
      <c r="O59" s="300">
        <v>0.3</v>
      </c>
      <c r="P59" s="300">
        <v>0.3</v>
      </c>
      <c r="Q59" s="300">
        <v>0.3</v>
      </c>
    </row>
    <row r="60" spans="2:17" s="148" customFormat="1" ht="6.75" customHeight="1">
      <c r="B60" s="122"/>
      <c r="C60" s="122"/>
      <c r="D60" s="122"/>
      <c r="E60" s="122"/>
      <c r="F60" s="122"/>
      <c r="G60" s="154"/>
      <c r="H60" s="122"/>
      <c r="I60" s="122"/>
      <c r="J60" s="122"/>
      <c r="K60" s="122"/>
      <c r="L60" s="122"/>
      <c r="M60" s="122"/>
      <c r="N60" s="122"/>
      <c r="O60" s="122"/>
      <c r="P60" s="122"/>
      <c r="Q60" s="122"/>
    </row>
    <row r="61" spans="2:17" s="273" customFormat="1" ht="15.6">
      <c r="B61" s="122" t="s">
        <v>283</v>
      </c>
      <c r="C61" s="122"/>
      <c r="D61" s="122"/>
      <c r="E61" s="146">
        <f>+_xlfn.XLOOKUP($B61,Inputs!$B:$B,Inputs!O:O)</f>
        <v>1374</v>
      </c>
      <c r="F61" s="146">
        <f>+_xlfn.XLOOKUP($B61,Inputs!$B:$B,Inputs!P:P)</f>
        <v>-122</v>
      </c>
      <c r="G61" s="265">
        <f>+_xlfn.XLOOKUP($B61,Inputs!$B:$B,Inputs!Q:Q)</f>
        <v>-5424</v>
      </c>
      <c r="H61" s="157">
        <f>H49</f>
        <v>-7754.1799433783435</v>
      </c>
      <c r="I61" s="157">
        <f t="shared" ref="I61:Q61" si="43">I49</f>
        <v>-2239.8839472815134</v>
      </c>
      <c r="J61" s="157">
        <f t="shared" si="43"/>
        <v>-987.49154119459263</v>
      </c>
      <c r="K61" s="157">
        <f t="shared" si="43"/>
        <v>-4057.5085951718715</v>
      </c>
      <c r="L61" s="157">
        <f t="shared" si="43"/>
        <v>-4188.4933402077513</v>
      </c>
      <c r="M61" s="157">
        <f t="shared" si="43"/>
        <v>-4429.5524054572725</v>
      </c>
      <c r="N61" s="157">
        <f t="shared" si="43"/>
        <v>-4536.5836297168662</v>
      </c>
      <c r="O61" s="157">
        <f t="shared" si="43"/>
        <v>-4662.1945726249214</v>
      </c>
      <c r="P61" s="157">
        <f t="shared" si="43"/>
        <v>-4801.3303173891218</v>
      </c>
      <c r="Q61" s="157">
        <f t="shared" si="43"/>
        <v>-4933.5575884225382</v>
      </c>
    </row>
    <row r="62" spans="2:17" ht="16.5" customHeight="1">
      <c r="B62" s="273" t="s">
        <v>235</v>
      </c>
      <c r="C62" s="283"/>
      <c r="D62" s="283"/>
      <c r="E62" s="275">
        <f>IFERROR(E61/E$32,"")</f>
        <v>2.1790845941573888E-2</v>
      </c>
      <c r="F62" s="275">
        <f t="shared" ref="F62" si="44">IFERROR(F61/F$32,"")</f>
        <v>-2.249760271446485E-3</v>
      </c>
      <c r="G62" s="279">
        <f t="shared" ref="G62" si="45">IFERROR(G61/G$32,"")</f>
        <v>-0.10214496902129903</v>
      </c>
      <c r="H62" s="275">
        <f t="shared" ref="H62:Q62" si="46">IFERROR(H61/H32,"")</f>
        <v>-0.11520184805057031</v>
      </c>
      <c r="I62" s="275">
        <f t="shared" si="46"/>
        <v>-3.1842804243574226E-2</v>
      </c>
      <c r="J62" s="275">
        <f t="shared" si="46"/>
        <v>-1.3478679744376556E-2</v>
      </c>
      <c r="K62" s="275">
        <f t="shared" si="46"/>
        <v>-5.308830771727955E-2</v>
      </c>
      <c r="L62" s="275">
        <f t="shared" si="46"/>
        <v>-5.2452368214457756E-2</v>
      </c>
      <c r="M62" s="275">
        <f t="shared" si="46"/>
        <v>-5.2603605611014459E-2</v>
      </c>
      <c r="N62" s="275">
        <f t="shared" si="46"/>
        <v>-5.2275312733178037E-2</v>
      </c>
      <c r="O62" s="275">
        <f t="shared" si="46"/>
        <v>-5.2123001865473036E-2</v>
      </c>
      <c r="P62" s="275">
        <f t="shared" si="46"/>
        <v>-5.2075234350363743E-2</v>
      </c>
      <c r="Q62" s="275">
        <f t="shared" si="46"/>
        <v>-5.190627394323663E-2</v>
      </c>
    </row>
    <row r="63" spans="2:17" ht="6" customHeight="1">
      <c r="C63"/>
      <c r="D63"/>
      <c r="E63" s="275"/>
      <c r="F63" s="275"/>
      <c r="G63" s="280"/>
      <c r="H63" s="102"/>
      <c r="I63" s="102"/>
      <c r="J63" s="102"/>
      <c r="K63" s="102"/>
      <c r="L63" s="102"/>
      <c r="M63" s="102"/>
      <c r="N63" s="102"/>
      <c r="O63" s="102"/>
      <c r="P63" s="102"/>
      <c r="Q63" s="102"/>
    </row>
    <row r="64" spans="2:17" s="283" customFormat="1" ht="15.6">
      <c r="B64" s="272" t="s">
        <v>284</v>
      </c>
      <c r="C64"/>
      <c r="D64"/>
      <c r="E64" s="146">
        <f>+_xlfn.XLOOKUP($B64,Inputs!$B:$B,Inputs!O:O)</f>
        <v>-93</v>
      </c>
      <c r="F64" s="146">
        <f>+_xlfn.XLOOKUP($B64,Inputs!$B:$B,Inputs!P:P)</f>
        <v>-457</v>
      </c>
      <c r="G64" s="265">
        <f>+_xlfn.XLOOKUP($B64,Inputs!$B:$B,Inputs!Q:Q)</f>
        <v>-211</v>
      </c>
      <c r="H64" s="157">
        <f>-H67-H70</f>
        <v>-1332.15</v>
      </c>
      <c r="I64" s="157">
        <f t="shared" ref="I64:Q64" si="47">-I67-I70</f>
        <v>-1408.924896466403</v>
      </c>
      <c r="J64" s="157">
        <f t="shared" si="47"/>
        <v>-1493.6966449597937</v>
      </c>
      <c r="K64" s="157">
        <f t="shared" si="47"/>
        <v>-1587.2020576329728</v>
      </c>
      <c r="L64" s="157">
        <f t="shared" si="47"/>
        <v>-1634.8181193619621</v>
      </c>
      <c r="M64" s="157">
        <f t="shared" si="47"/>
        <v>-1683.8626629428211</v>
      </c>
      <c r="N64" s="157">
        <f t="shared" si="47"/>
        <v>-1734.3785428311057</v>
      </c>
      <c r="O64" s="157">
        <f t="shared" si="47"/>
        <v>-1786.409899116039</v>
      </c>
      <c r="P64" s="157">
        <f t="shared" si="47"/>
        <v>-1840.0021960895203</v>
      </c>
      <c r="Q64" s="157">
        <f t="shared" si="47"/>
        <v>-1895.2022619722061</v>
      </c>
    </row>
    <row r="65" spans="2:17" customFormat="1" ht="12" customHeight="1">
      <c r="B65" s="294" t="s">
        <v>467</v>
      </c>
      <c r="E65" s="292">
        <f>IFERROR(E64/AVERAGE(Inputs!N116:O116),"")</f>
        <v>-9.6518084167920709E-3</v>
      </c>
      <c r="F65" s="292">
        <f>IFERROR(F64/AVERAGE(Inputs!O116:P116),"")</f>
        <v>-2.5336807673116371E-2</v>
      </c>
      <c r="G65" s="279">
        <f>IFERROR(G64/AVERAGE(Inputs!P116:Q116),"")</f>
        <v>-8.9682286685793221E-3</v>
      </c>
      <c r="H65" s="292">
        <f>IFERROR(H64/AVERAGE(G118+G120,H118+H120),"")</f>
        <v>-2.3872568260521254E-2</v>
      </c>
      <c r="I65" s="292">
        <f t="shared" ref="I65:Q65" si="48">IFERROR(I64/AVERAGE(H118+H120,I118+I120),"")</f>
        <v>-2.2940063089873564E-2</v>
      </c>
      <c r="J65" s="292">
        <f t="shared" si="48"/>
        <v>-2.5496159544384774E-2</v>
      </c>
      <c r="K65" s="292">
        <f t="shared" si="48"/>
        <v>-2.7858310733549951E-2</v>
      </c>
      <c r="L65" s="292">
        <f t="shared" si="48"/>
        <v>-3.0305322691061731E-2</v>
      </c>
      <c r="M65" s="292">
        <f t="shared" si="48"/>
        <v>-3.2303358238172653E-2</v>
      </c>
      <c r="N65" s="292">
        <f t="shared" si="48"/>
        <v>-3.4718194238028355E-2</v>
      </c>
      <c r="O65" s="292">
        <f t="shared" si="48"/>
        <v>-3.7183630793205746E-2</v>
      </c>
      <c r="P65" s="292">
        <f t="shared" si="48"/>
        <v>-3.9811914326840954E-2</v>
      </c>
      <c r="Q65" s="292" t="str">
        <f t="shared" si="48"/>
        <v/>
      </c>
    </row>
    <row r="66" spans="2:17" customFormat="1" ht="5.0999999999999996" customHeight="1">
      <c r="B66" s="122"/>
      <c r="E66" s="275"/>
      <c r="F66" s="275"/>
      <c r="G66" s="279"/>
      <c r="H66" s="102"/>
      <c r="I66" s="102"/>
      <c r="J66" s="102"/>
      <c r="K66" s="102"/>
      <c r="L66" s="102"/>
      <c r="M66" s="102"/>
      <c r="N66" s="102"/>
      <c r="O66" s="102"/>
      <c r="P66" s="102"/>
      <c r="Q66" s="102"/>
    </row>
    <row r="67" spans="2:17" customFormat="1" ht="13.5" customHeight="1">
      <c r="B67" s="293" t="s">
        <v>468</v>
      </c>
      <c r="E67" s="146">
        <f>+_xlfn.XLOOKUP($B67,Inputs!$B:$B,Inputs!O:O)</f>
        <v>496</v>
      </c>
      <c r="F67" s="146">
        <f>+_xlfn.XLOOKUP($B67,Inputs!$B:$B,Inputs!P:P)</f>
        <v>878</v>
      </c>
      <c r="G67" s="265">
        <f>+_xlfn.XLOOKUP($B67,Inputs!$B:$B,Inputs!Q:Q)</f>
        <v>1034</v>
      </c>
      <c r="H67" s="157"/>
      <c r="I67" s="157"/>
      <c r="J67" s="157"/>
      <c r="K67" s="157"/>
      <c r="L67" s="157"/>
      <c r="M67" s="157"/>
      <c r="N67" s="157"/>
      <c r="O67" s="157"/>
      <c r="P67" s="157"/>
      <c r="Q67" s="157"/>
    </row>
    <row r="68" spans="2:17" customFormat="1" ht="14.1" customHeight="1">
      <c r="B68" s="294" t="s">
        <v>469</v>
      </c>
      <c r="C68" s="283"/>
      <c r="D68" s="283"/>
      <c r="E68" s="292">
        <f>+IFERROR(E67/AVERAGE(Inputs!N113:O113),"")</f>
        <v>1.3048854279024493E-2</v>
      </c>
      <c r="F68" s="292">
        <f>+IFERROR(F67/AVERAGE(Inputs!O113:P113),"")</f>
        <v>1.9631956711311852E-2</v>
      </c>
      <c r="G68" s="279">
        <f>+IFERROR(G67/AVERAGE(Inputs!P113:Q113),"")</f>
        <v>2.1964716253677602E-2</v>
      </c>
      <c r="H68" s="302"/>
      <c r="I68" s="302"/>
      <c r="J68" s="302"/>
      <c r="K68" s="302"/>
      <c r="L68" s="302"/>
      <c r="M68" s="302"/>
      <c r="N68" s="302"/>
      <c r="O68" s="302"/>
      <c r="P68" s="302"/>
      <c r="Q68" s="302"/>
    </row>
    <row r="69" spans="2:17" customFormat="1" ht="6.95" customHeight="1">
      <c r="B69" s="254"/>
      <c r="E69" s="275"/>
      <c r="F69" s="275"/>
      <c r="G69" s="280"/>
      <c r="H69" s="102"/>
      <c r="I69" s="102"/>
      <c r="J69" s="102"/>
      <c r="K69" s="102"/>
      <c r="L69" s="102"/>
      <c r="M69" s="102"/>
      <c r="N69" s="102"/>
      <c r="O69" s="102"/>
      <c r="P69" s="102"/>
      <c r="Q69" s="102"/>
    </row>
    <row r="70" spans="2:17" s="283" customFormat="1" ht="15.6">
      <c r="B70" s="293" t="s">
        <v>470</v>
      </c>
      <c r="C70"/>
      <c r="D70"/>
      <c r="E70" s="146">
        <f>+_xlfn.XLOOKUP($B70,Inputs!$B:$B,Inputs!O:O)</f>
        <v>589</v>
      </c>
      <c r="F70" s="146">
        <f>+_xlfn.XLOOKUP($B70,Inputs!$B:$B,Inputs!P:P)</f>
        <v>1335</v>
      </c>
      <c r="G70" s="265">
        <f>+_xlfn.XLOOKUP($B70,Inputs!$B:$B,Inputs!Q:Q)</f>
        <v>1245</v>
      </c>
      <c r="H70" s="157">
        <f>G70*(1+H71)</f>
        <v>1332.15</v>
      </c>
      <c r="I70" s="157">
        <f t="shared" ref="I70:Q70" si="49">H70*(1+I71)</f>
        <v>1408.924896466403</v>
      </c>
      <c r="J70" s="157">
        <f t="shared" si="49"/>
        <v>1493.6966449597937</v>
      </c>
      <c r="K70" s="157">
        <f t="shared" si="49"/>
        <v>1587.2020576329728</v>
      </c>
      <c r="L70" s="157">
        <f t="shared" si="49"/>
        <v>1634.8181193619621</v>
      </c>
      <c r="M70" s="157">
        <f t="shared" si="49"/>
        <v>1683.8626629428211</v>
      </c>
      <c r="N70" s="157">
        <f t="shared" si="49"/>
        <v>1734.3785428311057</v>
      </c>
      <c r="O70" s="157">
        <f t="shared" si="49"/>
        <v>1786.409899116039</v>
      </c>
      <c r="P70" s="157">
        <f t="shared" si="49"/>
        <v>1840.0021960895203</v>
      </c>
      <c r="Q70" s="157">
        <f t="shared" si="49"/>
        <v>1895.2022619722061</v>
      </c>
    </row>
    <row r="71" spans="2:17" customFormat="1" ht="15" customHeight="1">
      <c r="B71" s="294" t="s">
        <v>471</v>
      </c>
      <c r="C71" s="283"/>
      <c r="D71" s="283"/>
      <c r="E71" s="275">
        <f>IFERROR(E70/+AVERAGE(Inputs!N32:O32),"")</f>
        <v>2.0757343482934221E-2</v>
      </c>
      <c r="F71" s="275">
        <f>IFERROR(F70/+AVERAGE(Inputs!O32:P32),"")</f>
        <v>5.002623098253766E-2</v>
      </c>
      <c r="G71" s="279">
        <f>IFERROR(G70/+AVERAGE(Inputs!P32:Q32),"")</f>
        <v>5.2870732121623916E-2</v>
      </c>
      <c r="H71" s="302">
        <v>7.0000000000000007E-2</v>
      </c>
      <c r="I71" s="302">
        <f t="shared" ref="I71:K71" si="50">AVERAGE(F71:H71)</f>
        <v>5.7632321034720525E-2</v>
      </c>
      <c r="J71" s="302">
        <f t="shared" si="50"/>
        <v>6.0167684385448145E-2</v>
      </c>
      <c r="K71" s="302">
        <f t="shared" si="50"/>
        <v>6.2600001806722885E-2</v>
      </c>
      <c r="L71" s="302">
        <v>0.03</v>
      </c>
      <c r="M71" s="302">
        <v>0.03</v>
      </c>
      <c r="N71" s="302">
        <v>0.03</v>
      </c>
      <c r="O71" s="302">
        <v>0.03</v>
      </c>
      <c r="P71" s="302">
        <v>0.03</v>
      </c>
      <c r="Q71" s="302">
        <v>0.03</v>
      </c>
    </row>
    <row r="72" spans="2:17" customFormat="1" ht="6.95" customHeight="1">
      <c r="B72" s="282"/>
      <c r="C72" s="283"/>
      <c r="D72" s="283"/>
      <c r="E72" s="275"/>
      <c r="F72" s="275"/>
      <c r="G72" s="279"/>
      <c r="H72" s="281"/>
      <c r="I72" s="281"/>
      <c r="J72" s="281"/>
      <c r="K72" s="281"/>
      <c r="L72" s="281"/>
      <c r="M72" s="281"/>
      <c r="N72" s="281"/>
      <c r="O72" s="281"/>
      <c r="P72" s="281"/>
      <c r="Q72" s="281"/>
    </row>
    <row r="73" spans="2:17" s="283" customFormat="1" ht="15.6">
      <c r="B73" s="272" t="s">
        <v>472</v>
      </c>
      <c r="E73" s="289">
        <f>+_xlfn.XLOOKUP($B73,Inputs!$B:$B,Inputs!O:O)</f>
        <v>0</v>
      </c>
      <c r="F73" s="289">
        <f>+_xlfn.XLOOKUP($B73,Inputs!$B:$B,Inputs!P:P)</f>
        <v>0</v>
      </c>
      <c r="G73" s="290">
        <f>+_xlfn.XLOOKUP($B73,Inputs!$B:$B,Inputs!Q:Q)</f>
        <v>0</v>
      </c>
      <c r="H73" s="157">
        <f>+H74*H$17</f>
        <v>0</v>
      </c>
      <c r="I73" s="157">
        <f t="shared" ref="I73:Q73" si="51">+I74*I$17</f>
        <v>0</v>
      </c>
      <c r="J73" s="157">
        <f t="shared" si="51"/>
        <v>0</v>
      </c>
      <c r="K73" s="157">
        <f t="shared" si="51"/>
        <v>0</v>
      </c>
      <c r="L73" s="157">
        <f t="shared" si="51"/>
        <v>0</v>
      </c>
      <c r="M73" s="157">
        <f t="shared" si="51"/>
        <v>0</v>
      </c>
      <c r="N73" s="157">
        <f t="shared" si="51"/>
        <v>0</v>
      </c>
      <c r="O73" s="157">
        <f t="shared" si="51"/>
        <v>0</v>
      </c>
      <c r="P73" s="157">
        <f t="shared" si="51"/>
        <v>0</v>
      </c>
      <c r="Q73" s="157">
        <f t="shared" si="51"/>
        <v>0</v>
      </c>
    </row>
    <row r="74" spans="2:17" s="283" customFormat="1" ht="12" customHeight="1">
      <c r="B74" s="294" t="s">
        <v>458</v>
      </c>
      <c r="E74" s="275"/>
      <c r="F74" s="275"/>
      <c r="G74" s="279"/>
      <c r="H74" s="302"/>
      <c r="I74" s="302"/>
      <c r="J74" s="302"/>
      <c r="K74" s="302"/>
      <c r="L74" s="302"/>
      <c r="M74" s="302"/>
      <c r="N74" s="302"/>
      <c r="O74" s="302"/>
      <c r="P74" s="302"/>
      <c r="Q74" s="302"/>
    </row>
    <row r="75" spans="2:17" s="283" customFormat="1" ht="4.5" customHeight="1">
      <c r="B75" s="294"/>
      <c r="E75" s="275"/>
      <c r="F75" s="275"/>
      <c r="G75" s="279"/>
      <c r="H75" s="281"/>
      <c r="I75" s="281"/>
      <c r="J75" s="281"/>
      <c r="K75" s="281"/>
      <c r="L75" s="281"/>
      <c r="M75" s="281"/>
      <c r="N75" s="281"/>
      <c r="O75" s="281"/>
      <c r="P75" s="281"/>
      <c r="Q75" s="281"/>
    </row>
    <row r="76" spans="2:17" s="283" customFormat="1" ht="15.6">
      <c r="B76" s="272" t="s">
        <v>473</v>
      </c>
      <c r="E76" s="289">
        <f>+_xlfn.XLOOKUP($B76,Inputs!$B:$B,Inputs!O:O)</f>
        <v>-1073</v>
      </c>
      <c r="F76" s="289">
        <f>+_xlfn.XLOOKUP($B76,Inputs!$B:$B,Inputs!P:P)</f>
        <v>-172</v>
      </c>
      <c r="G76" s="290">
        <f>+_xlfn.XLOOKUP($B76,Inputs!$B:$B,Inputs!Q:Q)</f>
        <v>227</v>
      </c>
      <c r="H76" s="301">
        <f>IFERROR(AVERAGE(E76:G76)*(1+H33),"")</f>
        <v>-430.13051342410381</v>
      </c>
      <c r="I76" s="301">
        <f t="shared" ref="I76:Q76" si="52">IFERROR(AVERAGE(F76:H76)*(1+I33),"")</f>
        <v>-130.67692850122549</v>
      </c>
      <c r="J76" s="301">
        <f t="shared" si="52"/>
        <v>-115.89016448619243</v>
      </c>
      <c r="K76" s="301">
        <f t="shared" si="52"/>
        <v>-235.31408479074054</v>
      </c>
      <c r="L76" s="301">
        <f t="shared" si="52"/>
        <v>-167.82276400894077</v>
      </c>
      <c r="M76" s="301">
        <f t="shared" si="52"/>
        <v>-182.44010358527251</v>
      </c>
      <c r="N76" s="301">
        <f t="shared" si="52"/>
        <v>-201.16418910222853</v>
      </c>
      <c r="O76" s="301">
        <f t="shared" si="52"/>
        <v>-189.45039283146122</v>
      </c>
      <c r="P76" s="301">
        <f t="shared" si="52"/>
        <v>-196.89930827112093</v>
      </c>
      <c r="Q76" s="301">
        <f t="shared" si="52"/>
        <v>-201.88631430007831</v>
      </c>
    </row>
    <row r="77" spans="2:17" s="283" customFormat="1" ht="5.25" customHeight="1">
      <c r="B77" s="148"/>
      <c r="C77" s="122"/>
      <c r="D77" s="122"/>
      <c r="E77" s="122"/>
      <c r="F77" s="122"/>
      <c r="G77" s="143"/>
      <c r="H77" s="127"/>
      <c r="I77" s="127"/>
      <c r="J77" s="127"/>
      <c r="K77" s="127"/>
      <c r="L77" s="127"/>
      <c r="M77" s="122"/>
      <c r="N77" s="122"/>
      <c r="O77" s="127"/>
      <c r="P77" s="127"/>
      <c r="Q77" s="127"/>
    </row>
    <row r="78" spans="2:17" s="283" customFormat="1" ht="15.6">
      <c r="B78" s="194" t="s">
        <v>285</v>
      </c>
      <c r="C78" s="122"/>
      <c r="D78" s="122"/>
      <c r="E78" s="289">
        <f>+_xlfn.XLOOKUP($B78,Inputs!$B:$B,Inputs!O:O)</f>
        <v>2554</v>
      </c>
      <c r="F78" s="289">
        <f>+_xlfn.XLOOKUP($B78,Inputs!$B:$B,Inputs!P:P)</f>
        <v>984</v>
      </c>
      <c r="G78" s="290">
        <f>+_xlfn.XLOOKUP($B78,Inputs!$B:$B,Inputs!Q:Q)</f>
        <v>-4963</v>
      </c>
      <c r="H78" s="153">
        <f>IFERROR(+H61-H64-H73-H76,"")</f>
        <v>-5991.8994299542401</v>
      </c>
      <c r="I78" s="153">
        <f t="shared" ref="I78:Q78" si="53">IFERROR(+I61-I64-I73-I76,"")</f>
        <v>-700.282122313885</v>
      </c>
      <c r="J78" s="153">
        <f t="shared" si="53"/>
        <v>622.09526825139358</v>
      </c>
      <c r="K78" s="153">
        <f t="shared" si="53"/>
        <v>-2234.992452748158</v>
      </c>
      <c r="L78" s="153">
        <f t="shared" si="53"/>
        <v>-2385.8524568368484</v>
      </c>
      <c r="M78" s="153">
        <f t="shared" si="53"/>
        <v>-2563.2496389291791</v>
      </c>
      <c r="N78" s="153">
        <f t="shared" si="53"/>
        <v>-2601.0408977835318</v>
      </c>
      <c r="O78" s="153">
        <f t="shared" si="53"/>
        <v>-2686.3342806774212</v>
      </c>
      <c r="P78" s="153">
        <f t="shared" si="53"/>
        <v>-2764.4288130284808</v>
      </c>
      <c r="Q78" s="153">
        <f t="shared" si="53"/>
        <v>-2836.4690121502535</v>
      </c>
    </row>
    <row r="79" spans="2:17" ht="3.75" customHeight="1">
      <c r="G79" s="143"/>
      <c r="H79" s="127"/>
      <c r="I79" s="127"/>
      <c r="J79" s="127"/>
      <c r="K79" s="127"/>
      <c r="L79" s="127"/>
      <c r="O79" s="127"/>
      <c r="P79" s="127"/>
      <c r="Q79" s="127"/>
    </row>
    <row r="80" spans="2:17" ht="13.5" customHeight="1">
      <c r="B80" s="122" t="s">
        <v>286</v>
      </c>
      <c r="E80" s="146">
        <f>+_xlfn.XLOOKUP($B80,Inputs!$B:$B,Inputs!O:O)</f>
        <v>-249</v>
      </c>
      <c r="F80" s="146">
        <f>+_xlfn.XLOOKUP($B80,Inputs!$B:$B,Inputs!P:P)</f>
        <v>-913</v>
      </c>
      <c r="G80" s="265">
        <f>+_xlfn.XLOOKUP($B80,Inputs!$B:$B,Inputs!Q:Q)</f>
        <v>8023</v>
      </c>
      <c r="H80" s="153">
        <f>IFERROR(H81*H$61,"")</f>
        <v>6828.5950644539162</v>
      </c>
      <c r="I80" s="153">
        <f>IFERROR(I81*I$61,"")</f>
        <v>2557.2323207708896</v>
      </c>
      <c r="J80" s="153">
        <f t="shared" ref="J80:Q80" si="54">IFERROR(J81*J$61,"")</f>
        <v>1197.7868698668985</v>
      </c>
      <c r="K80" s="153">
        <f t="shared" si="54"/>
        <v>4375.7172368403617</v>
      </c>
      <c r="L80" s="153">
        <f t="shared" si="54"/>
        <v>4793.1225677664415</v>
      </c>
      <c r="M80" s="153">
        <f t="shared" si="54"/>
        <v>5072.9280346939622</v>
      </c>
      <c r="N80" s="153">
        <f t="shared" si="54"/>
        <v>5093.1100216102486</v>
      </c>
      <c r="O80" s="153">
        <f t="shared" si="54"/>
        <v>5302.898588318275</v>
      </c>
      <c r="P80" s="153">
        <f t="shared" si="54"/>
        <v>5450.0649870056914</v>
      </c>
      <c r="Q80" s="153">
        <f t="shared" si="54"/>
        <v>5583.4982842532127</v>
      </c>
    </row>
    <row r="81" spans="1:17" ht="14.25" customHeight="1">
      <c r="B81" s="273" t="s">
        <v>474</v>
      </c>
      <c r="C81" s="273"/>
      <c r="D81" s="273"/>
      <c r="E81" s="275">
        <f>IFERROR(E80/E78,"")</f>
        <v>-9.7494126859827723E-2</v>
      </c>
      <c r="F81" s="275">
        <f t="shared" ref="F81:G81" si="55">IFERROR(F80/F78,"")</f>
        <v>-0.92784552845528456</v>
      </c>
      <c r="G81" s="279">
        <f t="shared" si="55"/>
        <v>-1.6165625629659479</v>
      </c>
      <c r="H81" s="300">
        <f>IFERROR(AVERAGE(E81:G81),"")</f>
        <v>-0.88063407276035333</v>
      </c>
      <c r="I81" s="300">
        <f t="shared" ref="I81:Q81" si="56">IFERROR(AVERAGE(F81:H81),"")</f>
        <v>-1.141680721393862</v>
      </c>
      <c r="J81" s="300">
        <f t="shared" si="56"/>
        <v>-1.2129591190400544</v>
      </c>
      <c r="K81" s="300">
        <f t="shared" si="56"/>
        <v>-1.0784246377314233</v>
      </c>
      <c r="L81" s="300">
        <f t="shared" si="56"/>
        <v>-1.1443548260551133</v>
      </c>
      <c r="M81" s="300">
        <f t="shared" si="56"/>
        <v>-1.1452461942755303</v>
      </c>
      <c r="N81" s="300">
        <f t="shared" si="56"/>
        <v>-1.1226752193540221</v>
      </c>
      <c r="O81" s="300">
        <f t="shared" si="56"/>
        <v>-1.137425413228222</v>
      </c>
      <c r="P81" s="300">
        <f t="shared" si="56"/>
        <v>-1.1351156089525913</v>
      </c>
      <c r="Q81" s="300">
        <f t="shared" si="56"/>
        <v>-1.1317387471782785</v>
      </c>
    </row>
    <row r="82" spans="1:17" ht="15.6">
      <c r="B82" s="273"/>
      <c r="C82" s="273"/>
      <c r="D82" s="273"/>
      <c r="E82" s="275"/>
      <c r="F82" s="275"/>
      <c r="G82" s="279"/>
      <c r="H82" s="292"/>
      <c r="I82" s="292"/>
      <c r="J82" s="292"/>
      <c r="K82" s="292"/>
      <c r="L82" s="292"/>
      <c r="M82" s="292"/>
      <c r="N82" s="292"/>
      <c r="O82" s="292"/>
      <c r="P82" s="292"/>
      <c r="Q82" s="292"/>
    </row>
    <row r="83" spans="1:17" s="273" customFormat="1" ht="15.6">
      <c r="B83" s="122" t="s">
        <v>287</v>
      </c>
      <c r="E83" s="146">
        <f>+_xlfn.XLOOKUP($B83,Inputs!$B:$B,Inputs!O:O)</f>
        <v>2803</v>
      </c>
      <c r="F83" s="146">
        <f>+_xlfn.XLOOKUP($B83,Inputs!$B:$B,Inputs!P:P)</f>
        <v>1897</v>
      </c>
      <c r="G83" s="265">
        <f>+_xlfn.XLOOKUP($B83,Inputs!$B:$B,Inputs!Q:Q)</f>
        <v>-12986</v>
      </c>
      <c r="H83" s="153">
        <f>IFERROR(+H78-H80,"")</f>
        <v>-12820.494494408156</v>
      </c>
      <c r="I83" s="153">
        <f t="shared" ref="I83:Q83" si="57">IFERROR(+I78-I80,"")</f>
        <v>-3257.5144430847745</v>
      </c>
      <c r="J83" s="153">
        <f t="shared" si="57"/>
        <v>-575.69160161550496</v>
      </c>
      <c r="K83" s="153">
        <f t="shared" si="57"/>
        <v>-6610.7096895885197</v>
      </c>
      <c r="L83" s="153">
        <f t="shared" si="57"/>
        <v>-7178.97502460329</v>
      </c>
      <c r="M83" s="153">
        <f t="shared" si="57"/>
        <v>-7636.1776736231413</v>
      </c>
      <c r="N83" s="153">
        <f t="shared" si="57"/>
        <v>-7694.15091939378</v>
      </c>
      <c r="O83" s="153">
        <f t="shared" si="57"/>
        <v>-7989.2328689956958</v>
      </c>
      <c r="P83" s="153">
        <f t="shared" si="57"/>
        <v>-8214.4938000341717</v>
      </c>
      <c r="Q83" s="153">
        <f t="shared" si="57"/>
        <v>-8419.9672964034653</v>
      </c>
    </row>
    <row r="84" spans="1:17" s="273" customFormat="1" ht="15.6" customHeight="1">
      <c r="B84" s="273" t="s">
        <v>43</v>
      </c>
      <c r="E84" s="275">
        <f>IFERROR(E83/E$32,"")</f>
        <v>4.4453960097694041E-2</v>
      </c>
      <c r="F84" s="275">
        <f t="shared" ref="F84:Q84" si="58">IFERROR(F83/F$32,"")</f>
        <v>3.498192815519658E-2</v>
      </c>
      <c r="G84" s="279">
        <f t="shared" ref="G84" si="59">IFERROR(G83/G$32,"")</f>
        <v>-0.2445528332799759</v>
      </c>
      <c r="H84" s="275">
        <f t="shared" si="58"/>
        <v>-0.19047077440332214</v>
      </c>
      <c r="I84" s="275">
        <f t="shared" si="58"/>
        <v>-4.6309718348424497E-2</v>
      </c>
      <c r="J84" s="275">
        <f t="shared" si="58"/>
        <v>-7.8578523521484252E-3</v>
      </c>
      <c r="K84" s="275">
        <f t="shared" si="58"/>
        <v>-8.6494306049796799E-2</v>
      </c>
      <c r="L84" s="275">
        <f t="shared" si="58"/>
        <v>-8.9902074757557196E-2</v>
      </c>
      <c r="M84" s="275">
        <f t="shared" si="58"/>
        <v>-9.0684214103442407E-2</v>
      </c>
      <c r="N84" s="275">
        <f t="shared" si="58"/>
        <v>-8.8660141277431243E-2</v>
      </c>
      <c r="O84" s="275">
        <f t="shared" si="58"/>
        <v>-8.931905205747466E-2</v>
      </c>
      <c r="P84" s="275">
        <f t="shared" si="58"/>
        <v>-8.9094409555017684E-2</v>
      </c>
      <c r="Q84" s="275">
        <f t="shared" si="58"/>
        <v>-8.858701276860019E-2</v>
      </c>
    </row>
    <row r="85" spans="1:17" s="273" customFormat="1" ht="15.6">
      <c r="B85" s="148"/>
      <c r="C85" s="122"/>
      <c r="D85" s="122"/>
      <c r="E85" s="122"/>
      <c r="F85" s="122"/>
      <c r="G85" s="143"/>
      <c r="H85" s="122"/>
      <c r="I85" s="122"/>
      <c r="J85" s="122"/>
      <c r="K85" s="122"/>
      <c r="L85" s="122"/>
      <c r="M85" s="122"/>
      <c r="N85" s="122"/>
      <c r="O85" s="122"/>
      <c r="P85" s="122"/>
      <c r="Q85" s="122"/>
    </row>
    <row r="86" spans="1:17" s="273" customFormat="1" ht="15.6">
      <c r="B86" s="48" t="s">
        <v>292</v>
      </c>
      <c r="C86" s="52"/>
      <c r="D86" s="52"/>
      <c r="E86" s="133">
        <f t="shared" ref="E86:Q86" si="60">E30</f>
        <v>2022</v>
      </c>
      <c r="F86" s="133">
        <f t="shared" si="60"/>
        <v>2023</v>
      </c>
      <c r="G86" s="134">
        <f t="shared" si="60"/>
        <v>2024</v>
      </c>
      <c r="H86" s="99">
        <f t="shared" si="60"/>
        <v>2025</v>
      </c>
      <c r="I86" s="99">
        <f t="shared" si="60"/>
        <v>2026</v>
      </c>
      <c r="J86" s="99">
        <f t="shared" si="60"/>
        <v>2027</v>
      </c>
      <c r="K86" s="99">
        <f t="shared" si="60"/>
        <v>2028</v>
      </c>
      <c r="L86" s="99">
        <f t="shared" si="60"/>
        <v>2029</v>
      </c>
      <c r="M86" s="99">
        <f t="shared" si="60"/>
        <v>2030</v>
      </c>
      <c r="N86" s="99">
        <f t="shared" si="60"/>
        <v>2031</v>
      </c>
      <c r="O86" s="99">
        <f t="shared" si="60"/>
        <v>2032</v>
      </c>
      <c r="P86" s="99">
        <f t="shared" si="60"/>
        <v>2033</v>
      </c>
      <c r="Q86" s="99">
        <f t="shared" si="60"/>
        <v>2034</v>
      </c>
    </row>
    <row r="87" spans="1:17" ht="3.75" customHeight="1">
      <c r="B87" s="160"/>
      <c r="C87" s="49"/>
      <c r="D87" s="49"/>
      <c r="E87" s="49"/>
      <c r="F87" s="49"/>
      <c r="G87" s="161"/>
      <c r="H87" s="49"/>
      <c r="I87" s="49"/>
      <c r="J87" s="49"/>
      <c r="K87" s="49"/>
      <c r="L87" s="49"/>
      <c r="M87" s="49"/>
      <c r="N87" s="49"/>
      <c r="O87" s="49"/>
      <c r="P87" s="49"/>
      <c r="Q87" s="49"/>
    </row>
    <row r="88" spans="1:17" ht="15.6">
      <c r="A88" s="122" t="s">
        <v>424</v>
      </c>
      <c r="B88" s="145" t="s">
        <v>475</v>
      </c>
      <c r="G88" s="154"/>
    </row>
    <row r="89" spans="1:17" ht="3.95" customHeight="1">
      <c r="B89" s="148"/>
      <c r="G89" s="154"/>
    </row>
    <row r="90" spans="1:17" ht="13.5" customHeight="1">
      <c r="B90" s="122" t="s">
        <v>476</v>
      </c>
      <c r="E90" s="146">
        <f>+_xlfn.XLOOKUP($B90,Inputs!$B:$B,Inputs!O:O)</f>
        <v>28338</v>
      </c>
      <c r="F90" s="146">
        <f>+_xlfn.XLOOKUP($B90,Inputs!$B:$B,Inputs!P:P)</f>
        <v>25034</v>
      </c>
      <c r="G90" s="265">
        <f>+_xlfn.XLOOKUP($B90,Inputs!$B:$B,Inputs!Q:Q)</f>
        <v>22062</v>
      </c>
      <c r="H90" s="164">
        <f t="shared" ref="H90:Q90" ca="1" si="61">IFERROR(G90+H168,"")</f>
        <v>56777.72832463526</v>
      </c>
      <c r="I90" s="164">
        <f t="shared" ca="1" si="61"/>
        <v>80702.74460684153</v>
      </c>
      <c r="J90" s="164">
        <f t="shared" ca="1" si="61"/>
        <v>111291.77635277985</v>
      </c>
      <c r="K90" s="164">
        <f t="shared" ca="1" si="61"/>
        <v>137371.95573039242</v>
      </c>
      <c r="L90" s="164">
        <f t="shared" ca="1" si="61"/>
        <v>159559.1266330225</v>
      </c>
      <c r="M90" s="164">
        <f t="shared" ca="1" si="61"/>
        <v>184494.53762501286</v>
      </c>
      <c r="N90" s="164">
        <f t="shared" ca="1" si="61"/>
        <v>207363.23918445298</v>
      </c>
      <c r="O90" s="164">
        <f t="shared" ca="1" si="61"/>
        <v>229576.52659878111</v>
      </c>
      <c r="P90" s="164">
        <f t="shared" ca="1" si="61"/>
        <v>252974.97987333793</v>
      </c>
      <c r="Q90" s="164">
        <f t="shared" ca="1" si="61"/>
        <v>276357.79182369489</v>
      </c>
    </row>
    <row r="91" spans="1:17" ht="3" customHeight="1">
      <c r="E91" s="146"/>
      <c r="F91" s="146"/>
      <c r="G91" s="265"/>
    </row>
    <row r="92" spans="1:17" ht="13.5" customHeight="1">
      <c r="B92" s="122" t="s">
        <v>294</v>
      </c>
      <c r="E92" s="146">
        <f>+_xlfn.XLOOKUP($B92,Inputs!$B:$B,Inputs!O:O)</f>
        <v>4133</v>
      </c>
      <c r="F92" s="146">
        <f>+_xlfn.XLOOKUP($B92,Inputs!$B:$B,Inputs!P:P)</f>
        <v>3402</v>
      </c>
      <c r="G92" s="265">
        <f>+_xlfn.XLOOKUP($B92,Inputs!$B:$B,Inputs!Q:Q)</f>
        <v>3478</v>
      </c>
      <c r="H92" s="164">
        <f>IFERROR(H93*H32/365,"")</f>
        <v>4420.7049288332173</v>
      </c>
      <c r="I92" s="164">
        <f t="shared" ref="I92:Q92" si="62">IFERROR(I93*I32/365,"")</f>
        <v>4550.8797036463557</v>
      </c>
      <c r="J92" s="164">
        <f t="shared" si="62"/>
        <v>4787.7784785793847</v>
      </c>
      <c r="K92" s="164">
        <f t="shared" si="62"/>
        <v>4986.3621310382878</v>
      </c>
      <c r="L92" s="164">
        <f t="shared" si="62"/>
        <v>5198.1371242180412</v>
      </c>
      <c r="M92" s="164">
        <f t="shared" si="62"/>
        <v>5492.7138595720226</v>
      </c>
      <c r="N92" s="164">
        <f t="shared" si="62"/>
        <v>5657.2599562334353</v>
      </c>
      <c r="O92" s="164">
        <f t="shared" si="62"/>
        <v>5829.3254301091492</v>
      </c>
      <c r="P92" s="164">
        <f t="shared" si="62"/>
        <v>6011.1143566709725</v>
      </c>
      <c r="Q92" s="164">
        <f t="shared" si="62"/>
        <v>6195.7272735675915</v>
      </c>
    </row>
    <row r="93" spans="1:17" ht="13.5" customHeight="1">
      <c r="B93" s="148" t="s">
        <v>477</v>
      </c>
      <c r="E93" s="307">
        <f>IFERROR(E92/E32*365,"")</f>
        <v>23.924651885685286</v>
      </c>
      <c r="F93" s="307">
        <f>IFERROR(F92/F32*365,"")</f>
        <v>22.898318211993807</v>
      </c>
      <c r="G93" s="308">
        <f>IFERROR(G92/G32*366,"")</f>
        <v>23.972203913297303</v>
      </c>
      <c r="H93" s="309">
        <f>G93</f>
        <v>23.972203913297303</v>
      </c>
      <c r="I93" s="309">
        <f t="shared" ref="I93:Q93" si="63">IFERROR(AVERAGE(F93:H93),"")</f>
        <v>23.614242012862803</v>
      </c>
      <c r="J93" s="309">
        <f t="shared" si="63"/>
        <v>23.852883279819139</v>
      </c>
      <c r="K93" s="309">
        <f t="shared" si="63"/>
        <v>23.813109735326417</v>
      </c>
      <c r="L93" s="309">
        <f t="shared" si="63"/>
        <v>23.760078342669456</v>
      </c>
      <c r="M93" s="309">
        <f t="shared" si="63"/>
        <v>23.808690452605006</v>
      </c>
      <c r="N93" s="309">
        <f t="shared" si="63"/>
        <v>23.793959510200295</v>
      </c>
      <c r="O93" s="309">
        <f t="shared" si="63"/>
        <v>23.787576101824921</v>
      </c>
      <c r="P93" s="309">
        <f t="shared" si="63"/>
        <v>23.796742021543409</v>
      </c>
      <c r="Q93" s="309">
        <f t="shared" si="63"/>
        <v>23.792759211189544</v>
      </c>
    </row>
    <row r="94" spans="1:17" ht="4.5" customHeight="1">
      <c r="E94" s="165"/>
      <c r="F94" s="165"/>
      <c r="G94" s="166"/>
      <c r="H94" s="164"/>
      <c r="I94" s="164"/>
      <c r="J94" s="164"/>
      <c r="K94" s="164"/>
      <c r="L94" s="164"/>
      <c r="O94" s="164"/>
      <c r="P94" s="164"/>
      <c r="Q94" s="164"/>
    </row>
    <row r="95" spans="1:17" ht="15.6">
      <c r="B95" s="122" t="s">
        <v>478</v>
      </c>
      <c r="E95" s="146">
        <f>+_xlfn.XLOOKUP($B95,Inputs!$B:$B,Inputs!O:O)</f>
        <v>13224</v>
      </c>
      <c r="F95" s="146">
        <f>+_xlfn.XLOOKUP($B95,Inputs!$B:$B,Inputs!P:P)</f>
        <v>11127</v>
      </c>
      <c r="G95" s="265">
        <f>+_xlfn.XLOOKUP($B95,Inputs!$B:$B,Inputs!Q:Q)</f>
        <v>12198</v>
      </c>
      <c r="H95" s="164">
        <f>+IFERROR(H96*H35/365,"")</f>
        <v>14925.520526261331</v>
      </c>
      <c r="I95" s="164">
        <f t="shared" ref="I95:Q95" si="64">+IFERROR(I96*I35/365,"")</f>
        <v>14893.222932144012</v>
      </c>
      <c r="J95" s="164">
        <f t="shared" si="64"/>
        <v>15001.156000186209</v>
      </c>
      <c r="K95" s="164">
        <f t="shared" si="64"/>
        <v>16694.646440574288</v>
      </c>
      <c r="L95" s="164">
        <f t="shared" si="64"/>
        <v>17445.162888123235</v>
      </c>
      <c r="M95" s="164">
        <f t="shared" si="64"/>
        <v>18393.588268883937</v>
      </c>
      <c r="N95" s="164">
        <f t="shared" si="64"/>
        <v>18957.132516253299</v>
      </c>
      <c r="O95" s="164">
        <f t="shared" si="64"/>
        <v>19539.310778732433</v>
      </c>
      <c r="P95" s="164">
        <f t="shared" si="64"/>
        <v>20140.361996712403</v>
      </c>
      <c r="Q95" s="164">
        <f t="shared" si="64"/>
        <v>20762.622010162926</v>
      </c>
    </row>
    <row r="96" spans="1:17" ht="16.5" customHeight="1">
      <c r="B96" s="148" t="s">
        <v>479</v>
      </c>
      <c r="E96" s="307">
        <f>IFERROR(E95/E35*365,"")</f>
        <v>133.38012600862163</v>
      </c>
      <c r="F96" s="307">
        <f>IFERROR(F95/F35*365,"")</f>
        <v>124.89943721745549</v>
      </c>
      <c r="G96" s="308">
        <f>IFERROR(G95/G35*365,"")</f>
        <v>124.51812283253162</v>
      </c>
      <c r="H96" s="309">
        <f>G96</f>
        <v>124.51812283253162</v>
      </c>
      <c r="I96" s="309">
        <f t="shared" ref="I96:Q96" si="65">IFERROR(AVERAGE(F96:H96),"")</f>
        <v>124.64522762750624</v>
      </c>
      <c r="J96" s="309">
        <f t="shared" si="65"/>
        <v>124.56049109752315</v>
      </c>
      <c r="K96" s="309">
        <f t="shared" si="65"/>
        <v>124.57461385252033</v>
      </c>
      <c r="L96" s="309">
        <f t="shared" si="65"/>
        <v>124.59344419251657</v>
      </c>
      <c r="M96" s="309">
        <f t="shared" si="65"/>
        <v>124.57618304752002</v>
      </c>
      <c r="N96" s="309">
        <f t="shared" si="65"/>
        <v>124.58141369751898</v>
      </c>
      <c r="O96" s="309">
        <f t="shared" si="65"/>
        <v>124.58368031251852</v>
      </c>
      <c r="P96" s="309">
        <f t="shared" si="65"/>
        <v>124.5804256858525</v>
      </c>
      <c r="Q96" s="309">
        <f t="shared" si="65"/>
        <v>124.58183989863001</v>
      </c>
    </row>
    <row r="97" spans="2:17" ht="15.6">
      <c r="G97" s="154"/>
    </row>
    <row r="98" spans="2:17" ht="15.6">
      <c r="B98" s="122" t="s">
        <v>480</v>
      </c>
      <c r="E98" s="146">
        <f>+_xlfn.XLOOKUP($B98,Inputs!$B:$B,Inputs!O:O)</f>
        <v>4712</v>
      </c>
      <c r="F98" s="146">
        <f>+_xlfn.XLOOKUP($B98,Inputs!$B:$B,Inputs!P:P)</f>
        <v>3706</v>
      </c>
      <c r="G98" s="265">
        <f>+_xlfn.XLOOKUP($B98,Inputs!$B:$B,Inputs!Q:Q)</f>
        <v>9586</v>
      </c>
      <c r="H98" s="164">
        <f>IFERROR(AVERAGE(E98:G98)*(1+H99),"")</f>
        <v>7084.7174755026572</v>
      </c>
      <c r="I98" s="164">
        <f t="shared" ref="I98:Q98" si="66">IFERROR(AVERAGE(F98:H98)*(1+I99),"")</f>
        <v>7764.4098428116868</v>
      </c>
      <c r="J98" s="164">
        <f t="shared" si="66"/>
        <v>9513.8913363771044</v>
      </c>
      <c r="K98" s="164">
        <f t="shared" si="66"/>
        <v>9452.0734804939566</v>
      </c>
      <c r="L98" s="164">
        <f t="shared" si="66"/>
        <v>10321.170899127264</v>
      </c>
      <c r="M98" s="164">
        <f t="shared" si="66"/>
        <v>11357.966826730133</v>
      </c>
      <c r="N98" s="164">
        <f t="shared" si="66"/>
        <v>12057.156620764546</v>
      </c>
      <c r="O98" s="164">
        <f t="shared" si="66"/>
        <v>13058.609652763258</v>
      </c>
      <c r="P98" s="164">
        <f t="shared" si="66"/>
        <v>14129.855942078679</v>
      </c>
      <c r="Q98" s="164">
        <f t="shared" si="66"/>
        <v>15198.237728278367</v>
      </c>
    </row>
    <row r="99" spans="2:17" ht="14.25" customHeight="1">
      <c r="B99" s="273" t="s">
        <v>458</v>
      </c>
      <c r="C99" s="273"/>
      <c r="D99" s="273"/>
      <c r="E99" s="304">
        <f>IFERROR(E98/E$32,"")</f>
        <v>7.4729596853490662E-2</v>
      </c>
      <c r="F99" s="304">
        <f t="shared" ref="F99:G99" si="67">IFERROR(F98/F$32,"")</f>
        <v>6.8341078409677652E-2</v>
      </c>
      <c r="G99" s="305">
        <f t="shared" si="67"/>
        <v>0.1805239072710495</v>
      </c>
      <c r="H99" s="304">
        <f>G99</f>
        <v>0.1805239072710495</v>
      </c>
      <c r="I99" s="304">
        <f t="shared" ref="I99:Q99" si="68">IFERROR(AVERAGE(F99:H99),"")</f>
        <v>0.14312963098392553</v>
      </c>
      <c r="J99" s="304">
        <f t="shared" si="68"/>
        <v>0.16805914850867484</v>
      </c>
      <c r="K99" s="304">
        <f t="shared" si="68"/>
        <v>0.16390422892121662</v>
      </c>
      <c r="L99" s="304">
        <f t="shared" si="68"/>
        <v>0.15836433613793899</v>
      </c>
      <c r="M99" s="304">
        <f t="shared" si="68"/>
        <v>0.16344257118927683</v>
      </c>
      <c r="N99" s="304">
        <f t="shared" si="68"/>
        <v>0.16190371208281082</v>
      </c>
      <c r="O99" s="304">
        <f t="shared" si="68"/>
        <v>0.16123687313667556</v>
      </c>
      <c r="P99" s="304">
        <f t="shared" si="68"/>
        <v>0.16219438546958773</v>
      </c>
      <c r="Q99" s="304">
        <f t="shared" si="68"/>
        <v>0.16177832356302471</v>
      </c>
    </row>
    <row r="100" spans="2:17" ht="15.6">
      <c r="E100" s="165"/>
      <c r="F100" s="165"/>
      <c r="G100" s="166"/>
      <c r="H100" s="164"/>
      <c r="I100" s="164"/>
      <c r="J100" s="164"/>
      <c r="K100" s="164"/>
      <c r="L100" s="164"/>
      <c r="O100" s="164"/>
      <c r="P100" s="164"/>
      <c r="Q100" s="164"/>
    </row>
    <row r="101" spans="2:17" s="273" customFormat="1" ht="15.6">
      <c r="B101" s="122" t="s">
        <v>481</v>
      </c>
      <c r="C101" s="122"/>
      <c r="D101" s="122"/>
      <c r="E101" s="146">
        <f>+E102+E103-E105</f>
        <v>81347</v>
      </c>
      <c r="F101" s="146">
        <f t="shared" ref="F101:G101" si="69">+F102+F103-F105</f>
        <v>97152</v>
      </c>
      <c r="G101" s="265">
        <f t="shared" si="69"/>
        <v>108376</v>
      </c>
      <c r="H101" s="164">
        <f>IFERROR(H102+H103-H105,"")</f>
        <v>100243.64823863588</v>
      </c>
      <c r="I101" s="164">
        <f t="shared" ref="I101:Q101" si="70">IFERROR(I102+I103-I105,"")</f>
        <v>93347.972417183802</v>
      </c>
      <c r="J101" s="164">
        <f t="shared" si="70"/>
        <v>86033.598895557341</v>
      </c>
      <c r="K101" s="164">
        <f t="shared" si="70"/>
        <v>78630.207296359964</v>
      </c>
      <c r="L101" s="164">
        <f t="shared" si="70"/>
        <v>71430.431959664857</v>
      </c>
      <c r="M101" s="164">
        <f t="shared" si="70"/>
        <v>64122.320766008575</v>
      </c>
      <c r="N101" s="164">
        <f t="shared" si="70"/>
        <v>56816.421981223975</v>
      </c>
      <c r="O101" s="164">
        <f t="shared" si="70"/>
        <v>49545.394792148465</v>
      </c>
      <c r="P101" s="164">
        <f t="shared" si="70"/>
        <v>42248.80450885676</v>
      </c>
      <c r="Q101" s="164">
        <f t="shared" si="70"/>
        <v>34956.340825150983</v>
      </c>
    </row>
    <row r="102" spans="2:17" ht="14.25" customHeight="1">
      <c r="B102" s="272" t="s">
        <v>482</v>
      </c>
      <c r="E102" s="312">
        <f>+_xlfn.XLOOKUP("Gross PP&amp;E (Property, Plant and Equipment)",Inputs!$B:$B,Inputs!O:O)</f>
        <v>174733</v>
      </c>
      <c r="F102" s="312">
        <f>+_xlfn.XLOOKUP("Gross PP&amp;E (Property, Plant and Equipment)",Inputs!$B:$B,Inputs!P:P)</f>
        <v>195162</v>
      </c>
      <c r="G102" s="319">
        <f>+_xlfn.XLOOKUP("Gross PP&amp;E (Property, Plant and Equipment)",Inputs!$B:$B,Inputs!Q:Q)</f>
        <v>210569</v>
      </c>
      <c r="H102" s="317">
        <f>+IFERROR(G102-H136,"")</f>
        <v>213681.72</v>
      </c>
      <c r="I102" s="317">
        <f t="shared" ref="I102:Q102" si="71">+IFERROR(H102-I136,"")</f>
        <v>217105.712</v>
      </c>
      <c r="J102" s="317">
        <f t="shared" si="71"/>
        <v>220700.90359999999</v>
      </c>
      <c r="K102" s="317">
        <f t="shared" si="71"/>
        <v>224475.85477999999</v>
      </c>
      <c r="L102" s="317">
        <f t="shared" si="71"/>
        <v>228439.55351900001</v>
      </c>
      <c r="M102" s="317">
        <f t="shared" si="71"/>
        <v>232601.43719495001</v>
      </c>
      <c r="N102" s="317">
        <f t="shared" si="71"/>
        <v>236971.41505469751</v>
      </c>
      <c r="O102" s="317">
        <f t="shared" si="71"/>
        <v>241559.8918074324</v>
      </c>
      <c r="P102" s="317">
        <f t="shared" si="71"/>
        <v>246377.79239780403</v>
      </c>
      <c r="Q102" s="317">
        <f t="shared" si="71"/>
        <v>251436.58801769424</v>
      </c>
    </row>
    <row r="103" spans="2:17" ht="15.6">
      <c r="B103" s="310" t="s">
        <v>483</v>
      </c>
      <c r="C103" s="148"/>
      <c r="D103" s="148"/>
      <c r="E103" s="312">
        <f>+_xlfn.XLOOKUP("Right-of-Use Assets",Inputs!$B:$B,Inputs!O:O)</f>
        <v>0</v>
      </c>
      <c r="F103" s="312">
        <f>+_xlfn.XLOOKUP("Right-of-Use Assets",Inputs!$B:$B,Inputs!P:P)</f>
        <v>0</v>
      </c>
      <c r="G103" s="319">
        <f>+_xlfn.XLOOKUP("Right-of-Use Assets",Inputs!$B:$B,Inputs!Q:Q)</f>
        <v>0</v>
      </c>
      <c r="H103" s="317">
        <f>IFERROR(H104*H$32,"")</f>
        <v>0</v>
      </c>
      <c r="I103" s="317">
        <f t="shared" ref="I103:Q103" si="72">IFERROR(I104*I$32,"")</f>
        <v>0</v>
      </c>
      <c r="J103" s="317">
        <f t="shared" si="72"/>
        <v>0</v>
      </c>
      <c r="K103" s="317">
        <f t="shared" si="72"/>
        <v>0</v>
      </c>
      <c r="L103" s="317">
        <f t="shared" si="72"/>
        <v>0</v>
      </c>
      <c r="M103" s="317">
        <f t="shared" si="72"/>
        <v>0</v>
      </c>
      <c r="N103" s="317">
        <f t="shared" si="72"/>
        <v>0</v>
      </c>
      <c r="O103" s="317">
        <f t="shared" si="72"/>
        <v>0</v>
      </c>
      <c r="P103" s="317">
        <f t="shared" si="72"/>
        <v>0</v>
      </c>
      <c r="Q103" s="317">
        <f t="shared" si="72"/>
        <v>0</v>
      </c>
    </row>
    <row r="104" spans="2:17" ht="15.6">
      <c r="B104" s="320" t="s">
        <v>458</v>
      </c>
      <c r="E104" s="304">
        <f>IFERROR(E103/E$32,"")</f>
        <v>0</v>
      </c>
      <c r="F104" s="304">
        <f t="shared" ref="F104" si="73">IFERROR(F103/F$32,"")</f>
        <v>0</v>
      </c>
      <c r="G104" s="305">
        <f>IFERROR(G103/G$32,"")</f>
        <v>0</v>
      </c>
      <c r="H104" s="303">
        <f>IFERROR(AVERAGE(E104:G104),"")</f>
        <v>0</v>
      </c>
      <c r="I104" s="303">
        <f t="shared" ref="I104:Q104" si="74">IFERROR(AVERAGE(F104:H104),"")</f>
        <v>0</v>
      </c>
      <c r="J104" s="303">
        <f t="shared" si="74"/>
        <v>0</v>
      </c>
      <c r="K104" s="303">
        <f t="shared" si="74"/>
        <v>0</v>
      </c>
      <c r="L104" s="303">
        <f t="shared" si="74"/>
        <v>0</v>
      </c>
      <c r="M104" s="303">
        <f t="shared" si="74"/>
        <v>0</v>
      </c>
      <c r="N104" s="303">
        <f t="shared" si="74"/>
        <v>0</v>
      </c>
      <c r="O104" s="303">
        <f t="shared" si="74"/>
        <v>0</v>
      </c>
      <c r="P104" s="303">
        <f t="shared" si="74"/>
        <v>0</v>
      </c>
      <c r="Q104" s="303">
        <f t="shared" si="74"/>
        <v>0</v>
      </c>
    </row>
    <row r="105" spans="2:17" ht="15.6">
      <c r="B105" s="272" t="s">
        <v>484</v>
      </c>
      <c r="E105" s="312">
        <f>+_xlfn.XLOOKUP($B105,Inputs!$B:$B,Inputs!O:O)</f>
        <v>93386</v>
      </c>
      <c r="F105" s="312">
        <f>+_xlfn.XLOOKUP($B105,Inputs!$B:$B,Inputs!P:P)</f>
        <v>98010</v>
      </c>
      <c r="G105" s="313">
        <f>+_xlfn.XLOOKUP($B105,Inputs!$B:$B,Inputs!Q:Q)</f>
        <v>102193</v>
      </c>
      <c r="H105" s="314">
        <f>+IFERROR(G105+H55,"")</f>
        <v>113438.07176136412</v>
      </c>
      <c r="I105" s="314">
        <f t="shared" ref="I105:Q105" si="75">+IFERROR(H105+I55,"")</f>
        <v>123757.7395828162</v>
      </c>
      <c r="J105" s="314">
        <f t="shared" si="75"/>
        <v>134667.30470444265</v>
      </c>
      <c r="K105" s="314">
        <f t="shared" si="75"/>
        <v>145845.64748364003</v>
      </c>
      <c r="L105" s="314">
        <f t="shared" si="75"/>
        <v>157009.12155933515</v>
      </c>
      <c r="M105" s="314">
        <f t="shared" si="75"/>
        <v>168479.11642894143</v>
      </c>
      <c r="N105" s="314">
        <f t="shared" si="75"/>
        <v>180154.99307347354</v>
      </c>
      <c r="O105" s="314">
        <f t="shared" si="75"/>
        <v>192014.49701528394</v>
      </c>
      <c r="P105" s="314">
        <f t="shared" si="75"/>
        <v>204128.98788894727</v>
      </c>
      <c r="Q105" s="314">
        <f t="shared" si="75"/>
        <v>216480.24719254326</v>
      </c>
    </row>
    <row r="106" spans="2:17" ht="15.6">
      <c r="E106" s="162"/>
      <c r="F106" s="162"/>
      <c r="G106" s="163"/>
      <c r="H106" s="164"/>
      <c r="I106" s="164"/>
      <c r="J106" s="164"/>
      <c r="K106" s="164"/>
      <c r="L106" s="164"/>
      <c r="M106" s="164"/>
      <c r="N106" s="164"/>
      <c r="O106" s="164"/>
      <c r="P106" s="164"/>
      <c r="Q106" s="164"/>
    </row>
    <row r="107" spans="2:17" ht="15.6">
      <c r="B107" s="122" t="s">
        <v>485</v>
      </c>
      <c r="E107" s="146">
        <f>+_xlfn.XLOOKUP($B107,Inputs!$B:$B,Inputs!O:O)</f>
        <v>6018</v>
      </c>
      <c r="F107" s="146">
        <f>+_xlfn.XLOOKUP($B107,Inputs!$B:$B,Inputs!P:P)</f>
        <v>4589</v>
      </c>
      <c r="G107" s="265">
        <f>+_xlfn.XLOOKUP($B107,Inputs!$B:$B,Inputs!Q:Q)</f>
        <v>3691</v>
      </c>
      <c r="H107" s="164">
        <f t="shared" ref="H107:Q107" si="76">+G107+H108*H44</f>
        <v>4868.9164250000003</v>
      </c>
      <c r="I107" s="164">
        <f t="shared" si="76"/>
        <v>5924.0452055000005</v>
      </c>
      <c r="J107" s="164">
        <f t="shared" si="76"/>
        <v>7022.9935742450007</v>
      </c>
      <c r="K107" s="164">
        <f t="shared" si="76"/>
        <v>8169.4348820316509</v>
      </c>
      <c r="L107" s="164">
        <f t="shared" si="76"/>
        <v>9367.2339946711218</v>
      </c>
      <c r="M107" s="164">
        <f t="shared" si="76"/>
        <v>7558.8376457067761</v>
      </c>
      <c r="N107" s="164">
        <f t="shared" si="76"/>
        <v>6748.9015586731948</v>
      </c>
      <c r="O107" s="164">
        <f t="shared" si="76"/>
        <v>7157.9119028723053</v>
      </c>
      <c r="P107" s="164">
        <f t="shared" si="76"/>
        <v>8540.9100911528312</v>
      </c>
      <c r="Q107" s="164">
        <f t="shared" si="76"/>
        <v>9966.6214397899203</v>
      </c>
    </row>
    <row r="108" spans="2:17" ht="14.25" customHeight="1">
      <c r="B108" s="85" t="s">
        <v>486</v>
      </c>
      <c r="C108" s="85"/>
      <c r="D108" s="85"/>
      <c r="E108" s="789">
        <f>IFERROR((E107-Inputs!N45)/E44,"")</f>
        <v>-7.1428571428571425E-2</v>
      </c>
      <c r="F108" s="789">
        <f>IFERROR((F107-E107)/F44,"")</f>
        <v>-8.9056462669824255E-2</v>
      </c>
      <c r="G108" s="790">
        <f>IFERROR((G107-F107)/G44,"")</f>
        <v>-5.4272936057053064E-2</v>
      </c>
      <c r="H108" s="303">
        <v>0.05</v>
      </c>
      <c r="I108" s="303">
        <v>0.05</v>
      </c>
      <c r="J108" s="303">
        <v>0.05</v>
      </c>
      <c r="K108" s="303">
        <v>0.05</v>
      </c>
      <c r="L108" s="303">
        <v>0.05</v>
      </c>
      <c r="M108" s="303">
        <f>AVERAGE(E108:G108)</f>
        <v>-7.1585990051816248E-2</v>
      </c>
      <c r="N108" s="303">
        <f t="shared" ref="N108:Q108" si="77">AVERAGE(F108:H108)</f>
        <v>-3.1109799575625777E-2</v>
      </c>
      <c r="O108" s="303">
        <f t="shared" si="77"/>
        <v>1.5242354647648981E-2</v>
      </c>
      <c r="P108" s="303">
        <f t="shared" si="77"/>
        <v>5.000000000000001E-2</v>
      </c>
      <c r="Q108" s="303">
        <f t="shared" si="77"/>
        <v>5.000000000000001E-2</v>
      </c>
    </row>
    <row r="109" spans="2:17" ht="5.25" customHeight="1">
      <c r="B109" s="85"/>
      <c r="C109" s="85"/>
      <c r="D109" s="85"/>
      <c r="E109" s="364"/>
      <c r="F109" s="364"/>
      <c r="G109" s="365"/>
      <c r="H109" s="329"/>
      <c r="I109" s="329"/>
      <c r="J109" s="329"/>
      <c r="K109" s="329"/>
      <c r="L109" s="329"/>
      <c r="M109" s="329"/>
      <c r="N109" s="329"/>
      <c r="O109" s="329"/>
      <c r="P109" s="329"/>
      <c r="Q109" s="329"/>
    </row>
    <row r="110" spans="2:17" s="85" customFormat="1" ht="15.6">
      <c r="B110" s="145" t="s">
        <v>487</v>
      </c>
      <c r="C110" s="122"/>
      <c r="D110" s="122"/>
      <c r="E110" s="286"/>
      <c r="F110" s="286"/>
      <c r="G110" s="285"/>
      <c r="H110" s="164"/>
      <c r="I110" s="164"/>
      <c r="J110" s="164"/>
      <c r="K110" s="164"/>
      <c r="L110" s="164"/>
      <c r="M110" s="164"/>
      <c r="N110" s="164"/>
      <c r="O110" s="164"/>
      <c r="P110" s="164"/>
      <c r="Q110" s="164"/>
    </row>
    <row r="111" spans="2:17" s="85" customFormat="1" ht="3.75" customHeight="1">
      <c r="B111" s="122"/>
      <c r="C111" s="122"/>
      <c r="D111" s="122"/>
      <c r="E111" s="286"/>
      <c r="F111" s="286"/>
      <c r="G111" s="285"/>
      <c r="H111" s="164"/>
      <c r="I111" s="164"/>
      <c r="J111" s="164"/>
      <c r="K111" s="164"/>
      <c r="L111" s="164"/>
      <c r="M111" s="164"/>
      <c r="N111" s="164"/>
      <c r="O111" s="164"/>
      <c r="P111" s="164"/>
      <c r="Q111" s="164"/>
    </row>
    <row r="112" spans="2:17" ht="13.5" customHeight="1">
      <c r="B112" s="122" t="s">
        <v>300</v>
      </c>
      <c r="E112" s="146">
        <f>+_xlfn.XLOOKUP($B112,Inputs!$B:$B,Inputs!O:O)</f>
        <v>9595</v>
      </c>
      <c r="F112" s="146">
        <f>+_xlfn.XLOOKUP($B112,Inputs!$B:$B,Inputs!P:P)</f>
        <v>8578</v>
      </c>
      <c r="G112" s="265">
        <f>+_xlfn.XLOOKUP($B112,Inputs!$B:$B,Inputs!Q:Q)</f>
        <v>12556</v>
      </c>
      <c r="H112" s="164">
        <f>+IFERROR(H113*H35/365,"")</f>
        <v>15405.662701577359</v>
      </c>
      <c r="I112" s="164">
        <f t="shared" ref="I112:Q112" si="78">+IFERROR(I113*I35/365,"")</f>
        <v>14072.721475305687</v>
      </c>
      <c r="J112" s="164">
        <f t="shared" si="78"/>
        <v>15047.093458528636</v>
      </c>
      <c r="K112" s="164">
        <f t="shared" si="78"/>
        <v>16583.866532001826</v>
      </c>
      <c r="L112" s="164">
        <f t="shared" si="78"/>
        <v>17103.886843071567</v>
      </c>
      <c r="M112" s="164">
        <f t="shared" si="78"/>
        <v>18251.717324280729</v>
      </c>
      <c r="N112" s="164">
        <f t="shared" si="78"/>
        <v>18742.836590059327</v>
      </c>
      <c r="O112" s="164">
        <f t="shared" si="78"/>
        <v>19288.029021190512</v>
      </c>
      <c r="P112" s="164">
        <f t="shared" si="78"/>
        <v>19926.35196112873</v>
      </c>
      <c r="Q112" s="164">
        <f t="shared" si="78"/>
        <v>20521.841243395018</v>
      </c>
    </row>
    <row r="113" spans="1:17" ht="18" customHeight="1">
      <c r="B113" s="148" t="s">
        <v>488</v>
      </c>
      <c r="E113" s="307">
        <f>IFERROR(E112/E$35*365,"")</f>
        <v>96.777246601083235</v>
      </c>
      <c r="F113" s="307">
        <f t="shared" ref="F113" si="79">IFERROR(F112/F$35*365,"")</f>
        <v>96.287172863425297</v>
      </c>
      <c r="G113" s="308">
        <f>IFERROR(G112/G$35*366,"")</f>
        <v>128.52377223403064</v>
      </c>
      <c r="H113" s="306">
        <f>G113</f>
        <v>128.52377223403064</v>
      </c>
      <c r="I113" s="306">
        <f t="shared" ref="I113:Q113" si="80">IFERROR(AVERAGE(F113:H113),"")</f>
        <v>117.77823911049552</v>
      </c>
      <c r="J113" s="306">
        <f t="shared" si="80"/>
        <v>124.94192785951894</v>
      </c>
      <c r="K113" s="306">
        <f t="shared" si="80"/>
        <v>123.74797973468169</v>
      </c>
      <c r="L113" s="306">
        <f t="shared" si="80"/>
        <v>122.15604890156538</v>
      </c>
      <c r="M113" s="306">
        <f t="shared" si="80"/>
        <v>123.61531883192201</v>
      </c>
      <c r="N113" s="306">
        <f t="shared" si="80"/>
        <v>123.17311582272303</v>
      </c>
      <c r="O113" s="306">
        <f t="shared" si="80"/>
        <v>122.98149451873682</v>
      </c>
      <c r="P113" s="306">
        <f t="shared" si="80"/>
        <v>123.25664305779395</v>
      </c>
      <c r="Q113" s="306">
        <f t="shared" si="80"/>
        <v>123.13708446641795</v>
      </c>
    </row>
    <row r="114" spans="1:17" ht="4.5" customHeight="1">
      <c r="E114" s="165"/>
      <c r="F114" s="165"/>
      <c r="G114" s="166"/>
      <c r="H114" s="164"/>
      <c r="I114" s="164"/>
      <c r="J114" s="164"/>
      <c r="K114" s="164"/>
      <c r="L114" s="164"/>
      <c r="O114" s="164"/>
      <c r="P114" s="164"/>
      <c r="Q114" s="164"/>
    </row>
    <row r="115" spans="1:17" ht="15.6">
      <c r="B115" s="122" t="s">
        <v>489</v>
      </c>
      <c r="E115" s="146">
        <f>+_xlfn.XLOOKUP($B115,Inputs!$B:$B,Inputs!O:O)</f>
        <v>18443</v>
      </c>
      <c r="F115" s="146">
        <f>+_xlfn.XLOOKUP($B115,Inputs!$B:$B,Inputs!P:P)</f>
        <v>19333</v>
      </c>
      <c r="G115" s="265">
        <f>+_xlfn.XLOOKUP($B115,Inputs!$B:$B,Inputs!Q:Q)</f>
        <v>22929</v>
      </c>
      <c r="H115" s="164">
        <f>IFERROR(AVERAGE(E115:G115)*(1+H33),"")</f>
        <v>25649.383907082734</v>
      </c>
      <c r="I115" s="164">
        <f t="shared" ref="I115:Q115" si="81">IFERROR(AVERAGE(F115:H115)*(1+I33),"")</f>
        <v>23656.969352456053</v>
      </c>
      <c r="J115" s="164">
        <f t="shared" si="81"/>
        <v>25078.431213761833</v>
      </c>
      <c r="K115" s="164">
        <f t="shared" si="81"/>
        <v>25866.483514715732</v>
      </c>
      <c r="L115" s="164">
        <f t="shared" si="81"/>
        <v>25981.289504734723</v>
      </c>
      <c r="M115" s="164">
        <f t="shared" si="81"/>
        <v>27039.873281121672</v>
      </c>
      <c r="N115" s="164">
        <f t="shared" si="81"/>
        <v>27100.399586433196</v>
      </c>
      <c r="O115" s="164">
        <f t="shared" si="81"/>
        <v>27526.871018330705</v>
      </c>
      <c r="P115" s="164">
        <f t="shared" si="81"/>
        <v>28060.505473481342</v>
      </c>
      <c r="Q115" s="164">
        <f t="shared" si="81"/>
        <v>28413.847959045965</v>
      </c>
    </row>
    <row r="116" spans="1:17" ht="13.5" customHeight="1">
      <c r="B116" s="273" t="s">
        <v>490</v>
      </c>
      <c r="C116" s="325"/>
      <c r="D116" s="325"/>
      <c r="E116" s="304">
        <f>IFERROR(E115/E$32,"")</f>
        <v>0.29249532147048563</v>
      </c>
      <c r="F116" s="304">
        <f t="shared" ref="F116:Q116" si="82">IFERROR(F115/F$32,"")</f>
        <v>0.35651324039241722</v>
      </c>
      <c r="G116" s="305">
        <f t="shared" si="82"/>
        <v>0.43179977778196266</v>
      </c>
      <c r="H116" s="304">
        <f>G116</f>
        <v>0.43179977778196266</v>
      </c>
      <c r="I116" s="304">
        <f t="shared" si="82"/>
        <v>0.33631396171250655</v>
      </c>
      <c r="J116" s="304">
        <f t="shared" si="82"/>
        <v>0.34230586159022314</v>
      </c>
      <c r="K116" s="304">
        <f t="shared" si="82"/>
        <v>0.33843621133105695</v>
      </c>
      <c r="L116" s="304">
        <f t="shared" si="82"/>
        <v>0.32536285797727399</v>
      </c>
      <c r="M116" s="304">
        <f t="shared" si="82"/>
        <v>0.32111479889018157</v>
      </c>
      <c r="N116" s="304">
        <f t="shared" si="82"/>
        <v>0.31227945502754922</v>
      </c>
      <c r="O116" s="304">
        <f t="shared" si="82"/>
        <v>0.30774844916677763</v>
      </c>
      <c r="P116" s="304">
        <f t="shared" si="82"/>
        <v>0.30434427584141122</v>
      </c>
      <c r="Q116" s="304">
        <f t="shared" si="82"/>
        <v>0.29894390599690707</v>
      </c>
    </row>
    <row r="117" spans="1:17" ht="6.75" customHeight="1">
      <c r="B117" s="266"/>
      <c r="C117" s="239"/>
      <c r="D117" s="239"/>
      <c r="E117" s="321"/>
      <c r="F117" s="321"/>
      <c r="G117" s="322"/>
      <c r="H117" s="323"/>
      <c r="I117" s="323"/>
      <c r="J117" s="323"/>
      <c r="K117" s="323"/>
      <c r="L117" s="323"/>
      <c r="M117" s="323"/>
      <c r="N117" s="323"/>
      <c r="O117" s="323"/>
      <c r="P117" s="323"/>
      <c r="Q117" s="323"/>
    </row>
    <row r="118" spans="1:17" s="325" customFormat="1" ht="15.6">
      <c r="B118" s="122" t="s">
        <v>491</v>
      </c>
      <c r="C118" s="122"/>
      <c r="D118" s="122"/>
      <c r="E118" s="289">
        <f>+_xlfn.XLOOKUP($B118,Inputs!$B:$B,Inputs!O:O)</f>
        <v>41628</v>
      </c>
      <c r="F118" s="289">
        <f>+_xlfn.XLOOKUP($B118,Inputs!$B:$B,Inputs!P:P)</f>
        <v>46978</v>
      </c>
      <c r="G118" s="290">
        <f>+_xlfn.XLOOKUP($B118,Inputs!$B:$B,Inputs!Q:Q)</f>
        <v>46282</v>
      </c>
      <c r="H118" s="164">
        <f t="shared" ref="H118:P118" si="83">IFERROR(G118+H159-H161,"")</f>
        <v>64280</v>
      </c>
      <c r="I118" s="164">
        <f t="shared" si="83"/>
        <v>57379.633708311761</v>
      </c>
      <c r="J118" s="164">
        <f t="shared" si="83"/>
        <v>58569.256586604744</v>
      </c>
      <c r="K118" s="164">
        <f t="shared" si="83"/>
        <v>54096.09907631539</v>
      </c>
      <c r="L118" s="164">
        <f t="shared" si="83"/>
        <v>52459.268020634488</v>
      </c>
      <c r="M118" s="164">
        <f t="shared" si="83"/>
        <v>50393.070315325298</v>
      </c>
      <c r="N118" s="164">
        <f t="shared" si="83"/>
        <v>48056.954652076995</v>
      </c>
      <c r="O118" s="164">
        <f t="shared" si="83"/>
        <v>46523.536473382694</v>
      </c>
      <c r="P118" s="164">
        <f t="shared" si="83"/>
        <v>44359.424785029245</v>
      </c>
      <c r="Q118" s="164" t="s">
        <v>492</v>
      </c>
    </row>
    <row r="119" spans="1:17" s="239" customFormat="1" ht="5.25" customHeight="1">
      <c r="B119" s="148"/>
      <c r="C119" s="122"/>
      <c r="D119" s="122"/>
      <c r="E119" s="167"/>
      <c r="F119" s="167"/>
      <c r="G119" s="324"/>
      <c r="H119" s="291"/>
      <c r="I119" s="291"/>
      <c r="J119" s="291"/>
      <c r="K119" s="291"/>
      <c r="L119" s="291"/>
      <c r="M119" s="291"/>
      <c r="N119" s="291"/>
      <c r="O119" s="291"/>
      <c r="P119" s="291"/>
      <c r="Q119" s="291"/>
    </row>
    <row r="120" spans="1:17" ht="15.6">
      <c r="B120" s="122" t="s">
        <v>493</v>
      </c>
      <c r="E120" s="289">
        <f>+_xlfn.XLOOKUP($B120,Inputs!$B:$B,Inputs!O:O)</f>
        <v>409</v>
      </c>
      <c r="F120" s="289">
        <f>+_xlfn.XLOOKUP($B120,Inputs!$B:$B,Inputs!P:P)</f>
        <v>431</v>
      </c>
      <c r="G120" s="290">
        <f>+_xlfn.XLOOKUP($B120,Inputs!$B:$B,Inputs!Q:Q)</f>
        <v>460</v>
      </c>
      <c r="H120" s="164">
        <f>+IFERROR(H121*H32,"")</f>
        <v>583.08458597766526</v>
      </c>
      <c r="I120" s="164">
        <f t="shared" ref="I120:Q120" si="84">+IFERROR(I121*I32,"")</f>
        <v>592.5930949233491</v>
      </c>
      <c r="J120" s="164">
        <f t="shared" si="84"/>
        <v>628.84121214613731</v>
      </c>
      <c r="K120" s="164">
        <f t="shared" si="84"/>
        <v>653.99422766952762</v>
      </c>
      <c r="L120" s="164">
        <f t="shared" si="84"/>
        <v>680.4728162416875</v>
      </c>
      <c r="M120" s="164">
        <f t="shared" si="84"/>
        <v>720.29160743744012</v>
      </c>
      <c r="N120" s="164">
        <f t="shared" si="84"/>
        <v>741.47785433972251</v>
      </c>
      <c r="O120" s="164">
        <f t="shared" si="84"/>
        <v>763.85486301126082</v>
      </c>
      <c r="P120" s="164">
        <f t="shared" si="84"/>
        <v>787.93499271762073</v>
      </c>
      <c r="Q120" s="164">
        <f t="shared" si="84"/>
        <v>812.01796494519965</v>
      </c>
    </row>
    <row r="121" spans="1:17" ht="14.25" customHeight="1">
      <c r="B121" s="148" t="s">
        <v>494</v>
      </c>
      <c r="E121" s="287">
        <f>IFERROR(E120/E$32,"")</f>
        <v>6.4865036318076568E-3</v>
      </c>
      <c r="F121" s="287">
        <f>IFERROR(F120/F$32,"")</f>
        <v>7.947923581913402E-3</v>
      </c>
      <c r="G121" s="288">
        <f>IFERROR(G120/G$32,"")</f>
        <v>8.6627370482665108E-3</v>
      </c>
      <c r="H121" s="140">
        <f>G121</f>
        <v>8.6627370482665108E-3</v>
      </c>
      <c r="I121" s="140">
        <f t="shared" ref="I121:Q121" si="85">+IFERROR(AVERAGE(F121:H121),"")</f>
        <v>8.4244658928154751E-3</v>
      </c>
      <c r="J121" s="140">
        <f t="shared" si="85"/>
        <v>8.5833133297828334E-3</v>
      </c>
      <c r="K121" s="140">
        <f t="shared" si="85"/>
        <v>8.5568387569549403E-3</v>
      </c>
      <c r="L121" s="140">
        <f t="shared" si="85"/>
        <v>8.5215393265177502E-3</v>
      </c>
      <c r="M121" s="140">
        <f t="shared" si="85"/>
        <v>8.5538971377518425E-3</v>
      </c>
      <c r="N121" s="140">
        <f t="shared" si="85"/>
        <v>8.5440917404081777E-3</v>
      </c>
      <c r="O121" s="140">
        <f t="shared" si="85"/>
        <v>8.5398427348925901E-3</v>
      </c>
      <c r="P121" s="140">
        <f t="shared" si="85"/>
        <v>8.5459438710175362E-3</v>
      </c>
      <c r="Q121" s="140">
        <f t="shared" si="85"/>
        <v>8.5432927821061013E-3</v>
      </c>
    </row>
    <row r="122" spans="1:17" ht="15.6">
      <c r="G122" s="154"/>
    </row>
    <row r="123" spans="1:17" ht="15.6">
      <c r="B123" s="48" t="s">
        <v>252</v>
      </c>
      <c r="C123" s="48"/>
      <c r="D123" s="48"/>
      <c r="E123" s="133">
        <f t="shared" ref="E123:Q123" si="86">E30</f>
        <v>2022</v>
      </c>
      <c r="F123" s="133">
        <f t="shared" si="86"/>
        <v>2023</v>
      </c>
      <c r="G123" s="159">
        <f t="shared" si="86"/>
        <v>2024</v>
      </c>
      <c r="H123" s="99">
        <f t="shared" si="86"/>
        <v>2025</v>
      </c>
      <c r="I123" s="99">
        <f t="shared" si="86"/>
        <v>2026</v>
      </c>
      <c r="J123" s="99">
        <f t="shared" si="86"/>
        <v>2027</v>
      </c>
      <c r="K123" s="99">
        <f t="shared" si="86"/>
        <v>2028</v>
      </c>
      <c r="L123" s="99">
        <f t="shared" si="86"/>
        <v>2029</v>
      </c>
      <c r="M123" s="99">
        <f t="shared" si="86"/>
        <v>2030</v>
      </c>
      <c r="N123" s="99">
        <f t="shared" si="86"/>
        <v>2031</v>
      </c>
      <c r="O123" s="99">
        <f t="shared" si="86"/>
        <v>2032</v>
      </c>
      <c r="P123" s="99">
        <f t="shared" si="86"/>
        <v>2033</v>
      </c>
      <c r="Q123" s="99">
        <f t="shared" si="86"/>
        <v>2034</v>
      </c>
    </row>
    <row r="124" spans="1:17" ht="3.75" customHeight="1">
      <c r="B124" s="49"/>
      <c r="C124" s="49"/>
      <c r="D124" s="49"/>
      <c r="E124" s="168"/>
      <c r="F124" s="168"/>
      <c r="G124" s="169"/>
      <c r="H124" s="49"/>
      <c r="I124" s="49"/>
      <c r="J124" s="49"/>
      <c r="K124" s="49"/>
      <c r="L124" s="49"/>
      <c r="M124" s="49"/>
      <c r="N124" s="49"/>
      <c r="O124" s="49"/>
      <c r="P124" s="49"/>
      <c r="Q124" s="49"/>
    </row>
    <row r="125" spans="1:17" ht="15.6">
      <c r="A125" s="122" t="s">
        <v>424</v>
      </c>
      <c r="B125" s="122" t="s">
        <v>461</v>
      </c>
      <c r="E125" s="162">
        <f>+E52</f>
        <v>13035</v>
      </c>
      <c r="F125" s="162">
        <f t="shared" ref="F125:Q125" si="87">+F52</f>
        <v>9602</v>
      </c>
      <c r="G125" s="163">
        <f t="shared" si="87"/>
        <v>11379</v>
      </c>
      <c r="H125" s="164">
        <f>+H52</f>
        <v>12721.471761364119</v>
      </c>
      <c r="I125" s="164">
        <f t="shared" si="87"/>
        <v>12267.234391452086</v>
      </c>
      <c r="J125" s="164">
        <f t="shared" si="87"/>
        <v>13170.432615512935</v>
      </c>
      <c r="K125" s="164">
        <f t="shared" si="87"/>
        <v>13944.565368988562</v>
      </c>
      <c r="L125" s="164">
        <f t="shared" si="87"/>
        <v>14364.594560871243</v>
      </c>
      <c r="M125" s="164">
        <f t="shared" si="87"/>
        <v>14748.526767741158</v>
      </c>
      <c r="N125" s="164">
        <f t="shared" si="87"/>
        <v>13943.527938244142</v>
      </c>
      <c r="O125" s="164">
        <f t="shared" si="87"/>
        <v>13884.174409412355</v>
      </c>
      <c r="P125" s="164">
        <f t="shared" si="87"/>
        <v>14261.864444525032</v>
      </c>
      <c r="Q125" s="164">
        <f t="shared" si="87"/>
        <v>14913.532330941835</v>
      </c>
    </row>
    <row r="126" spans="1:17" ht="3.95" customHeight="1">
      <c r="G126" s="143"/>
    </row>
    <row r="127" spans="1:17" ht="15.6">
      <c r="B127" s="122" t="s">
        <v>495</v>
      </c>
      <c r="E127" s="289">
        <f>+_xlfn.XLOOKUP($B127,Inputs!$B:$B,Inputs!O:O)</f>
        <v>3128</v>
      </c>
      <c r="F127" s="289">
        <f>+_xlfn.XLOOKUP($B127,Inputs!$B:$B,Inputs!P:P)</f>
        <v>3229</v>
      </c>
      <c r="G127" s="290">
        <f>+_xlfn.XLOOKUP($B127,Inputs!$B:$B,Inputs!Q:Q)</f>
        <v>3410</v>
      </c>
      <c r="H127" s="164">
        <f>IFERROR(H128*H41,"")</f>
        <v>3813.8600272752751</v>
      </c>
      <c r="I127" s="164">
        <f t="shared" ref="I127:Q127" si="88">IFERROR(I128*I41,"")</f>
        <v>4227.9407939311468</v>
      </c>
      <c r="J127" s="164">
        <f t="shared" si="88"/>
        <v>4419.832234119358</v>
      </c>
      <c r="K127" s="164">
        <f t="shared" si="88"/>
        <v>4511.7615126283126</v>
      </c>
      <c r="L127" s="164">
        <f t="shared" si="88"/>
        <v>4776.967079959205</v>
      </c>
      <c r="M127" s="164">
        <f t="shared" si="88"/>
        <v>5029.4052313833754</v>
      </c>
      <c r="N127" s="164">
        <f t="shared" si="88"/>
        <v>5165.8965178562667</v>
      </c>
      <c r="O127" s="164">
        <f t="shared" si="88"/>
        <v>5339.209673044279</v>
      </c>
      <c r="P127" s="164">
        <f t="shared" si="88"/>
        <v>5499.6036429055521</v>
      </c>
      <c r="Q127" s="164">
        <f t="shared" si="88"/>
        <v>5666.9685118165198</v>
      </c>
    </row>
    <row r="128" spans="1:17" ht="15" customHeight="1">
      <c r="B128" s="273" t="s">
        <v>496</v>
      </c>
      <c r="E128" s="287">
        <f>+IFERROR(E127/E41,"")</f>
        <v>0.44672950585546989</v>
      </c>
      <c r="F128" s="287">
        <f t="shared" ref="F128:G128" si="89">+IFERROR(F127/F41,"")</f>
        <v>0.57312744053958109</v>
      </c>
      <c r="G128" s="288">
        <f t="shared" si="89"/>
        <v>0.61921191211185767</v>
      </c>
      <c r="H128" s="140">
        <f>IFERROR(AVERAGE(E128:G128),"")</f>
        <v>0.54635628616896958</v>
      </c>
      <c r="I128" s="140">
        <f t="shared" ref="I128:Q128" si="90">IFERROR(AVERAGE(F128:H128),"")</f>
        <v>0.57956521294013619</v>
      </c>
      <c r="J128" s="140">
        <f t="shared" si="90"/>
        <v>0.58171113707365452</v>
      </c>
      <c r="K128" s="140">
        <f t="shared" si="90"/>
        <v>0.5692108787275868</v>
      </c>
      <c r="L128" s="140">
        <f t="shared" si="90"/>
        <v>0.57682907624712587</v>
      </c>
      <c r="M128" s="140">
        <f t="shared" si="90"/>
        <v>0.5759170306827891</v>
      </c>
      <c r="N128" s="140">
        <f t="shared" si="90"/>
        <v>0.573985661885834</v>
      </c>
      <c r="O128" s="140">
        <f t="shared" si="90"/>
        <v>0.57557725627191625</v>
      </c>
      <c r="P128" s="140">
        <f t="shared" si="90"/>
        <v>0.57515998294684645</v>
      </c>
      <c r="Q128" s="140">
        <f t="shared" si="90"/>
        <v>0.57490763370153219</v>
      </c>
    </row>
    <row r="129" spans="2:17" ht="5.45" customHeight="1">
      <c r="B129" s="273"/>
      <c r="E129" s="287"/>
      <c r="F129" s="287"/>
      <c r="G129" s="288"/>
      <c r="H129" s="291"/>
      <c r="I129" s="291"/>
      <c r="J129" s="291"/>
      <c r="K129" s="291"/>
      <c r="L129" s="291"/>
      <c r="M129" s="291"/>
      <c r="N129" s="291"/>
      <c r="O129" s="291"/>
      <c r="P129" s="291"/>
      <c r="Q129" s="291"/>
    </row>
    <row r="130" spans="2:17" ht="13.5" customHeight="1">
      <c r="B130" s="122" t="s">
        <v>497</v>
      </c>
      <c r="E130" s="289">
        <f>+_xlfn.XLOOKUP($B130,Inputs!$B:$B,Inputs!O:O)</f>
        <v>-3230</v>
      </c>
      <c r="F130" s="289">
        <f>+_xlfn.XLOOKUP($B130,Inputs!$B:$B,Inputs!P:P)</f>
        <v>-2118</v>
      </c>
      <c r="G130" s="290">
        <f>+_xlfn.XLOOKUP($B130,Inputs!$B:$B,Inputs!Q:Q)</f>
        <v>-1120</v>
      </c>
      <c r="H130" s="170">
        <f>IFERROR(-((H92+H95+H98-H112-H115)-(G92+G95+G98-G112-G115)),"")</f>
        <v>4401.1036780628892</v>
      </c>
      <c r="I130" s="170">
        <f t="shared" ref="I130:P130" si="91">IFERROR(-((I92+I95+I98-I112-I115)-(H92+H95+H98-H112-H115)),"")</f>
        <v>-4102.9253289032022</v>
      </c>
      <c r="J130" s="170">
        <f t="shared" si="91"/>
        <v>301.52050798808159</v>
      </c>
      <c r="K130" s="170">
        <f t="shared" si="91"/>
        <v>494.56913746325699</v>
      </c>
      <c r="L130" s="170">
        <f t="shared" si="91"/>
        <v>-1196.5625582732755</v>
      </c>
      <c r="M130" s="170">
        <f t="shared" si="91"/>
        <v>-73.383786121437879</v>
      </c>
      <c r="N130" s="170">
        <f t="shared" si="91"/>
        <v>-875.63456697507354</v>
      </c>
      <c r="O130" s="170">
        <f t="shared" si="91"/>
        <v>-784.03290532486062</v>
      </c>
      <c r="P130" s="170">
        <f t="shared" si="91"/>
        <v>-682.12903876835844</v>
      </c>
      <c r="Q130" s="170">
        <f>IFERROR(-((Q92+Q95+Q98-Q112-Q115)-(P92+P95+P98-P112-P115)),"")</f>
        <v>-926.4229487159173</v>
      </c>
    </row>
    <row r="131" spans="2:17" ht="3.75" customHeight="1">
      <c r="G131" s="143"/>
    </row>
    <row r="132" spans="2:17" ht="13.5" customHeight="1">
      <c r="B132" s="377" t="s">
        <v>498</v>
      </c>
      <c r="C132" s="377"/>
      <c r="D132" s="377"/>
      <c r="E132" s="378">
        <f>+_xlfn.XLOOKUP($B132,Inputs!$B:$B,Inputs!O:O)</f>
        <v>-303</v>
      </c>
      <c r="F132" s="378">
        <f>+_xlfn.XLOOKUP($B132,Inputs!$B:$B,Inputs!P:P)</f>
        <v>-1139</v>
      </c>
      <c r="G132" s="379">
        <f>+_xlfn.XLOOKUP($B132,Inputs!$B:$B,Inputs!Q:Q)</f>
        <v>7605</v>
      </c>
      <c r="H132" s="380">
        <f>IFERROR(AVERAGE(E132:G132)*(1+H33),"")</f>
        <v>2604.0219589712692</v>
      </c>
      <c r="I132" s="380">
        <f t="shared" ref="I132:Q132" si="92">IFERROR(AVERAGE(F132:H132)*(1+I33),"")</f>
        <v>3159.547327191317</v>
      </c>
      <c r="J132" s="380">
        <f t="shared" si="92"/>
        <v>4641.2557029360905</v>
      </c>
      <c r="K132" s="380">
        <f t="shared" si="92"/>
        <v>3618.162450287477</v>
      </c>
      <c r="L132" s="380">
        <f t="shared" si="92"/>
        <v>3976.8358620724871</v>
      </c>
      <c r="M132" s="380">
        <f t="shared" si="92"/>
        <v>4301.092993047645</v>
      </c>
      <c r="N132" s="380">
        <f t="shared" si="92"/>
        <v>4086.6833149628624</v>
      </c>
      <c r="O132" s="380">
        <f t="shared" si="92"/>
        <v>4248.0335420327674</v>
      </c>
      <c r="P132" s="380">
        <f t="shared" si="92"/>
        <v>4341.6139537639465</v>
      </c>
      <c r="Q132" s="380">
        <f t="shared" si="92"/>
        <v>4355.9441723848104</v>
      </c>
    </row>
    <row r="133" spans="2:17" ht="3.75" customHeight="1">
      <c r="E133" s="318"/>
      <c r="F133" s="318"/>
      <c r="G133" s="290"/>
      <c r="H133" s="164"/>
      <c r="I133" s="164"/>
      <c r="J133" s="164"/>
      <c r="K133" s="164"/>
      <c r="L133" s="164"/>
      <c r="M133" s="164"/>
      <c r="N133" s="164"/>
      <c r="O133" s="164"/>
      <c r="P133" s="164"/>
      <c r="Q133" s="164"/>
    </row>
    <row r="134" spans="2:17" ht="13.5" customHeight="1">
      <c r="B134" s="395" t="s">
        <v>306</v>
      </c>
      <c r="C134" s="145"/>
      <c r="D134" s="145"/>
      <c r="E134" s="341">
        <f>+_xlfn.XLOOKUP($B134,Inputs!$B:$B,Inputs!O:O)</f>
        <v>15433</v>
      </c>
      <c r="F134" s="341">
        <f>+_xlfn.XLOOKUP($B134,Inputs!$B:$B,Inputs!P:P)</f>
        <v>11471</v>
      </c>
      <c r="G134" s="342">
        <f>+_xlfn.XLOOKUP($B134,Inputs!$B:$B,Inputs!Q:Q)</f>
        <v>8288</v>
      </c>
      <c r="H134" s="484">
        <f>IFERROR(H83+H125+H127+H130+H132,"")</f>
        <v>10719.962931265396</v>
      </c>
      <c r="I134" s="484">
        <f t="shared" ref="I134:Q134" si="93">IFERROR(I83+I125+I127+I130+I132,"")</f>
        <v>12294.282740586576</v>
      </c>
      <c r="J134" s="484">
        <f t="shared" si="93"/>
        <v>21957.34945894096</v>
      </c>
      <c r="K134" s="484">
        <f t="shared" si="93"/>
        <v>15958.348779779089</v>
      </c>
      <c r="L134" s="484">
        <f t="shared" si="93"/>
        <v>14742.859920026369</v>
      </c>
      <c r="M134" s="484">
        <f t="shared" si="93"/>
        <v>16369.463532427599</v>
      </c>
      <c r="N134" s="484">
        <f t="shared" si="93"/>
        <v>14626.322284694417</v>
      </c>
      <c r="O134" s="484">
        <f t="shared" si="93"/>
        <v>14698.151850168844</v>
      </c>
      <c r="P134" s="484">
        <f t="shared" si="93"/>
        <v>15206.459202392001</v>
      </c>
      <c r="Q134" s="484">
        <f t="shared" si="93"/>
        <v>15590.054770023782</v>
      </c>
    </row>
    <row r="135" spans="2:17" ht="5.25" customHeight="1">
      <c r="G135" s="143"/>
    </row>
    <row r="136" spans="2:17" ht="13.5" customHeight="1">
      <c r="B136" s="337" t="s">
        <v>499</v>
      </c>
      <c r="C136" s="337"/>
      <c r="D136" s="337"/>
      <c r="E136" s="338">
        <f>+_xlfn.XLOOKUP($B136,Inputs!$B:$B,Inputs!O:O)</f>
        <v>-25050</v>
      </c>
      <c r="F136" s="338">
        <f>+_xlfn.XLOOKUP($B136,Inputs!$B:$B,Inputs!P:P)</f>
        <v>-25750</v>
      </c>
      <c r="G136" s="339">
        <f>+_xlfn.XLOOKUP($B136,Inputs!$B:$B,Inputs!Q:Q)</f>
        <v>-23944</v>
      </c>
      <c r="H136" s="340">
        <f>IFERROR(H138+H141,"")</f>
        <v>-3112.7200000000003</v>
      </c>
      <c r="I136" s="340">
        <f t="shared" ref="I136:Q136" si="94">IFERROR(I138+I141,"")</f>
        <v>-3423.9920000000006</v>
      </c>
      <c r="J136" s="340">
        <f t="shared" si="94"/>
        <v>-3595.191600000001</v>
      </c>
      <c r="K136" s="340">
        <f t="shared" si="94"/>
        <v>-3774.9511800000014</v>
      </c>
      <c r="L136" s="340">
        <f t="shared" si="94"/>
        <v>-3963.6987390000018</v>
      </c>
      <c r="M136" s="340">
        <f t="shared" si="94"/>
        <v>-4161.8836759500018</v>
      </c>
      <c r="N136" s="340">
        <f t="shared" si="94"/>
        <v>-4369.9778597475024</v>
      </c>
      <c r="O136" s="340">
        <f t="shared" si="94"/>
        <v>-4588.4767527348777</v>
      </c>
      <c r="P136" s="340">
        <f t="shared" si="94"/>
        <v>-4817.9005903716215</v>
      </c>
      <c r="Q136" s="340">
        <f t="shared" si="94"/>
        <v>-5058.7956198902029</v>
      </c>
    </row>
    <row r="137" spans="2:17" ht="3.75" customHeight="1">
      <c r="B137" s="148"/>
      <c r="E137" s="150"/>
      <c r="F137" s="150"/>
      <c r="G137" s="151"/>
      <c r="H137" s="150"/>
      <c r="I137" s="150"/>
      <c r="J137" s="150"/>
      <c r="K137" s="150"/>
      <c r="L137" s="150"/>
      <c r="M137" s="150"/>
      <c r="N137" s="150"/>
      <c r="O137" s="150"/>
      <c r="P137" s="150"/>
      <c r="Q137" s="150"/>
    </row>
    <row r="138" spans="2:17" ht="13.5" customHeight="1">
      <c r="B138" s="272" t="s">
        <v>500</v>
      </c>
      <c r="C138" s="148"/>
      <c r="D138" s="148"/>
      <c r="E138" s="315">
        <f>+_xlfn.XLOOKUP($B138,Inputs!$B:$B,Inputs!O:O)</f>
        <v>-25050</v>
      </c>
      <c r="F138" s="315">
        <f>+_xlfn.XLOOKUP($B138,Inputs!$B:$B,Inputs!P:P)</f>
        <v>-25750</v>
      </c>
      <c r="G138" s="316">
        <f>+_xlfn.XLOOKUP($B138,Inputs!$B:$B,Inputs!Q:Q)</f>
        <v>-23944</v>
      </c>
      <c r="H138" s="317">
        <f>G138*H139</f>
        <v>-3112.7200000000003</v>
      </c>
      <c r="I138" s="317">
        <f>H138*(1+I139)</f>
        <v>-3423.9920000000006</v>
      </c>
      <c r="J138" s="317">
        <f t="shared" ref="J138:Q138" si="95">I138*(1+J139)</f>
        <v>-3595.191600000001</v>
      </c>
      <c r="K138" s="317">
        <f t="shared" si="95"/>
        <v>-3774.9511800000014</v>
      </c>
      <c r="L138" s="317">
        <f t="shared" si="95"/>
        <v>-3963.6987390000018</v>
      </c>
      <c r="M138" s="317">
        <f t="shared" si="95"/>
        <v>-4161.8836759500018</v>
      </c>
      <c r="N138" s="317">
        <f t="shared" si="95"/>
        <v>-4369.9778597475024</v>
      </c>
      <c r="O138" s="317">
        <f t="shared" si="95"/>
        <v>-4588.4767527348777</v>
      </c>
      <c r="P138" s="317">
        <f t="shared" si="95"/>
        <v>-4817.9005903716215</v>
      </c>
      <c r="Q138" s="317">
        <f t="shared" si="95"/>
        <v>-5058.7956198902029</v>
      </c>
    </row>
    <row r="139" spans="2:17" ht="14.45" customHeight="1">
      <c r="B139" s="282" t="s">
        <v>501</v>
      </c>
      <c r="E139" s="788"/>
      <c r="F139" s="788">
        <f t="shared" ref="F139" si="96">F138/E138-1</f>
        <v>2.7944111776447178E-2</v>
      </c>
      <c r="G139" s="151">
        <f>G138/F138-1</f>
        <v>-7.0135922330097134E-2</v>
      </c>
      <c r="H139" s="173">
        <v>0.13</v>
      </c>
      <c r="I139" s="150">
        <v>0.1</v>
      </c>
      <c r="J139" s="150">
        <v>0.05</v>
      </c>
      <c r="K139" s="150">
        <v>0.05</v>
      </c>
      <c r="L139" s="150">
        <v>0.05</v>
      </c>
      <c r="M139" s="150">
        <v>0.05</v>
      </c>
      <c r="N139" s="150">
        <v>0.05</v>
      </c>
      <c r="O139" s="150">
        <v>0.05</v>
      </c>
      <c r="P139" s="150">
        <v>0.05</v>
      </c>
      <c r="Q139" s="150">
        <v>0.05</v>
      </c>
    </row>
    <row r="140" spans="2:17" ht="3.75" customHeight="1">
      <c r="B140" s="272"/>
      <c r="E140" s="150"/>
      <c r="F140" s="150"/>
      <c r="G140" s="788"/>
      <c r="H140" s="150"/>
      <c r="I140" s="150"/>
      <c r="J140" s="150"/>
      <c r="K140" s="150"/>
      <c r="L140" s="150"/>
      <c r="M140" s="150"/>
      <c r="N140" s="150"/>
      <c r="O140" s="150"/>
      <c r="P140" s="150"/>
      <c r="Q140" s="150"/>
    </row>
    <row r="141" spans="2:17" s="148" customFormat="1" ht="15.6">
      <c r="B141" s="272" t="s">
        <v>502</v>
      </c>
      <c r="E141" s="315">
        <f>+_xlfn.XLOOKUP($B141,Inputs!$B:$B,Inputs!O:O)</f>
        <v>0</v>
      </c>
      <c r="F141" s="315">
        <f>+_xlfn.XLOOKUP($B141,Inputs!$B:$B,Inputs!P:P)</f>
        <v>0</v>
      </c>
      <c r="G141" s="316">
        <f>+_xlfn.XLOOKUP($B141,Inputs!$B:$B,Inputs!Q:Q)</f>
        <v>0</v>
      </c>
      <c r="H141" s="317">
        <f t="shared" ref="H141:Q141" si="97">IFERROR(H142*G102,"")</f>
        <v>0</v>
      </c>
      <c r="I141" s="317">
        <f t="shared" si="97"/>
        <v>0</v>
      </c>
      <c r="J141" s="317">
        <f t="shared" si="97"/>
        <v>0</v>
      </c>
      <c r="K141" s="317">
        <f t="shared" si="97"/>
        <v>0</v>
      </c>
      <c r="L141" s="317">
        <f t="shared" si="97"/>
        <v>0</v>
      </c>
      <c r="M141" s="317">
        <f t="shared" si="97"/>
        <v>0</v>
      </c>
      <c r="N141" s="317">
        <f t="shared" si="97"/>
        <v>0</v>
      </c>
      <c r="O141" s="317">
        <f t="shared" si="97"/>
        <v>0</v>
      </c>
      <c r="P141" s="317">
        <f t="shared" si="97"/>
        <v>0</v>
      </c>
      <c r="Q141" s="317">
        <f t="shared" si="97"/>
        <v>0</v>
      </c>
    </row>
    <row r="142" spans="2:17" ht="12.75" customHeight="1">
      <c r="B142" s="282" t="s">
        <v>503</v>
      </c>
      <c r="C142"/>
      <c r="D142"/>
      <c r="E142" s="281">
        <f>IFERROR(E141/E102,"")</f>
        <v>0</v>
      </c>
      <c r="F142" s="281">
        <f>IFERROR(F141/F102,"")</f>
        <v>0</v>
      </c>
      <c r="G142" s="311">
        <f>IFERROR(G141/G102,"")</f>
        <v>0</v>
      </c>
      <c r="H142" s="303">
        <f>IFERROR(AVERAGE(E142:G142),"")</f>
        <v>0</v>
      </c>
      <c r="I142" s="303">
        <f t="shared" ref="I142:Q142" si="98">IFERROR(AVERAGE(F142:H142),"")</f>
        <v>0</v>
      </c>
      <c r="J142" s="303">
        <f t="shared" si="98"/>
        <v>0</v>
      </c>
      <c r="K142" s="303">
        <f t="shared" si="98"/>
        <v>0</v>
      </c>
      <c r="L142" s="303">
        <f t="shared" si="98"/>
        <v>0</v>
      </c>
      <c r="M142" s="303">
        <f t="shared" si="98"/>
        <v>0</v>
      </c>
      <c r="N142" s="303">
        <f t="shared" si="98"/>
        <v>0</v>
      </c>
      <c r="O142" s="303">
        <f t="shared" si="98"/>
        <v>0</v>
      </c>
      <c r="P142" s="303">
        <f t="shared" si="98"/>
        <v>0</v>
      </c>
      <c r="Q142" s="303">
        <f t="shared" si="98"/>
        <v>0</v>
      </c>
    </row>
    <row r="143" spans="2:17" s="148" customFormat="1" ht="15.6">
      <c r="C143" s="122"/>
      <c r="D143" s="122"/>
      <c r="E143" s="150"/>
      <c r="F143" s="150"/>
      <c r="G143" s="151"/>
      <c r="H143" s="150"/>
      <c r="I143" s="150"/>
      <c r="J143" s="150"/>
      <c r="K143" s="150"/>
      <c r="L143" s="150"/>
      <c r="M143" s="150"/>
      <c r="N143" s="150"/>
      <c r="O143" s="150"/>
      <c r="P143" s="150"/>
      <c r="Q143" s="150"/>
    </row>
    <row r="144" spans="2:17" customFormat="1" ht="15.6">
      <c r="B144" s="194" t="s">
        <v>504</v>
      </c>
      <c r="C144" s="122"/>
      <c r="D144" s="122"/>
      <c r="E144" s="315">
        <f>+_xlfn.XLOOKUP($B144,Inputs!$B:$B,Inputs!O:O)</f>
        <v>11030</v>
      </c>
      <c r="F144" s="315">
        <f>+_xlfn.XLOOKUP($B144,Inputs!$B:$B,Inputs!P:P)</f>
        <v>73</v>
      </c>
      <c r="G144" s="316">
        <f>+_xlfn.XLOOKUP($B144,Inputs!$B:$B,Inputs!Q:Q)</f>
        <v>-82</v>
      </c>
      <c r="H144" s="331">
        <v>0</v>
      </c>
      <c r="I144" s="331">
        <v>0</v>
      </c>
      <c r="J144" s="331">
        <v>0</v>
      </c>
      <c r="K144" s="331">
        <v>0</v>
      </c>
      <c r="L144" s="331">
        <v>0</v>
      </c>
      <c r="M144" s="331">
        <v>0</v>
      </c>
      <c r="N144" s="331">
        <v>0</v>
      </c>
      <c r="O144" s="331">
        <v>0</v>
      </c>
      <c r="P144" s="331">
        <v>0</v>
      </c>
      <c r="Q144" s="331">
        <v>0</v>
      </c>
    </row>
    <row r="145" spans="2:17" ht="3.75" customHeight="1">
      <c r="B145" s="148"/>
      <c r="E145" s="150"/>
      <c r="F145" s="150"/>
      <c r="G145" s="158"/>
      <c r="H145" s="150"/>
      <c r="I145" s="150"/>
      <c r="J145" s="150"/>
      <c r="K145" s="150"/>
      <c r="L145" s="150"/>
      <c r="M145" s="150"/>
      <c r="N145" s="150"/>
      <c r="O145" s="150"/>
      <c r="P145" s="150"/>
      <c r="Q145" s="150"/>
    </row>
    <row r="146" spans="2:17" ht="13.5" customHeight="1">
      <c r="B146" s="377" t="s">
        <v>505</v>
      </c>
      <c r="C146" s="377"/>
      <c r="D146" s="377"/>
      <c r="E146" s="378">
        <f>+_xlfn.XLOOKUP($B146,Inputs!$B:$B,Inputs!O:O)</f>
        <v>3789</v>
      </c>
      <c r="F146" s="378">
        <f>+_xlfn.XLOOKUP($B146,Inputs!$B:$B,Inputs!P:P)</f>
        <v>1636</v>
      </c>
      <c r="G146" s="379">
        <f>+_xlfn.XLOOKUP($B146,Inputs!$B:$B,Inputs!Q:Q)</f>
        <v>5770</v>
      </c>
      <c r="H146" s="380">
        <f t="shared" ref="H146:Q146" si="99">IFERROR(AVERAGE(E146:G146)*(1+H33),"")</f>
        <v>4730.1680724782345</v>
      </c>
      <c r="I146" s="380">
        <f t="shared" si="99"/>
        <v>4227.6410761956204</v>
      </c>
      <c r="J146" s="380">
        <f t="shared" si="99"/>
        <v>5113.1521062459287</v>
      </c>
      <c r="K146" s="380">
        <f t="shared" si="99"/>
        <v>4893.0206616008545</v>
      </c>
      <c r="L146" s="380">
        <f t="shared" si="99"/>
        <v>4957.1514552818335</v>
      </c>
      <c r="M146" s="380">
        <f t="shared" si="99"/>
        <v>5259.6692491302001</v>
      </c>
      <c r="N146" s="380">
        <f t="shared" si="99"/>
        <v>5190.7080247569402</v>
      </c>
      <c r="O146" s="380">
        <f t="shared" si="99"/>
        <v>5293.4696164355291</v>
      </c>
      <c r="P146" s="380">
        <f t="shared" si="99"/>
        <v>5409.5231058509426</v>
      </c>
      <c r="Q146" s="380">
        <f t="shared" si="99"/>
        <v>5461.5230684850994</v>
      </c>
    </row>
    <row r="147" spans="2:17" ht="3.75" customHeight="1">
      <c r="E147" s="332"/>
      <c r="F147" s="332"/>
      <c r="G147" s="316"/>
      <c r="H147" s="317"/>
      <c r="I147" s="317"/>
      <c r="J147" s="317"/>
      <c r="K147" s="317"/>
      <c r="L147" s="317"/>
      <c r="M147" s="317"/>
      <c r="N147" s="317"/>
      <c r="O147" s="317"/>
      <c r="P147" s="317"/>
      <c r="Q147" s="317"/>
    </row>
    <row r="148" spans="2:17" ht="13.5" customHeight="1">
      <c r="B148" s="145" t="s">
        <v>307</v>
      </c>
      <c r="C148" s="145"/>
      <c r="D148" s="145"/>
      <c r="E148" s="341">
        <f>+_xlfn.XLOOKUP($B148,Inputs!$B:$B,Inputs!O:O)</f>
        <v>-10231</v>
      </c>
      <c r="F148" s="341">
        <f>+_xlfn.XLOOKUP($B148,Inputs!$B:$B,Inputs!P:P)</f>
        <v>-24041</v>
      </c>
      <c r="G148" s="342">
        <f>+_xlfn.XLOOKUP($B148,Inputs!$B:$B,Inputs!Q:Q)</f>
        <v>-18256</v>
      </c>
      <c r="H148" s="346">
        <f t="shared" ref="H148:Q148" si="100">IFERROR(+H136+H144+H146,"")</f>
        <v>1617.4480724782343</v>
      </c>
      <c r="I148" s="346">
        <f t="shared" si="100"/>
        <v>803.64907619561973</v>
      </c>
      <c r="J148" s="346">
        <f t="shared" si="100"/>
        <v>1517.9605062459277</v>
      </c>
      <c r="K148" s="346">
        <f t="shared" si="100"/>
        <v>1118.0694816008531</v>
      </c>
      <c r="L148" s="346">
        <f t="shared" si="100"/>
        <v>993.45271628183173</v>
      </c>
      <c r="M148" s="346">
        <f t="shared" si="100"/>
        <v>1097.7855731801983</v>
      </c>
      <c r="N148" s="346">
        <f t="shared" si="100"/>
        <v>820.73016500943777</v>
      </c>
      <c r="O148" s="346">
        <f t="shared" si="100"/>
        <v>704.99286370065147</v>
      </c>
      <c r="P148" s="346">
        <f t="shared" si="100"/>
        <v>591.62251547932101</v>
      </c>
      <c r="Q148" s="346">
        <f t="shared" si="100"/>
        <v>402.72744859489649</v>
      </c>
    </row>
    <row r="149" spans="2:17" ht="5.25" customHeight="1">
      <c r="E149" s="332"/>
      <c r="F149" s="332"/>
      <c r="G149" s="316"/>
      <c r="H149" s="317"/>
      <c r="I149" s="317"/>
      <c r="J149" s="317"/>
      <c r="K149" s="317"/>
      <c r="L149" s="317"/>
      <c r="M149" s="317"/>
      <c r="N149" s="317"/>
      <c r="O149" s="317"/>
      <c r="P149" s="317"/>
      <c r="Q149" s="317"/>
    </row>
    <row r="150" spans="2:17" ht="13.5" customHeight="1">
      <c r="B150" s="337" t="s">
        <v>506</v>
      </c>
      <c r="C150" s="337"/>
      <c r="D150" s="337"/>
      <c r="E150" s="338">
        <f>+_xlfn.XLOOKUP($B150,Inputs!$B:$B,Inputs!O:O)</f>
        <v>-5997</v>
      </c>
      <c r="F150" s="338">
        <f>+_xlfn.XLOOKUP($B150,Inputs!$B:$B,Inputs!P:P)</f>
        <v>-3088</v>
      </c>
      <c r="G150" s="339">
        <f>+_xlfn.XLOOKUP($B150,Inputs!$B:$B,Inputs!Q:Q)</f>
        <v>-1599</v>
      </c>
      <c r="H150" s="337">
        <f t="shared" ref="H150:I150" ca="1" si="101">+IFERROR(H151*_xlfn.XLOOKUP("Net Income",$B:$B,$H:$H),"")</f>
        <v>0</v>
      </c>
      <c r="I150" s="337">
        <f t="shared" ca="1" si="101"/>
        <v>0</v>
      </c>
      <c r="J150" s="791">
        <f t="shared" ref="J150" ca="1" si="102">+IFERROR(J151*_xlfn.XLOOKUP("Net Income",$B:$B,$H:$H),"")</f>
        <v>-641.0247247204079</v>
      </c>
      <c r="K150" s="791">
        <f t="shared" ref="K150" ca="1" si="103">+IFERROR(K151*_xlfn.XLOOKUP("Net Income",$B:$B,$H:$H),"")</f>
        <v>-641.0247247204079</v>
      </c>
      <c r="L150" s="791">
        <f t="shared" ref="L150" ca="1" si="104">+IFERROR(L151*_xlfn.XLOOKUP("Net Income",$B:$B,$H:$H),"")</f>
        <v>-641.0247247204079</v>
      </c>
      <c r="M150" s="791">
        <f t="shared" ref="M150" ca="1" si="105">+IFERROR(M151*_xlfn.XLOOKUP("Net Income",$B:$B,$H:$H),"")</f>
        <v>-641.0247247204079</v>
      </c>
      <c r="N150" s="791">
        <f t="shared" ref="N150" ca="1" si="106">+IFERROR(N151*_xlfn.XLOOKUP("Net Income",$B:$B,$H:$H),"")</f>
        <v>-641.0247247204079</v>
      </c>
      <c r="O150" s="791">
        <f t="shared" ref="O150" ca="1" si="107">+IFERROR(O151*_xlfn.XLOOKUP("Net Income",$B:$B,$H:$H),"")</f>
        <v>-641.0247247204079</v>
      </c>
      <c r="P150" s="791">
        <f t="shared" ref="P150" ca="1" si="108">+IFERROR(P151*_xlfn.XLOOKUP("Net Income",$B:$B,$H:$H),"")</f>
        <v>-641.0247247204079</v>
      </c>
      <c r="Q150" s="791">
        <f t="shared" ref="Q150" ca="1" si="109">+IFERROR(Q151*_xlfn.XLOOKUP("Net Income",$B:$B,$H:$H),"")</f>
        <v>-641.0247247204079</v>
      </c>
    </row>
    <row r="151" spans="2:17" ht="13.5" customHeight="1">
      <c r="B151" s="273" t="s">
        <v>507</v>
      </c>
      <c r="E151" s="333">
        <f>IFERROR(-E150/E$83,"")</f>
        <v>2.1394933999286478</v>
      </c>
      <c r="F151" s="333">
        <f t="shared" ref="F151:G151" si="110">IFERROR(-F150/F$83,"")</f>
        <v>1.6278334211913548</v>
      </c>
      <c r="G151" s="334">
        <f t="shared" si="110"/>
        <v>-0.12313260434313876</v>
      </c>
      <c r="H151" s="335"/>
      <c r="I151" s="335"/>
      <c r="J151" s="335">
        <v>0.05</v>
      </c>
      <c r="K151" s="335">
        <v>0.05</v>
      </c>
      <c r="L151" s="335">
        <v>0.05</v>
      </c>
      <c r="M151" s="335">
        <v>0.05</v>
      </c>
      <c r="N151" s="335">
        <v>0.05</v>
      </c>
      <c r="O151" s="335">
        <v>0.05</v>
      </c>
      <c r="P151" s="335">
        <v>0.05</v>
      </c>
      <c r="Q151" s="335">
        <v>0.05</v>
      </c>
    </row>
    <row r="152" spans="2:17" ht="13.5" customHeight="1">
      <c r="E152" s="332"/>
      <c r="F152" s="332"/>
      <c r="G152" s="316"/>
      <c r="H152" s="317"/>
      <c r="I152" s="317"/>
      <c r="J152" s="317"/>
      <c r="K152" s="317"/>
      <c r="L152" s="317"/>
      <c r="M152" s="317"/>
      <c r="N152" s="317"/>
      <c r="O152" s="317"/>
      <c r="P152" s="317"/>
      <c r="Q152" s="317"/>
    </row>
    <row r="153" spans="2:17" ht="13.5" customHeight="1">
      <c r="B153" s="122" t="s">
        <v>508</v>
      </c>
      <c r="E153" s="289">
        <f>+_xlfn.XLOOKUP($B153,Inputs!$B:$B,Inputs!O:O)</f>
        <v>2009</v>
      </c>
      <c r="F153" s="289">
        <f>+_xlfn.XLOOKUP($B153,Inputs!$B:$B,Inputs!P:P)</f>
        <v>4001</v>
      </c>
      <c r="G153" s="290">
        <f>+_xlfn.XLOOKUP($B153,Inputs!$B:$B,Inputs!Q:Q)</f>
        <v>987</v>
      </c>
      <c r="H153" s="164">
        <f t="shared" ref="H153:Q153" ca="1" si="111">IFERROR(-H154*_xlfn.XLOOKUP("Net Income",$B:$B,H:H),"")</f>
        <v>0</v>
      </c>
      <c r="I153" s="164">
        <f t="shared" ca="1" si="111"/>
        <v>0</v>
      </c>
      <c r="J153" s="164">
        <f t="shared" ca="1" si="111"/>
        <v>0</v>
      </c>
      <c r="K153" s="164">
        <f t="shared" ca="1" si="111"/>
        <v>0</v>
      </c>
      <c r="L153" s="164">
        <f t="shared" ca="1" si="111"/>
        <v>0</v>
      </c>
      <c r="M153" s="164">
        <f t="shared" ca="1" si="111"/>
        <v>0</v>
      </c>
      <c r="N153" s="164">
        <f t="shared" ca="1" si="111"/>
        <v>0</v>
      </c>
      <c r="O153" s="164">
        <f t="shared" ca="1" si="111"/>
        <v>0</v>
      </c>
      <c r="P153" s="164">
        <f t="shared" ca="1" si="111"/>
        <v>0</v>
      </c>
      <c r="Q153" s="164">
        <f t="shared" ca="1" si="111"/>
        <v>0</v>
      </c>
    </row>
    <row r="154" spans="2:17" ht="14.25" customHeight="1">
      <c r="B154" s="273" t="s">
        <v>509</v>
      </c>
      <c r="E154" s="333">
        <f>IFERROR(-E153/E$83,"")</f>
        <v>-0.71673207277916517</v>
      </c>
      <c r="F154" s="333">
        <f t="shared" ref="F154:G154" si="112">IFERROR(-F153/F$83,"")</f>
        <v>-2.1091196626251976</v>
      </c>
      <c r="G154" s="334">
        <f t="shared" si="112"/>
        <v>7.6004928384413986E-2</v>
      </c>
      <c r="H154" s="335">
        <v>0</v>
      </c>
      <c r="I154" s="335">
        <v>0</v>
      </c>
      <c r="J154" s="335">
        <v>0</v>
      </c>
      <c r="K154" s="335">
        <v>0</v>
      </c>
      <c r="L154" s="335">
        <v>0</v>
      </c>
      <c r="M154" s="335">
        <v>0</v>
      </c>
      <c r="N154" s="335">
        <v>0</v>
      </c>
      <c r="O154" s="335">
        <v>0</v>
      </c>
      <c r="P154" s="335">
        <v>0</v>
      </c>
      <c r="Q154" s="335">
        <v>0</v>
      </c>
    </row>
    <row r="155" spans="2:17" ht="13.5" customHeight="1">
      <c r="E155" s="332"/>
      <c r="F155" s="332"/>
      <c r="G155" s="316"/>
      <c r="H155" s="317"/>
      <c r="I155" s="317"/>
      <c r="J155" s="317"/>
      <c r="K155" s="317"/>
      <c r="L155" s="317"/>
      <c r="M155" s="317"/>
      <c r="N155" s="317"/>
      <c r="O155" s="317"/>
      <c r="P155" s="317"/>
      <c r="Q155" s="317"/>
    </row>
    <row r="156" spans="2:17" ht="13.5" customHeight="1">
      <c r="B156" s="122" t="s">
        <v>510</v>
      </c>
      <c r="E156" s="289">
        <f>+_xlfn.XLOOKUP($B156,Inputs!$B:$B,Inputs!O:O)</f>
        <v>409</v>
      </c>
      <c r="F156" s="289">
        <f>+_xlfn.XLOOKUP($B156,Inputs!$B:$B,Inputs!P:P)</f>
        <v>431</v>
      </c>
      <c r="G156" s="290">
        <f>+_xlfn.XLOOKUP($B156,Inputs!$B:$B,Inputs!Q:Q)</f>
        <v>460</v>
      </c>
      <c r="H156" s="164">
        <f t="shared" ref="H156:Q156" si="113">+IFERROR(H157*H103,"")</f>
        <v>0</v>
      </c>
      <c r="I156" s="164">
        <f t="shared" si="113"/>
        <v>0</v>
      </c>
      <c r="J156" s="164">
        <f t="shared" si="113"/>
        <v>0</v>
      </c>
      <c r="K156" s="164">
        <f t="shared" si="113"/>
        <v>0</v>
      </c>
      <c r="L156" s="164">
        <f t="shared" si="113"/>
        <v>0</v>
      </c>
      <c r="M156" s="164">
        <f t="shared" si="113"/>
        <v>0</v>
      </c>
      <c r="N156" s="164">
        <f t="shared" si="113"/>
        <v>0</v>
      </c>
      <c r="O156" s="164">
        <f t="shared" si="113"/>
        <v>0</v>
      </c>
      <c r="P156" s="164">
        <f t="shared" si="113"/>
        <v>0</v>
      </c>
      <c r="Q156" s="164">
        <f t="shared" si="113"/>
        <v>0</v>
      </c>
    </row>
    <row r="157" spans="2:17" ht="15" customHeight="1">
      <c r="B157" s="273" t="s">
        <v>511</v>
      </c>
      <c r="E157" s="275" t="str">
        <f>IFERROR(E156/E103,"")</f>
        <v/>
      </c>
      <c r="F157" s="275" t="str">
        <f>IFERROR(F156/F103,"")</f>
        <v/>
      </c>
      <c r="G157" s="279" t="str">
        <f>IFERROR(G156/G103,"")</f>
        <v/>
      </c>
      <c r="H157" s="303"/>
      <c r="I157" s="303"/>
      <c r="J157" s="303"/>
      <c r="K157" s="303"/>
      <c r="L157" s="303"/>
      <c r="M157" s="303"/>
      <c r="N157" s="303"/>
      <c r="O157" s="303"/>
      <c r="P157" s="303"/>
      <c r="Q157" s="303"/>
    </row>
    <row r="158" spans="2:17" ht="15.6">
      <c r="B158" s="273"/>
      <c r="E158" s="275"/>
      <c r="F158" s="275"/>
      <c r="G158" s="279"/>
      <c r="H158" s="329"/>
      <c r="I158" s="329"/>
      <c r="J158" s="329"/>
      <c r="K158" s="329"/>
      <c r="L158" s="329"/>
      <c r="M158" s="329"/>
      <c r="N158" s="329"/>
      <c r="O158" s="329"/>
      <c r="P158" s="329"/>
      <c r="Q158" s="329"/>
    </row>
    <row r="159" spans="2:17" ht="15.6">
      <c r="B159" s="122" t="s">
        <v>308</v>
      </c>
      <c r="E159" s="146">
        <f>+_xlfn.XLOOKUP($B159,Inputs!$B:$B,Inputs!O:O)</f>
        <v>6548</v>
      </c>
      <c r="F159" s="146">
        <f>+_xlfn.XLOOKUP($B159,Inputs!$B:$B,Inputs!P:P)</f>
        <v>11391</v>
      </c>
      <c r="G159" s="265">
        <f>+_xlfn.XLOOKUP($B159,Inputs!$B:$B,Inputs!Q:Q)</f>
        <v>2975</v>
      </c>
      <c r="H159" s="317">
        <f>IFERROR(MAX(0,-G247),"")</f>
        <v>17998</v>
      </c>
      <c r="I159" s="317">
        <f>IFERROR(MAX(0,-H247),"")</f>
        <v>0</v>
      </c>
      <c r="J159" s="317">
        <f t="shared" ref="J159:Q159" si="114">IFERROR(MAX(0,-I247),"")</f>
        <v>1189.6228782929802</v>
      </c>
      <c r="K159" s="317">
        <f t="shared" si="114"/>
        <v>0</v>
      </c>
      <c r="L159" s="317">
        <f t="shared" si="114"/>
        <v>0</v>
      </c>
      <c r="M159" s="317">
        <f t="shared" si="114"/>
        <v>0</v>
      </c>
      <c r="N159" s="317">
        <f t="shared" si="114"/>
        <v>0</v>
      </c>
      <c r="O159" s="317">
        <f t="shared" si="114"/>
        <v>0</v>
      </c>
      <c r="P159" s="317">
        <f t="shared" si="114"/>
        <v>0</v>
      </c>
      <c r="Q159" s="317">
        <f t="shared" si="114"/>
        <v>0</v>
      </c>
    </row>
    <row r="160" spans="2:17" ht="3.75" customHeight="1">
      <c r="B160" s="273"/>
      <c r="E160" s="275"/>
      <c r="F160" s="275"/>
      <c r="G160" s="279"/>
      <c r="H160" s="329"/>
      <c r="I160" s="329"/>
      <c r="J160" s="329"/>
      <c r="K160" s="329"/>
      <c r="L160" s="329"/>
      <c r="M160" s="329"/>
      <c r="N160" s="329"/>
      <c r="O160" s="329"/>
      <c r="P160" s="329"/>
      <c r="Q160" s="329"/>
    </row>
    <row r="161" spans="1:17" ht="15.6">
      <c r="B161" s="122" t="s">
        <v>309</v>
      </c>
      <c r="E161" s="146">
        <f>+_xlfn.XLOOKUP($B161,Inputs!$B:$B,Inputs!O:O)</f>
        <v>-5329</v>
      </c>
      <c r="F161" s="146">
        <f>+_xlfn.XLOOKUP($B161,Inputs!$B:$B,Inputs!P:P)</f>
        <v>-519</v>
      </c>
      <c r="G161" s="265">
        <f>+_xlfn.XLOOKUP($B161,Inputs!$B:$B,Inputs!Q:Q)</f>
        <v>-2288</v>
      </c>
      <c r="H161" s="317">
        <f>IFERROR(MAX(0,H162*G247),"")</f>
        <v>0</v>
      </c>
      <c r="I161" s="317">
        <f t="shared" ref="I161:Q161" si="115">IFERROR(MAX(0,I162*H247),"")</f>
        <v>6900.3662916882377</v>
      </c>
      <c r="J161" s="317">
        <f>IFERROR(MAX(0,J162*I247),"")</f>
        <v>0</v>
      </c>
      <c r="K161" s="317">
        <f t="shared" si="115"/>
        <v>4473.1575102893539</v>
      </c>
      <c r="L161" s="317">
        <f t="shared" si="115"/>
        <v>1636.8310556809029</v>
      </c>
      <c r="M161" s="317">
        <f t="shared" si="115"/>
        <v>2066.1977053091914</v>
      </c>
      <c r="N161" s="317">
        <f t="shared" si="115"/>
        <v>2336.1156632483044</v>
      </c>
      <c r="O161" s="317">
        <f t="shared" si="115"/>
        <v>1533.4181786942995</v>
      </c>
      <c r="P161" s="317">
        <f t="shared" si="115"/>
        <v>2164.1116883534505</v>
      </c>
      <c r="Q161" s="317">
        <f t="shared" si="115"/>
        <v>1941.4164849514914</v>
      </c>
    </row>
    <row r="162" spans="1:17" ht="15.6" customHeight="1">
      <c r="B162" s="273" t="s">
        <v>512</v>
      </c>
      <c r="E162" s="292">
        <f>IFERROR(E161/E247,"")</f>
        <v>-2.0792040577448301</v>
      </c>
      <c r="F162" s="292">
        <f t="shared" ref="F162:G162" si="116">IFERROR(F161/F247,"")</f>
        <v>0.42195121951219511</v>
      </c>
      <c r="G162" s="279">
        <f t="shared" si="116"/>
        <v>0.12712523613734861</v>
      </c>
      <c r="H162" s="303">
        <v>0.3</v>
      </c>
      <c r="I162" s="303">
        <v>0.3</v>
      </c>
      <c r="J162" s="303">
        <v>0.3</v>
      </c>
      <c r="K162" s="303">
        <v>0.3</v>
      </c>
      <c r="L162" s="303">
        <v>0.4</v>
      </c>
      <c r="M162" s="303">
        <v>0.4</v>
      </c>
      <c r="N162" s="303">
        <v>0.4</v>
      </c>
      <c r="O162" s="303">
        <v>0.4</v>
      </c>
      <c r="P162" s="303">
        <v>0.5</v>
      </c>
      <c r="Q162" s="303">
        <v>0.5</v>
      </c>
    </row>
    <row r="163" spans="1:17" ht="15.6">
      <c r="B163" s="273"/>
      <c r="E163" s="292"/>
      <c r="F163" s="292"/>
      <c r="G163" s="279"/>
      <c r="H163" s="329"/>
      <c r="I163" s="329"/>
      <c r="J163" s="329"/>
      <c r="K163" s="329"/>
      <c r="L163" s="329"/>
      <c r="M163" s="329"/>
      <c r="N163" s="329"/>
      <c r="O163" s="329"/>
      <c r="P163" s="329"/>
      <c r="Q163" s="329"/>
    </row>
    <row r="164" spans="1:17" ht="15.6">
      <c r="B164" s="377" t="s">
        <v>513</v>
      </c>
      <c r="C164" s="377"/>
      <c r="D164" s="377"/>
      <c r="E164" s="378">
        <f>+_xlfn.XLOOKUP($B164,Inputs!$B:$B,Inputs!O:O)</f>
        <v>3475</v>
      </c>
      <c r="F164" s="378">
        <f>+_xlfn.XLOOKUP($B164,Inputs!$B:$B,Inputs!P:P)</f>
        <v>-3711</v>
      </c>
      <c r="G164" s="379">
        <f>+_xlfn.XLOOKUP($B164,Inputs!$B:$B,Inputs!Q:Q)</f>
        <v>10603</v>
      </c>
      <c r="H164" s="381">
        <f t="shared" ref="H164:Q164" si="117">IFERROR(AVERAGE(E164:G164)*(1+H33),"")</f>
        <v>4380.3173208916351</v>
      </c>
      <c r="I164" s="381">
        <f t="shared" si="117"/>
        <v>3926.7181737358319</v>
      </c>
      <c r="J164" s="381">
        <f t="shared" si="117"/>
        <v>6565.1236271788603</v>
      </c>
      <c r="K164" s="381">
        <f t="shared" si="117"/>
        <v>5171.6283306636706</v>
      </c>
      <c r="L164" s="381">
        <f t="shared" si="117"/>
        <v>5455.0519353613872</v>
      </c>
      <c r="M164" s="381">
        <f t="shared" si="117"/>
        <v>6042.9889057937771</v>
      </c>
      <c r="N164" s="381">
        <f t="shared" si="117"/>
        <v>5726.5581712083731</v>
      </c>
      <c r="O164" s="381">
        <f t="shared" si="117"/>
        <v>5917.7492464847483</v>
      </c>
      <c r="P164" s="381">
        <f t="shared" si="117"/>
        <v>6077.2845930524581</v>
      </c>
      <c r="Q164" s="381">
        <f t="shared" si="117"/>
        <v>6089.6379715072208</v>
      </c>
    </row>
    <row r="165" spans="1:17" ht="3.75" customHeight="1">
      <c r="E165" s="336"/>
      <c r="F165" s="336"/>
      <c r="G165" s="265"/>
      <c r="H165" s="317"/>
      <c r="I165" s="317"/>
      <c r="J165" s="317"/>
      <c r="K165" s="317"/>
      <c r="L165" s="317"/>
      <c r="M165" s="317"/>
      <c r="N165" s="317"/>
      <c r="O165" s="317"/>
      <c r="P165" s="317"/>
      <c r="Q165" s="317"/>
    </row>
    <row r="166" spans="1:17" ht="15.6">
      <c r="B166" s="145" t="s">
        <v>310</v>
      </c>
      <c r="C166" s="145"/>
      <c r="D166" s="145"/>
      <c r="E166" s="341">
        <f>+_xlfn.XLOOKUP($B166,Inputs!$B:$B,Inputs!O:O)</f>
        <v>1115</v>
      </c>
      <c r="F166" s="341">
        <f>+_xlfn.XLOOKUP($B166,Inputs!$B:$B,Inputs!P:P)</f>
        <v>8505</v>
      </c>
      <c r="G166" s="342">
        <f>+_xlfn.XLOOKUP($B166,Inputs!$B:$B,Inputs!Q:Q)</f>
        <v>11138</v>
      </c>
      <c r="H166" s="346">
        <f ca="1">IFERROR(+H150+H153+H156+H159+H161+H164,"")</f>
        <v>22378.317320891634</v>
      </c>
      <c r="I166" s="346">
        <f t="shared" ref="I166:Q166" ca="1" si="118">IFERROR(+I150+I153+I156+I159+I161+I164,"")</f>
        <v>10827.08446542407</v>
      </c>
      <c r="J166" s="346">
        <f t="shared" ca="1" si="118"/>
        <v>7113.7217807514326</v>
      </c>
      <c r="K166" s="346">
        <f t="shared" ca="1" si="118"/>
        <v>9003.7611162326175</v>
      </c>
      <c r="L166" s="346">
        <f t="shared" ca="1" si="118"/>
        <v>6450.8582663218822</v>
      </c>
      <c r="M166" s="346">
        <f t="shared" ca="1" si="118"/>
        <v>7468.1618863825606</v>
      </c>
      <c r="N166" s="346">
        <f t="shared" ca="1" si="118"/>
        <v>7421.6491097362696</v>
      </c>
      <c r="O166" s="346">
        <f t="shared" ca="1" si="118"/>
        <v>6810.1427004586403</v>
      </c>
      <c r="P166" s="346">
        <f t="shared" ca="1" si="118"/>
        <v>7600.3715566855008</v>
      </c>
      <c r="Q166" s="346">
        <f t="shared" ca="1" si="118"/>
        <v>7390.0297317383047</v>
      </c>
    </row>
    <row r="167" spans="1:17" ht="5.25" customHeight="1">
      <c r="B167" s="273"/>
      <c r="E167" s="292"/>
      <c r="F167" s="292"/>
      <c r="G167" s="279"/>
      <c r="H167" s="329"/>
      <c r="I167" s="329"/>
      <c r="J167" s="329"/>
      <c r="K167" s="329"/>
      <c r="L167" s="329"/>
      <c r="M167" s="329"/>
      <c r="N167" s="329"/>
      <c r="O167" s="329"/>
      <c r="P167" s="329"/>
      <c r="Q167" s="329"/>
    </row>
    <row r="168" spans="1:17" ht="15.6">
      <c r="B168" s="485" t="s">
        <v>311</v>
      </c>
      <c r="C168" s="337"/>
      <c r="D168" s="337"/>
      <c r="E168" s="343">
        <f>+_xlfn.XLOOKUP($B168,Inputs!$B:$B,Inputs!O:O)</f>
        <v>6317</v>
      </c>
      <c r="F168" s="343">
        <f>+_xlfn.XLOOKUP($B168,Inputs!$B:$B,Inputs!P:P)</f>
        <v>-4065</v>
      </c>
      <c r="G168" s="344">
        <f>+_xlfn.XLOOKUP($B168,Inputs!$B:$B,Inputs!Q:Q)</f>
        <v>1170</v>
      </c>
      <c r="H168" s="345">
        <f t="shared" ref="H168:Q168" ca="1" si="119">IFERROR(+H134+H148+H166,"")</f>
        <v>34715.72832463526</v>
      </c>
      <c r="I168" s="345">
        <f t="shared" ca="1" si="119"/>
        <v>23925.016282206263</v>
      </c>
      <c r="J168" s="345">
        <f t="shared" ca="1" si="119"/>
        <v>30589.031745938319</v>
      </c>
      <c r="K168" s="345">
        <f t="shared" ca="1" si="119"/>
        <v>26080.17937761256</v>
      </c>
      <c r="L168" s="345">
        <f t="shared" ca="1" si="119"/>
        <v>22187.170902630081</v>
      </c>
      <c r="M168" s="345">
        <f t="shared" ca="1" si="119"/>
        <v>24935.410991990357</v>
      </c>
      <c r="N168" s="345">
        <f t="shared" ca="1" si="119"/>
        <v>22868.701559440124</v>
      </c>
      <c r="O168" s="345">
        <f t="shared" ca="1" si="119"/>
        <v>22213.287414328137</v>
      </c>
      <c r="P168" s="345">
        <f t="shared" ca="1" si="119"/>
        <v>23398.453274556821</v>
      </c>
      <c r="Q168" s="345">
        <f t="shared" ca="1" si="119"/>
        <v>23382.811950356983</v>
      </c>
    </row>
    <row r="169" spans="1:17" ht="3.75" customHeight="1">
      <c r="B169" s="273"/>
      <c r="E169" s="318"/>
      <c r="F169" s="292"/>
      <c r="G169" s="279"/>
      <c r="H169" s="329"/>
      <c r="I169" s="329"/>
      <c r="J169" s="329"/>
      <c r="K169" s="329"/>
      <c r="L169" s="329"/>
      <c r="M169" s="329"/>
      <c r="N169" s="329"/>
      <c r="O169" s="329"/>
      <c r="P169" s="329"/>
      <c r="Q169" s="329"/>
    </row>
    <row r="170" spans="1:17" ht="15.6">
      <c r="G170" s="143"/>
      <c r="H170" s="127"/>
      <c r="I170" s="127"/>
      <c r="J170" s="127"/>
      <c r="K170" s="127"/>
      <c r="L170" s="127"/>
      <c r="O170" s="127"/>
      <c r="P170" s="127"/>
      <c r="Q170" s="127"/>
    </row>
    <row r="171" spans="1:17" ht="15.6">
      <c r="B171" s="48" t="s">
        <v>514</v>
      </c>
      <c r="C171" s="48"/>
      <c r="D171" s="48"/>
      <c r="E171" s="133">
        <f t="shared" ref="E171:Q171" si="120">E30</f>
        <v>2022</v>
      </c>
      <c r="F171" s="133">
        <f t="shared" si="120"/>
        <v>2023</v>
      </c>
      <c r="G171" s="159">
        <f t="shared" si="120"/>
        <v>2024</v>
      </c>
      <c r="H171" s="99">
        <f t="shared" si="120"/>
        <v>2025</v>
      </c>
      <c r="I171" s="99">
        <f t="shared" si="120"/>
        <v>2026</v>
      </c>
      <c r="J171" s="99">
        <f t="shared" si="120"/>
        <v>2027</v>
      </c>
      <c r="K171" s="99">
        <f t="shared" si="120"/>
        <v>2028</v>
      </c>
      <c r="L171" s="99">
        <f t="shared" si="120"/>
        <v>2029</v>
      </c>
      <c r="M171" s="99">
        <f t="shared" si="120"/>
        <v>2030</v>
      </c>
      <c r="N171" s="99">
        <f t="shared" si="120"/>
        <v>2031</v>
      </c>
      <c r="O171" s="99">
        <f t="shared" si="120"/>
        <v>2032</v>
      </c>
      <c r="P171" s="99">
        <f t="shared" si="120"/>
        <v>2033</v>
      </c>
      <c r="Q171" s="99">
        <f t="shared" si="120"/>
        <v>2034</v>
      </c>
    </row>
    <row r="172" spans="1:17" ht="3.75" customHeight="1">
      <c r="B172" s="49"/>
      <c r="C172" s="49"/>
      <c r="D172" s="49"/>
      <c r="E172" s="49"/>
      <c r="F172" s="49"/>
      <c r="G172" s="161"/>
      <c r="H172" s="49"/>
      <c r="I172" s="49"/>
      <c r="J172" s="49"/>
      <c r="K172" s="49"/>
      <c r="L172" s="49"/>
      <c r="M172" s="49"/>
      <c r="N172" s="49"/>
      <c r="O172" s="49"/>
      <c r="P172" s="49"/>
      <c r="Q172" s="49"/>
    </row>
    <row r="173" spans="1:17" ht="15.6">
      <c r="A173" s="122" t="s">
        <v>424</v>
      </c>
      <c r="B173" s="122" t="s">
        <v>165</v>
      </c>
      <c r="E173" s="147">
        <f>$E$32</f>
        <v>63054</v>
      </c>
      <c r="F173" s="147">
        <f>$F$32</f>
        <v>54228</v>
      </c>
      <c r="G173" s="171">
        <f>$G$32</f>
        <v>53101</v>
      </c>
      <c r="H173" s="147">
        <f ca="1">IFERROR(G173*(1+H174),"")</f>
        <v>67309.510000000009</v>
      </c>
      <c r="I173" s="147">
        <f t="shared" ref="I173:Q173" ca="1" si="121">IFERROR(H173*(1+I174),"")</f>
        <v>70341.918700000009</v>
      </c>
      <c r="J173" s="147">
        <f t="shared" ca="1" si="121"/>
        <v>73263.224583000003</v>
      </c>
      <c r="K173" s="147">
        <f t="shared" ca="1" si="121"/>
        <v>76429.420519110005</v>
      </c>
      <c r="L173" s="147">
        <f t="shared" ca="1" si="121"/>
        <v>79853.274175964703</v>
      </c>
      <c r="M173" s="147">
        <f t="shared" ca="1" si="121"/>
        <v>84206.250769429884</v>
      </c>
      <c r="N173" s="147">
        <f t="shared" ca="1" si="121"/>
        <v>86782.52491519945</v>
      </c>
      <c r="O173" s="147">
        <f t="shared" ca="1" si="121"/>
        <v>89446.010509099637</v>
      </c>
      <c r="P173" s="147">
        <f t="shared" ca="1" si="121"/>
        <v>92199.879218701681</v>
      </c>
      <c r="Q173" s="147">
        <f t="shared" ca="1" si="121"/>
        <v>95047.423242472563</v>
      </c>
    </row>
    <row r="174" spans="1:17" ht="3.95" customHeight="1">
      <c r="B174" s="273" t="s">
        <v>457</v>
      </c>
      <c r="C174" s="273"/>
      <c r="D174" s="273"/>
      <c r="E174" s="304">
        <f>$E$33</f>
        <v>-0.15610696217778849</v>
      </c>
      <c r="F174" s="304">
        <f>$F$33</f>
        <v>-0.13997525930155105</v>
      </c>
      <c r="G174" s="305">
        <f>$G$33</f>
        <v>-2.0782621523935976E-2</v>
      </c>
      <c r="H174" s="304">
        <f ca="1">+OFFSET($H$174,$C$7,0)</f>
        <v>0.26757518690796811</v>
      </c>
      <c r="I174" s="304">
        <f ca="1">+OFFSET($I$174,$C$7,0)</f>
        <v>4.5051712603464189E-2</v>
      </c>
      <c r="J174" s="304">
        <f ca="1">+OFFSET($J$174,$C$7,0)</f>
        <v>4.1530085288958629E-2</v>
      </c>
      <c r="K174" s="304">
        <f ca="1">+OFFSET($K$174,$C$7,0)</f>
        <v>4.3216715536769978E-2</v>
      </c>
      <c r="L174" s="304">
        <f ca="1">+OFFSET($L$174,$C$7,0)</f>
        <v>4.4797587546782758E-2</v>
      </c>
      <c r="M174" s="304">
        <f ca="1">+OFFSET($M$174,$C$7,0)</f>
        <v>5.4512186737302182E-2</v>
      </c>
      <c r="N174" s="304">
        <f ca="1">+OFFSET($N$174,$C$7,0)</f>
        <v>3.0594808844106147E-2</v>
      </c>
      <c r="O174" s="304">
        <f ca="1">+OFFSET($O$174,$C$7,0)</f>
        <v>3.0691496894136749E-2</v>
      </c>
      <c r="P174" s="304">
        <f ca="1">+OFFSET($P$174,$C$7,0)</f>
        <v>3.0788055207022103E-2</v>
      </c>
      <c r="Q174" s="304">
        <f ca="1">+OFFSET($Q$174,$C$7,0)</f>
        <v>3.0884465878923795E-2</v>
      </c>
    </row>
    <row r="175" spans="1:17" ht="15.6">
      <c r="B175" s="272" t="s">
        <v>435</v>
      </c>
      <c r="G175" s="154"/>
      <c r="H175" s="595">
        <f>IFERROR(+H176+$F$7%,"")</f>
        <v>0.26737518690796813</v>
      </c>
      <c r="I175" s="595">
        <f t="shared" ref="I175:Q175" si="122">IFERROR(+I176+$F$7%,"")</f>
        <v>4.485171260346419E-2</v>
      </c>
      <c r="J175" s="595">
        <f t="shared" si="122"/>
        <v>4.133008528895863E-2</v>
      </c>
      <c r="K175" s="595">
        <f t="shared" si="122"/>
        <v>4.301671553676998E-2</v>
      </c>
      <c r="L175" s="596">
        <f t="shared" si="122"/>
        <v>4.4597587546782759E-2</v>
      </c>
      <c r="M175" s="596">
        <f t="shared" si="122"/>
        <v>5.4312186737302183E-2</v>
      </c>
      <c r="N175" s="596">
        <f t="shared" si="122"/>
        <v>3.0394808844106148E-2</v>
      </c>
      <c r="O175" s="596">
        <f t="shared" si="122"/>
        <v>3.0491496894136751E-2</v>
      </c>
      <c r="P175" s="596">
        <f t="shared" si="122"/>
        <v>3.0588055207022104E-2</v>
      </c>
      <c r="Q175" s="596">
        <f t="shared" si="122"/>
        <v>3.0684465878923796E-2</v>
      </c>
    </row>
    <row r="176" spans="1:17" ht="15.6">
      <c r="B176" s="272" t="s">
        <v>436</v>
      </c>
      <c r="G176" s="154"/>
      <c r="H176" s="597">
        <f>$H$33</f>
        <v>0.26757518690796811</v>
      </c>
      <c r="I176" s="597">
        <f>$I$33</f>
        <v>4.5051712603464189E-2</v>
      </c>
      <c r="J176" s="597">
        <f>$J$33</f>
        <v>4.1530085288958629E-2</v>
      </c>
      <c r="K176" s="597">
        <f>$K$33</f>
        <v>4.3216715536769978E-2</v>
      </c>
      <c r="L176" s="597">
        <f>$L$33</f>
        <v>4.4797587546782758E-2</v>
      </c>
      <c r="M176" s="597">
        <f>$M$33</f>
        <v>5.4512186737302182E-2</v>
      </c>
      <c r="N176" s="597">
        <f>$N$33</f>
        <v>3.0594808844106147E-2</v>
      </c>
      <c r="O176" s="598">
        <f>$O$33</f>
        <v>3.0691496894136749E-2</v>
      </c>
      <c r="P176" s="597">
        <f>$P$33</f>
        <v>3.0788055207022103E-2</v>
      </c>
      <c r="Q176" s="597">
        <f>$Q$33</f>
        <v>3.0884465878923795E-2</v>
      </c>
    </row>
    <row r="177" spans="2:29" ht="15.6">
      <c r="B177" s="272" t="s">
        <v>437</v>
      </c>
      <c r="G177" s="154"/>
      <c r="H177" s="599">
        <f>IFERROR(+H176+$L$7%,"")</f>
        <v>0.26777518690796809</v>
      </c>
      <c r="I177" s="599">
        <f t="shared" ref="I177:Q177" si="123">IFERROR(+I176+$L$7%,"")</f>
        <v>4.5251712603464188E-2</v>
      </c>
      <c r="J177" s="599">
        <f t="shared" si="123"/>
        <v>4.1730085288958628E-2</v>
      </c>
      <c r="K177" s="599">
        <f t="shared" si="123"/>
        <v>4.3416715536769977E-2</v>
      </c>
      <c r="L177" s="600">
        <f t="shared" si="123"/>
        <v>4.4997587546782757E-2</v>
      </c>
      <c r="M177" s="600">
        <f t="shared" si="123"/>
        <v>5.4712186737302181E-2</v>
      </c>
      <c r="N177" s="600">
        <f t="shared" si="123"/>
        <v>3.0794808844106146E-2</v>
      </c>
      <c r="O177" s="600">
        <f t="shared" si="123"/>
        <v>3.0891496894136748E-2</v>
      </c>
      <c r="P177" s="600">
        <f t="shared" si="123"/>
        <v>3.0988055207022101E-2</v>
      </c>
      <c r="Q177" s="600">
        <f t="shared" si="123"/>
        <v>3.1084465878923793E-2</v>
      </c>
    </row>
    <row r="178" spans="2:29" ht="15.6">
      <c r="G178" s="154"/>
    </row>
    <row r="179" spans="2:29" ht="15.6">
      <c r="B179" s="122" t="s">
        <v>445</v>
      </c>
      <c r="E179" s="147">
        <f t="shared" ref="E179:G180" si="124">+E61</f>
        <v>1374</v>
      </c>
      <c r="F179" s="147">
        <f t="shared" si="124"/>
        <v>-122</v>
      </c>
      <c r="G179" s="171">
        <f t="shared" si="124"/>
        <v>-5424</v>
      </c>
      <c r="H179" s="172">
        <f ca="1">IFERROR(H180*H173,"")</f>
        <v>-7754.1799433783435</v>
      </c>
      <c r="I179" s="172">
        <f t="shared" ref="I179:Q179" ca="1" si="125">IFERROR(I180*I173,"")</f>
        <v>-2239.8839472815134</v>
      </c>
      <c r="J179" s="172">
        <f t="shared" ca="1" si="125"/>
        <v>-987.49154119459263</v>
      </c>
      <c r="K179" s="172">
        <f t="shared" ca="1" si="125"/>
        <v>-4057.5085951718715</v>
      </c>
      <c r="L179" s="172">
        <f t="shared" ca="1" si="125"/>
        <v>-4188.4933402077513</v>
      </c>
      <c r="M179" s="172">
        <f t="shared" ca="1" si="125"/>
        <v>-4429.5524054572725</v>
      </c>
      <c r="N179" s="172">
        <f t="shared" ca="1" si="125"/>
        <v>-4536.5836297168662</v>
      </c>
      <c r="O179" s="172">
        <f t="shared" ca="1" si="125"/>
        <v>-4662.1945726249214</v>
      </c>
      <c r="P179" s="172">
        <f t="shared" ca="1" si="125"/>
        <v>-4801.3303173891218</v>
      </c>
      <c r="Q179" s="172">
        <f t="shared" ca="1" si="125"/>
        <v>-4933.5575884225373</v>
      </c>
    </row>
    <row r="180" spans="2:29" ht="3.75" customHeight="1">
      <c r="B180" s="273" t="s">
        <v>458</v>
      </c>
      <c r="C180" s="273"/>
      <c r="D180" s="273"/>
      <c r="E180" s="304">
        <f t="shared" si="124"/>
        <v>2.1790845941573888E-2</v>
      </c>
      <c r="F180" s="304">
        <f t="shared" si="124"/>
        <v>-2.249760271446485E-3</v>
      </c>
      <c r="G180" s="305">
        <f t="shared" si="124"/>
        <v>-0.10214496902129903</v>
      </c>
      <c r="H180" s="304">
        <f ca="1">OFFSET(H180,$C$8,0)</f>
        <v>-0.11520184805057031</v>
      </c>
      <c r="I180" s="304">
        <f ca="1">+OFFSET(I180,$C$8,0)</f>
        <v>-3.1842804243574226E-2</v>
      </c>
      <c r="J180" s="304">
        <f ca="1">+OFFSET(J180,$C$8,0)</f>
        <v>-1.3478679744376556E-2</v>
      </c>
      <c r="K180" s="304">
        <f ca="1">+OFFSET(K180,$C$8,0)</f>
        <v>-5.308830771727955E-2</v>
      </c>
      <c r="L180" s="304">
        <f ca="1">+OFFSET(L180,$C$8,0)</f>
        <v>-5.2452368214457756E-2</v>
      </c>
      <c r="M180" s="304">
        <f t="shared" ref="M180:Q180" ca="1" si="126">+OFFSET(M180,$C$8,0)</f>
        <v>-5.2603605611014459E-2</v>
      </c>
      <c r="N180" s="304">
        <f t="shared" ca="1" si="126"/>
        <v>-5.2275312733178037E-2</v>
      </c>
      <c r="O180" s="304">
        <f t="shared" ca="1" si="126"/>
        <v>-5.2123001865473036E-2</v>
      </c>
      <c r="P180" s="304">
        <f t="shared" ca="1" si="126"/>
        <v>-5.2075234350363743E-2</v>
      </c>
      <c r="Q180" s="304">
        <f t="shared" ca="1" si="126"/>
        <v>-5.190627394323663E-2</v>
      </c>
    </row>
    <row r="181" spans="2:29" ht="15.6">
      <c r="B181" s="272" t="s">
        <v>435</v>
      </c>
      <c r="G181" s="154"/>
      <c r="H181" s="599">
        <f>IFERROR(H182-$F$8,"")</f>
        <v>-0.10520184805057031</v>
      </c>
      <c r="I181" s="599">
        <f t="shared" ref="I181:Q181" si="127">IFERROR(I182-$F$8,"")</f>
        <v>-2.1842804243574224E-2</v>
      </c>
      <c r="J181" s="599">
        <f t="shared" si="127"/>
        <v>-3.4786797443765553E-3</v>
      </c>
      <c r="K181" s="599">
        <f t="shared" si="127"/>
        <v>-4.3088307717279548E-2</v>
      </c>
      <c r="L181" s="599">
        <f t="shared" si="127"/>
        <v>-4.2452368214457754E-2</v>
      </c>
      <c r="M181" s="599">
        <f t="shared" si="127"/>
        <v>-4.2603605611014457E-2</v>
      </c>
      <c r="N181" s="599">
        <f t="shared" si="127"/>
        <v>-4.2275312733178035E-2</v>
      </c>
      <c r="O181" s="599">
        <f t="shared" si="127"/>
        <v>-4.2123001865473034E-2</v>
      </c>
      <c r="P181" s="599">
        <f t="shared" si="127"/>
        <v>-4.2075234350363741E-2</v>
      </c>
      <c r="Q181" s="599">
        <f t="shared" si="127"/>
        <v>-4.1906273943236629E-2</v>
      </c>
    </row>
    <row r="182" spans="2:29" ht="15.6">
      <c r="B182" s="272" t="s">
        <v>436</v>
      </c>
      <c r="G182" s="154"/>
      <c r="H182" s="597">
        <f t="shared" ref="H182:Q182" si="128">IFERROR(VALUE(H62),"")</f>
        <v>-0.11520184805057031</v>
      </c>
      <c r="I182" s="597">
        <f t="shared" si="128"/>
        <v>-3.1842804243574226E-2</v>
      </c>
      <c r="J182" s="597">
        <f t="shared" si="128"/>
        <v>-1.3478679744376556E-2</v>
      </c>
      <c r="K182" s="597">
        <f t="shared" si="128"/>
        <v>-5.308830771727955E-2</v>
      </c>
      <c r="L182" s="597">
        <f t="shared" si="128"/>
        <v>-5.2452368214457756E-2</v>
      </c>
      <c r="M182" s="597">
        <f t="shared" si="128"/>
        <v>-5.2603605611014459E-2</v>
      </c>
      <c r="N182" s="597">
        <f t="shared" si="128"/>
        <v>-5.2275312733178037E-2</v>
      </c>
      <c r="O182" s="597">
        <f t="shared" si="128"/>
        <v>-5.2123001865473036E-2</v>
      </c>
      <c r="P182" s="597">
        <f t="shared" si="128"/>
        <v>-5.2075234350363743E-2</v>
      </c>
      <c r="Q182" s="597">
        <f t="shared" si="128"/>
        <v>-5.190627394323663E-2</v>
      </c>
    </row>
    <row r="183" spans="2:29" ht="15.6">
      <c r="B183" s="272" t="s">
        <v>437</v>
      </c>
      <c r="G183" s="154"/>
      <c r="H183" s="599">
        <f>+IFERROR(H182+$L$8%,"")</f>
        <v>-0.1151018480505703</v>
      </c>
      <c r="I183" s="599">
        <f t="shared" ref="I183:Q183" si="129">+IFERROR(I182+$L$8%,"")</f>
        <v>-3.1742804243574223E-2</v>
      </c>
      <c r="J183" s="599">
        <f t="shared" si="129"/>
        <v>-1.3378679744376556E-2</v>
      </c>
      <c r="K183" s="599">
        <f t="shared" si="129"/>
        <v>-5.2988307717279547E-2</v>
      </c>
      <c r="L183" s="599">
        <f t="shared" si="129"/>
        <v>-5.2352368214457753E-2</v>
      </c>
      <c r="M183" s="599">
        <f t="shared" si="129"/>
        <v>-5.2503605611014456E-2</v>
      </c>
      <c r="N183" s="599">
        <f t="shared" si="129"/>
        <v>-5.2175312733178034E-2</v>
      </c>
      <c r="O183" s="599">
        <f t="shared" si="129"/>
        <v>-5.2023001865473033E-2</v>
      </c>
      <c r="P183" s="599">
        <f t="shared" si="129"/>
        <v>-5.197523435036374E-2</v>
      </c>
      <c r="Q183" s="599">
        <f t="shared" si="129"/>
        <v>-5.1806273943236628E-2</v>
      </c>
    </row>
    <row r="184" spans="2:29" ht="15.6">
      <c r="G184" s="154"/>
    </row>
    <row r="185" spans="2:29" ht="15.6">
      <c r="B185" s="174" t="s">
        <v>441</v>
      </c>
      <c r="C185" s="175"/>
      <c r="D185" s="175"/>
      <c r="E185" s="176">
        <f t="shared" ref="E185:Q185" si="130">+IFERROR(E179*(1-E81),"")</f>
        <v>1507.9569303054034</v>
      </c>
      <c r="F185" s="176">
        <f t="shared" si="130"/>
        <v>-235.19715447154471</v>
      </c>
      <c r="G185" s="327">
        <f t="shared" si="130"/>
        <v>-14192.235341527301</v>
      </c>
      <c r="H185" s="176">
        <f ca="1">H179</f>
        <v>-7754.1799433783435</v>
      </c>
      <c r="I185" s="176">
        <f t="shared" ref="I185" ca="1" si="131">I179</f>
        <v>-2239.8839472815134</v>
      </c>
      <c r="J185" s="176">
        <f t="shared" ca="1" si="130"/>
        <v>-2185.2784110614912</v>
      </c>
      <c r="K185" s="176">
        <f t="shared" ca="1" si="130"/>
        <v>-8433.2258320122328</v>
      </c>
      <c r="L185" s="176">
        <f t="shared" ca="1" si="130"/>
        <v>-8981.6159079741919</v>
      </c>
      <c r="M185" s="176">
        <f t="shared" ca="1" si="130"/>
        <v>-9502.4804401512338</v>
      </c>
      <c r="N185" s="176">
        <f t="shared" ca="1" si="130"/>
        <v>-9629.6936513271157</v>
      </c>
      <c r="O185" s="176">
        <f t="shared" ca="1" si="130"/>
        <v>-9965.0931609431955</v>
      </c>
      <c r="P185" s="176">
        <f t="shared" ca="1" si="130"/>
        <v>-10251.395304394813</v>
      </c>
      <c r="Q185" s="326">
        <f t="shared" ca="1" si="130"/>
        <v>-10517.05587267575</v>
      </c>
    </row>
    <row r="186" spans="2:29" ht="3.75" customHeight="1">
      <c r="G186" s="154"/>
    </row>
    <row r="187" spans="2:29" ht="15.6">
      <c r="B187" s="122" t="s">
        <v>515</v>
      </c>
      <c r="E187" s="147">
        <f t="shared" ref="E187:Q187" si="132">+E125</f>
        <v>13035</v>
      </c>
      <c r="F187" s="147">
        <f t="shared" si="132"/>
        <v>9602</v>
      </c>
      <c r="G187" s="171">
        <f t="shared" si="132"/>
        <v>11379</v>
      </c>
      <c r="H187" s="177">
        <f t="shared" si="132"/>
        <v>12721.471761364119</v>
      </c>
      <c r="I187" s="177">
        <f t="shared" si="132"/>
        <v>12267.234391452086</v>
      </c>
      <c r="J187" s="177">
        <f t="shared" si="132"/>
        <v>13170.432615512935</v>
      </c>
      <c r="K187" s="177">
        <f t="shared" si="132"/>
        <v>13944.565368988562</v>
      </c>
      <c r="L187" s="177">
        <f t="shared" si="132"/>
        <v>14364.594560871243</v>
      </c>
      <c r="M187" s="177">
        <f t="shared" si="132"/>
        <v>14748.526767741158</v>
      </c>
      <c r="N187" s="177">
        <f t="shared" si="132"/>
        <v>13943.527938244142</v>
      </c>
      <c r="O187" s="177">
        <f t="shared" si="132"/>
        <v>13884.174409412355</v>
      </c>
      <c r="P187" s="177">
        <f t="shared" si="132"/>
        <v>14261.864444525032</v>
      </c>
      <c r="Q187" s="177">
        <f t="shared" si="132"/>
        <v>14913.532330941835</v>
      </c>
    </row>
    <row r="188" spans="2:29" ht="3.75" customHeight="1">
      <c r="G188" s="154"/>
    </row>
    <row r="189" spans="2:29" ht="15.6">
      <c r="B189" s="122" t="s">
        <v>495</v>
      </c>
      <c r="E189" s="147">
        <f t="shared" ref="E189:Q189" si="133">+E127</f>
        <v>3128</v>
      </c>
      <c r="F189" s="147">
        <f t="shared" si="133"/>
        <v>3229</v>
      </c>
      <c r="G189" s="171">
        <f t="shared" si="133"/>
        <v>3410</v>
      </c>
      <c r="H189" s="147">
        <f t="shared" si="133"/>
        <v>3813.8600272752751</v>
      </c>
      <c r="I189" s="147">
        <f t="shared" si="133"/>
        <v>4227.9407939311468</v>
      </c>
      <c r="J189" s="147">
        <f t="shared" si="133"/>
        <v>4419.832234119358</v>
      </c>
      <c r="K189" s="147">
        <f t="shared" si="133"/>
        <v>4511.7615126283126</v>
      </c>
      <c r="L189" s="147">
        <f t="shared" si="133"/>
        <v>4776.967079959205</v>
      </c>
      <c r="M189" s="147">
        <f t="shared" si="133"/>
        <v>5029.4052313833754</v>
      </c>
      <c r="N189" s="147">
        <f t="shared" si="133"/>
        <v>5165.8965178562667</v>
      </c>
      <c r="O189" s="147">
        <f t="shared" si="133"/>
        <v>5339.209673044279</v>
      </c>
      <c r="P189" s="147">
        <f t="shared" si="133"/>
        <v>5499.6036429055521</v>
      </c>
      <c r="Q189" s="147">
        <f t="shared" si="133"/>
        <v>5666.9685118165198</v>
      </c>
      <c r="R189" s="123"/>
      <c r="S189" s="123"/>
      <c r="T189" s="123"/>
      <c r="U189" s="123"/>
      <c r="V189" s="123"/>
      <c r="W189" s="123"/>
      <c r="X189" s="123"/>
      <c r="Y189" s="123"/>
      <c r="Z189" s="123"/>
      <c r="AA189" s="123"/>
      <c r="AB189" s="123"/>
      <c r="AC189" s="123"/>
    </row>
    <row r="190" spans="2:29" ht="3.75" customHeight="1">
      <c r="G190" s="143"/>
      <c r="R190" s="123"/>
      <c r="S190" s="123"/>
      <c r="T190" s="123"/>
      <c r="U190" s="123"/>
      <c r="V190" s="123"/>
      <c r="W190" s="123"/>
      <c r="X190" s="123"/>
      <c r="Y190" s="123"/>
      <c r="Z190" s="123"/>
      <c r="AA190" s="123"/>
      <c r="AB190" s="123"/>
      <c r="AC190" s="123"/>
    </row>
    <row r="191" spans="2:29" ht="15.6">
      <c r="B191" s="122" t="s">
        <v>516</v>
      </c>
      <c r="E191" s="147">
        <f t="shared" ref="E191:Q191" si="134">+E130</f>
        <v>-3230</v>
      </c>
      <c r="F191" s="147">
        <f t="shared" si="134"/>
        <v>-2118</v>
      </c>
      <c r="G191" s="178">
        <f t="shared" si="134"/>
        <v>-1120</v>
      </c>
      <c r="H191" s="170">
        <f t="shared" si="134"/>
        <v>4401.1036780628892</v>
      </c>
      <c r="I191" s="170">
        <f t="shared" si="134"/>
        <v>-4102.9253289032022</v>
      </c>
      <c r="J191" s="170">
        <f t="shared" si="134"/>
        <v>301.52050798808159</v>
      </c>
      <c r="K191" s="170">
        <f t="shared" si="134"/>
        <v>494.56913746325699</v>
      </c>
      <c r="L191" s="170">
        <f t="shared" si="134"/>
        <v>-1196.5625582732755</v>
      </c>
      <c r="M191" s="170">
        <f t="shared" si="134"/>
        <v>-73.383786121437879</v>
      </c>
      <c r="N191" s="170">
        <f t="shared" si="134"/>
        <v>-875.63456697507354</v>
      </c>
      <c r="O191" s="170">
        <f t="shared" si="134"/>
        <v>-784.03290532486062</v>
      </c>
      <c r="P191" s="170">
        <f t="shared" si="134"/>
        <v>-682.12903876835844</v>
      </c>
      <c r="Q191" s="170">
        <f t="shared" si="134"/>
        <v>-926.4229487159173</v>
      </c>
      <c r="R191" s="123"/>
      <c r="S191" s="123"/>
      <c r="T191" s="123"/>
      <c r="U191" s="123"/>
      <c r="V191" s="123"/>
      <c r="W191" s="123"/>
      <c r="X191" s="123"/>
      <c r="Y191" s="123"/>
      <c r="Z191" s="123"/>
      <c r="AA191" s="123"/>
      <c r="AB191" s="123"/>
      <c r="AC191" s="123"/>
    </row>
    <row r="192" spans="2:29" ht="3.75" customHeight="1">
      <c r="G192" s="143"/>
      <c r="R192" s="123"/>
      <c r="S192" s="123"/>
      <c r="T192" s="123"/>
      <c r="U192" s="123"/>
      <c r="V192" s="123"/>
      <c r="W192" s="123"/>
      <c r="X192" s="123"/>
      <c r="Y192" s="123"/>
      <c r="Z192" s="123"/>
      <c r="AA192" s="123"/>
      <c r="AB192" s="123"/>
      <c r="AC192" s="123"/>
    </row>
    <row r="193" spans="2:29" ht="15.6">
      <c r="B193" s="122" t="s">
        <v>499</v>
      </c>
      <c r="E193" s="147">
        <f t="shared" ref="E193:Q193" si="135">+E136</f>
        <v>-25050</v>
      </c>
      <c r="F193" s="147">
        <f t="shared" si="135"/>
        <v>-25750</v>
      </c>
      <c r="G193" s="171">
        <f t="shared" si="135"/>
        <v>-23944</v>
      </c>
      <c r="H193" s="147">
        <f t="shared" si="135"/>
        <v>-3112.7200000000003</v>
      </c>
      <c r="I193" s="147">
        <f t="shared" si="135"/>
        <v>-3423.9920000000006</v>
      </c>
      <c r="J193" s="147">
        <f t="shared" si="135"/>
        <v>-3595.191600000001</v>
      </c>
      <c r="K193" s="147">
        <f t="shared" si="135"/>
        <v>-3774.9511800000014</v>
      </c>
      <c r="L193" s="147">
        <f t="shared" si="135"/>
        <v>-3963.6987390000018</v>
      </c>
      <c r="M193" s="147">
        <f t="shared" si="135"/>
        <v>-4161.8836759500018</v>
      </c>
      <c r="N193" s="147">
        <f t="shared" si="135"/>
        <v>-4369.9778597475024</v>
      </c>
      <c r="O193" s="147">
        <f t="shared" si="135"/>
        <v>-4588.4767527348777</v>
      </c>
      <c r="P193" s="147">
        <f t="shared" si="135"/>
        <v>-4817.9005903716215</v>
      </c>
      <c r="Q193" s="147">
        <f t="shared" si="135"/>
        <v>-5058.7956198902029</v>
      </c>
      <c r="R193" s="123"/>
      <c r="S193" s="123"/>
      <c r="T193" s="123"/>
      <c r="U193" s="123"/>
      <c r="V193" s="123"/>
      <c r="W193" s="123"/>
      <c r="X193" s="123"/>
      <c r="Y193" s="123"/>
      <c r="Z193" s="123"/>
      <c r="AA193" s="123"/>
      <c r="AB193" s="123"/>
      <c r="AC193" s="123"/>
    </row>
    <row r="194" spans="2:29" ht="3.75" customHeight="1">
      <c r="B194" s="148"/>
      <c r="E194" s="150"/>
      <c r="F194" s="150"/>
      <c r="G194" s="158"/>
      <c r="H194" s="173"/>
      <c r="I194" s="173"/>
      <c r="J194" s="173"/>
      <c r="K194" s="173"/>
      <c r="L194" s="173"/>
      <c r="M194" s="173"/>
      <c r="N194" s="173"/>
      <c r="O194" s="173"/>
      <c r="P194" s="173"/>
      <c r="Q194" s="173"/>
      <c r="R194" s="123"/>
      <c r="S194" s="123"/>
      <c r="T194" s="123"/>
      <c r="U194" s="123"/>
      <c r="V194" s="123"/>
      <c r="W194" s="123"/>
      <c r="X194" s="123"/>
      <c r="Y194" s="123"/>
      <c r="Z194" s="123"/>
      <c r="AA194" s="123"/>
      <c r="AB194" s="123"/>
      <c r="AC194" s="123"/>
    </row>
    <row r="195" spans="2:29" ht="18.95" customHeight="1">
      <c r="B195" s="179" t="s">
        <v>27</v>
      </c>
      <c r="C195" s="180"/>
      <c r="D195" s="180"/>
      <c r="E195" s="181">
        <f t="shared" ref="E195:Q195" si="136">IFERROR(E185+E187+E193+E191+E189,"")</f>
        <v>-10609.043069694597</v>
      </c>
      <c r="F195" s="181">
        <f t="shared" si="136"/>
        <v>-15272.197154471545</v>
      </c>
      <c r="G195" s="182">
        <f t="shared" si="136"/>
        <v>-24467.235341527303</v>
      </c>
      <c r="H195" s="181">
        <f t="shared" ca="1" si="136"/>
        <v>10069.535523323939</v>
      </c>
      <c r="I195" s="181">
        <f t="shared" ca="1" si="136"/>
        <v>6728.373909198518</v>
      </c>
      <c r="J195" s="181">
        <f t="shared" ca="1" si="136"/>
        <v>12111.31534655888</v>
      </c>
      <c r="K195" s="181">
        <f t="shared" ca="1" si="136"/>
        <v>6742.7190070678971</v>
      </c>
      <c r="L195" s="181">
        <f t="shared" ca="1" si="136"/>
        <v>4999.684435582978</v>
      </c>
      <c r="M195" s="181">
        <f t="shared" ca="1" si="136"/>
        <v>6040.1840969018594</v>
      </c>
      <c r="N195" s="181">
        <f t="shared" ca="1" si="136"/>
        <v>4234.1183780507172</v>
      </c>
      <c r="O195" s="181">
        <f t="shared" ca="1" si="136"/>
        <v>3885.7812634537004</v>
      </c>
      <c r="P195" s="181">
        <f t="shared" ca="1" si="136"/>
        <v>4010.043153895791</v>
      </c>
      <c r="Q195" s="328">
        <f t="shared" ca="1" si="136"/>
        <v>4078.2264014764842</v>
      </c>
      <c r="R195" s="123"/>
      <c r="S195" s="123"/>
      <c r="T195" s="123"/>
      <c r="U195" s="123"/>
      <c r="V195" s="123"/>
      <c r="W195" s="123"/>
      <c r="X195" s="123"/>
      <c r="Y195" s="123"/>
      <c r="Z195" s="123"/>
      <c r="AA195" s="123"/>
      <c r="AB195" s="123"/>
      <c r="AC195" s="123"/>
    </row>
    <row r="196" spans="2:29" ht="3.75" customHeight="1">
      <c r="B196" s="183" t="s">
        <v>517</v>
      </c>
      <c r="C196" s="184"/>
      <c r="D196" s="184"/>
      <c r="E196" s="184"/>
      <c r="F196" s="184"/>
      <c r="G196" s="185"/>
      <c r="H196" s="186">
        <f ca="1">IFERROR(H195/(1+$C$12)^H198,"")</f>
        <v>9945.7073779200091</v>
      </c>
      <c r="I196" s="186">
        <f t="shared" ref="I196:P196" ca="1" si="137">IFERROR(I195/(1+$C$12)^I198,"")</f>
        <v>6094.9788382017532</v>
      </c>
      <c r="J196" s="186">
        <f t="shared" ca="1" si="137"/>
        <v>10062.114181115428</v>
      </c>
      <c r="K196" s="186">
        <f t="shared" ca="1" si="137"/>
        <v>5137.7011145058013</v>
      </c>
      <c r="L196" s="186">
        <f t="shared" ca="1" si="137"/>
        <v>3493.9140172333714</v>
      </c>
      <c r="M196" s="186">
        <f t="shared" ca="1" si="137"/>
        <v>3871.289412502209</v>
      </c>
      <c r="N196" s="186">
        <f t="shared" ca="1" si="137"/>
        <v>2488.8819909404178</v>
      </c>
      <c r="O196" s="186">
        <f t="shared" ca="1" si="137"/>
        <v>2094.8624117091931</v>
      </c>
      <c r="P196" s="186">
        <f t="shared" ca="1" si="137"/>
        <v>1982.7230055620605</v>
      </c>
      <c r="Q196" s="187">
        <f ca="1">IFERROR(Q195/(1+$C$12)^Q198,"")</f>
        <v>1849.3545338893953</v>
      </c>
      <c r="R196" s="123"/>
      <c r="S196" s="123"/>
      <c r="T196" s="123"/>
      <c r="U196" s="123"/>
      <c r="V196" s="123"/>
      <c r="W196" s="123"/>
      <c r="X196" s="123"/>
      <c r="Y196" s="123"/>
      <c r="Z196" s="123"/>
      <c r="AA196" s="123"/>
      <c r="AB196" s="123"/>
      <c r="AC196" s="123"/>
    </row>
    <row r="197" spans="2:29" ht="15.6">
      <c r="G197" s="143"/>
      <c r="R197" s="123"/>
      <c r="S197" s="123" t="s">
        <v>518</v>
      </c>
      <c r="T197" s="123"/>
      <c r="U197" s="123">
        <f ca="1">+J195/(1+$C$12)^(J198-2)</f>
        <v>11962.378812764173</v>
      </c>
      <c r="V197" s="123">
        <f ca="1">+K195/(1+$C$12)^(K198-2)</f>
        <v>6107.9735185102099</v>
      </c>
      <c r="W197" s="123">
        <f ca="1">+L195/(1+$C$12)^(L198-2)</f>
        <v>4153.7516133353029</v>
      </c>
      <c r="X197" s="123">
        <f ca="1">+M195/(1+$C$12)^(M198-2)</f>
        <v>4602.3956409786088</v>
      </c>
      <c r="Y197" s="123">
        <f ca="1">+N195/(1+$C$12)^(N198-2)</f>
        <v>2958.9158560507922</v>
      </c>
      <c r="Z197" s="123"/>
      <c r="AA197" s="123">
        <f ca="1">+O195/(1+$C$12)^(O198-2)</f>
        <v>2490.4843334532861</v>
      </c>
      <c r="AB197" s="123">
        <f ca="1">+P195/(1+$C$12)^(P198-2)</f>
        <v>2357.1670174275887</v>
      </c>
      <c r="AC197" s="123">
        <f ca="1">+Q195/(1+$C$12)^(Q198-2)</f>
        <v>2198.6114543410472</v>
      </c>
    </row>
    <row r="198" spans="2:29" ht="13.5" customHeight="1">
      <c r="B198" s="122" t="s">
        <v>519</v>
      </c>
      <c r="G198" s="143"/>
      <c r="H198" s="188">
        <f ca="1">+H199/2</f>
        <v>0.14305555555555555</v>
      </c>
      <c r="I198" s="188">
        <f ca="1">+H198+1</f>
        <v>1.1430555555555555</v>
      </c>
      <c r="J198" s="188">
        <f t="shared" ref="J198:Q198" ca="1" si="138">+I198+1</f>
        <v>2.1430555555555557</v>
      </c>
      <c r="K198" s="188">
        <f ca="1">+J198+1</f>
        <v>3.1430555555555557</v>
      </c>
      <c r="L198" s="188">
        <f t="shared" ca="1" si="138"/>
        <v>4.1430555555555557</v>
      </c>
      <c r="M198" s="188">
        <f t="shared" ca="1" si="138"/>
        <v>5.1430555555555557</v>
      </c>
      <c r="N198" s="188">
        <f t="shared" ca="1" si="138"/>
        <v>6.1430555555555557</v>
      </c>
      <c r="O198" s="188">
        <f t="shared" ca="1" si="138"/>
        <v>7.1430555555555557</v>
      </c>
      <c r="P198" s="188">
        <f t="shared" ca="1" si="138"/>
        <v>8.1430555555555557</v>
      </c>
      <c r="Q198" s="188">
        <f t="shared" ca="1" si="138"/>
        <v>9.1430555555555557</v>
      </c>
      <c r="R198" s="123"/>
      <c r="S198" s="123" t="s">
        <v>520</v>
      </c>
      <c r="T198" s="363">
        <f t="shared" ref="T198:Y198" ca="1" si="139">+I195/(1+$C$12)^(I198-1)</f>
        <v>6645.6330458458442</v>
      </c>
      <c r="U198" s="363">
        <f t="shared" ca="1" si="139"/>
        <v>10971.1814082071</v>
      </c>
      <c r="V198" s="363">
        <f t="shared" ca="1" si="139"/>
        <v>5601.869540914161</v>
      </c>
      <c r="W198" s="363">
        <f t="shared" ca="1" si="139"/>
        <v>3809.5735963409275</v>
      </c>
      <c r="X198" s="363">
        <f t="shared" ca="1" si="139"/>
        <v>4221.0431787730868</v>
      </c>
      <c r="Y198" s="363">
        <f t="shared" ca="1" si="139"/>
        <v>2713.7414001398265</v>
      </c>
      <c r="Z198" s="363"/>
      <c r="AA198" s="363">
        <f ca="1">+O195/(1+$C$12)^(O198-1)</f>
        <v>2284.1239058120104</v>
      </c>
      <c r="AB198" s="363">
        <f ca="1">+P195/(1+$C$12)^(P198-1)</f>
        <v>2161.8532034820928</v>
      </c>
      <c r="AC198" s="363">
        <f ca="1">+Q195/(1+$C$12)^(Q198-1)</f>
        <v>2016.4354840526817</v>
      </c>
    </row>
    <row r="199" spans="2:29" ht="3.6" customHeight="1">
      <c r="B199" s="122" t="s">
        <v>521</v>
      </c>
      <c r="G199" s="143"/>
      <c r="H199" s="188">
        <f ca="1">YEARFRAC(P199,P200)</f>
        <v>0.28611111111111109</v>
      </c>
      <c r="P199" s="189">
        <f ca="1">TODAY()</f>
        <v>45918</v>
      </c>
      <c r="R199" s="123"/>
      <c r="S199" s="123"/>
      <c r="T199" s="123"/>
      <c r="U199" s="123"/>
      <c r="V199" s="123"/>
      <c r="W199" s="123"/>
      <c r="X199" s="123"/>
      <c r="Y199" s="123"/>
      <c r="Z199" s="123"/>
      <c r="AA199" s="123"/>
      <c r="AB199" s="123"/>
      <c r="AC199" s="123"/>
    </row>
    <row r="200" spans="2:29" ht="15.6">
      <c r="B200" s="123"/>
      <c r="C200" s="123"/>
      <c r="D200" s="123"/>
      <c r="E200" s="123"/>
      <c r="F200" s="123"/>
      <c r="G200" s="190"/>
      <c r="H200" s="123"/>
      <c r="I200" s="123"/>
      <c r="J200" s="123"/>
      <c r="K200" s="123"/>
      <c r="L200" s="123"/>
      <c r="M200" s="123"/>
      <c r="N200" s="123"/>
      <c r="O200" s="123"/>
      <c r="P200" s="189">
        <v>46022</v>
      </c>
      <c r="Q200" s="123"/>
      <c r="R200" s="123"/>
      <c r="S200" s="123"/>
      <c r="T200" s="123"/>
      <c r="U200" s="123"/>
      <c r="V200" s="123"/>
      <c r="W200" s="123"/>
      <c r="X200" s="123"/>
      <c r="Y200" s="123"/>
      <c r="Z200" s="123"/>
      <c r="AA200" s="123"/>
      <c r="AB200" s="123"/>
      <c r="AC200" s="123"/>
    </row>
    <row r="201" spans="2:29" ht="15.6">
      <c r="B201" s="122" t="s">
        <v>522</v>
      </c>
      <c r="G201" s="143"/>
      <c r="L201" s="191" t="str">
        <f ca="1">IFERROR((#REF!*(1+$C$13))/($C$12-$C$13),"")</f>
        <v/>
      </c>
      <c r="P201" s="192"/>
      <c r="Q201" s="193">
        <f ca="1">IFERROR(+(Q195*(1+$C$13))/($C$12-$C$13),"")</f>
        <v>59133.676608091228</v>
      </c>
      <c r="R201" s="123"/>
      <c r="S201" s="123"/>
      <c r="T201" s="123"/>
      <c r="U201" s="123"/>
      <c r="V201" s="123"/>
      <c r="W201" s="123"/>
      <c r="X201" s="123"/>
      <c r="Y201" s="123"/>
      <c r="Z201" s="123"/>
      <c r="AA201" s="123"/>
      <c r="AB201" s="123"/>
      <c r="AC201" s="123"/>
    </row>
    <row r="202" spans="2:29" s="123" customFormat="1" ht="15.95" customHeight="1">
      <c r="B202" s="122" t="s">
        <v>523</v>
      </c>
      <c r="C202" s="122"/>
      <c r="D202" s="122"/>
      <c r="E202" s="122"/>
      <c r="F202" s="122"/>
      <c r="G202" s="143"/>
      <c r="H202" s="122"/>
      <c r="I202" s="122"/>
      <c r="J202" s="122"/>
      <c r="K202" s="122"/>
      <c r="L202" s="191" t="str">
        <f ca="1">IFERROR(L201/(1+$C$12)^#REF!,"")</f>
        <v/>
      </c>
      <c r="M202" s="122"/>
      <c r="N202" s="122"/>
      <c r="O202" s="122"/>
      <c r="P202" s="122"/>
      <c r="Q202" s="164">
        <f ca="1">IFERROR(Q201/(1+$C$12)^$Q$198,"")</f>
        <v>26815.365841663504</v>
      </c>
    </row>
    <row r="203" spans="2:29" ht="15.95" customHeight="1">
      <c r="B203" s="122" t="s">
        <v>524</v>
      </c>
      <c r="G203" s="143"/>
      <c r="L203" s="194"/>
      <c r="Q203" s="164">
        <f ca="1">+SUM(H196:Q196,Q202)</f>
        <v>73836.892725243146</v>
      </c>
      <c r="R203" s="123">
        <v>2025</v>
      </c>
      <c r="S203" s="123">
        <v>2026</v>
      </c>
      <c r="T203" s="628"/>
      <c r="U203" s="629"/>
      <c r="V203" s="629"/>
      <c r="W203" s="123"/>
      <c r="X203" s="123"/>
      <c r="Y203" s="123"/>
      <c r="Z203" s="123"/>
      <c r="AA203" s="123"/>
      <c r="AB203" s="123"/>
      <c r="AC203" s="123"/>
    </row>
    <row r="204" spans="2:29" ht="15.6">
      <c r="B204" s="122" t="s">
        <v>525</v>
      </c>
      <c r="G204" s="143"/>
      <c r="L204" s="194"/>
      <c r="Q204" s="330">
        <f>Inputs!Q33</f>
        <v>8249</v>
      </c>
      <c r="R204" s="681">
        <f ca="1">+Q201/(1+$C$12)^$P$198</f>
        <v>29238.014783063958</v>
      </c>
      <c r="S204" s="123">
        <f ca="1">+Q201/(1+$C$12)^$O$198</f>
        <v>31879.539272458976</v>
      </c>
      <c r="T204" s="629"/>
      <c r="U204" s="130"/>
      <c r="V204" s="130"/>
      <c r="W204" s="123"/>
      <c r="X204" s="123"/>
      <c r="Y204" s="123"/>
      <c r="Z204" s="123"/>
      <c r="AA204" s="123"/>
      <c r="AB204" s="123"/>
      <c r="AC204" s="123"/>
    </row>
    <row r="205" spans="2:29" ht="15.6">
      <c r="B205" s="122" t="s">
        <v>526</v>
      </c>
      <c r="G205" s="143"/>
      <c r="L205" s="194"/>
      <c r="Q205" s="330">
        <f>Inputs!Q102</f>
        <v>5762</v>
      </c>
      <c r="R205" s="681">
        <f ca="1">+SUM(T198:AC198,R204)</f>
        <v>69663.469546631692</v>
      </c>
      <c r="S205" s="123">
        <f ca="1">+SUM(S204,U197:AC197)</f>
        <v>68711.217519319995</v>
      </c>
      <c r="T205" s="629"/>
      <c r="U205" s="130"/>
      <c r="V205" s="130"/>
      <c r="W205" s="123"/>
      <c r="X205" s="123"/>
      <c r="Y205" s="123"/>
      <c r="Z205" s="123"/>
      <c r="AA205" s="123"/>
      <c r="AB205" s="123"/>
      <c r="AC205" s="123"/>
    </row>
    <row r="206" spans="2:29" ht="15.6">
      <c r="B206" s="122" t="s">
        <v>527</v>
      </c>
      <c r="G206" s="143"/>
      <c r="M206" s="195"/>
      <c r="Q206" s="330">
        <v>0</v>
      </c>
      <c r="R206" s="681">
        <f ca="1">+H90</f>
        <v>56777.72832463526</v>
      </c>
      <c r="S206" s="681">
        <f ca="1">+I90</f>
        <v>80702.74460684153</v>
      </c>
      <c r="T206" s="127"/>
      <c r="U206" s="127"/>
      <c r="V206" s="127"/>
      <c r="W206" s="123"/>
      <c r="X206" s="123"/>
      <c r="Y206" s="123"/>
      <c r="Z206" s="123"/>
      <c r="AA206" s="123"/>
      <c r="AB206" s="123"/>
      <c r="AC206" s="123"/>
    </row>
    <row r="207" spans="2:29" ht="15.6">
      <c r="B207" s="122" t="s">
        <v>528</v>
      </c>
      <c r="G207" s="143"/>
      <c r="Q207" s="330">
        <f>Inputs!Q113</f>
        <v>46742</v>
      </c>
      <c r="R207" s="681">
        <f>+Q205</f>
        <v>5762</v>
      </c>
      <c r="S207" s="681">
        <f>+Q205</f>
        <v>5762</v>
      </c>
      <c r="T207" s="127"/>
      <c r="U207" s="127"/>
      <c r="V207" s="127"/>
      <c r="W207" s="123"/>
      <c r="X207" s="123"/>
      <c r="Y207" s="123"/>
      <c r="Z207" s="123"/>
      <c r="AA207" s="123"/>
      <c r="AB207" s="123"/>
      <c r="AC207" s="123"/>
    </row>
    <row r="208" spans="2:29" ht="15.6">
      <c r="B208" s="122" t="s">
        <v>220</v>
      </c>
      <c r="G208" s="143"/>
      <c r="Q208" s="164">
        <f ca="1">Q203+Q204-Q205-Q206-Q207</f>
        <v>29581.892725243146</v>
      </c>
      <c r="R208" s="681">
        <f>+Q206</f>
        <v>0</v>
      </c>
      <c r="S208" s="681">
        <f>+Q206</f>
        <v>0</v>
      </c>
      <c r="T208" s="127"/>
      <c r="U208" s="127"/>
      <c r="V208" s="127"/>
      <c r="W208" s="123"/>
      <c r="X208" s="123"/>
      <c r="Y208" s="123"/>
      <c r="Z208" s="123"/>
      <c r="AA208" s="123"/>
      <c r="AB208" s="123"/>
      <c r="AC208" s="123"/>
    </row>
    <row r="209" spans="1:29" ht="6.75" customHeight="1">
      <c r="G209" s="143"/>
      <c r="Q209" s="196"/>
      <c r="R209" s="681">
        <f>+H118</f>
        <v>64280</v>
      </c>
      <c r="S209" s="681">
        <f>+I118</f>
        <v>57379.633708311761</v>
      </c>
      <c r="T209" s="127"/>
      <c r="U209" s="127"/>
      <c r="V209" s="127"/>
      <c r="W209" s="123"/>
      <c r="X209" s="123"/>
      <c r="Y209" s="123"/>
      <c r="Z209" s="123"/>
      <c r="AA209" s="123"/>
      <c r="AB209" s="123"/>
      <c r="AC209" s="123"/>
    </row>
    <row r="210" spans="1:29" ht="15.6">
      <c r="B210" s="122" t="s">
        <v>529</v>
      </c>
      <c r="G210" s="143"/>
      <c r="O210" s="148"/>
      <c r="Q210" s="193" cm="1">
        <f t="array" aca="1" ref="Q210" ca="1">IFERROR(_FV(R4,"Shares outstanding",TRUE)/1000000,"")</f>
        <v>4670.2619999999997</v>
      </c>
      <c r="R210" s="681">
        <f ca="1">R205+R206-R207-R208-R209</f>
        <v>56399.197871266952</v>
      </c>
      <c r="S210" s="681">
        <f ca="1">S205+S206-S207-S208-S209</f>
        <v>86272.328417849756</v>
      </c>
      <c r="T210" s="127"/>
      <c r="U210" s="127"/>
      <c r="V210" s="127"/>
      <c r="W210" s="123"/>
      <c r="X210" s="123"/>
      <c r="Y210" s="123"/>
      <c r="Z210" s="123"/>
      <c r="AA210" s="123"/>
      <c r="AB210" s="123"/>
      <c r="AC210" s="123"/>
    </row>
    <row r="211" spans="1:29" ht="14.25" customHeight="1">
      <c r="B211" s="145" t="s">
        <v>530</v>
      </c>
      <c r="G211" s="143"/>
      <c r="N211" s="197"/>
      <c r="Q211" s="198">
        <f ca="1">IFERROR(Q208/Q$210,"")</f>
        <v>6.3340970432158086</v>
      </c>
      <c r="R211" s="127"/>
      <c r="S211" s="127"/>
      <c r="T211" s="127"/>
      <c r="U211" s="127"/>
      <c r="V211" s="127"/>
      <c r="W211" s="123"/>
      <c r="X211" s="123"/>
      <c r="Y211" s="123"/>
      <c r="Z211" s="123"/>
      <c r="AA211" s="123"/>
      <c r="AB211" s="123"/>
      <c r="AC211" s="123"/>
    </row>
    <row r="212" spans="1:29" ht="15.6">
      <c r="G212" s="143"/>
      <c r="R212" s="127"/>
      <c r="S212" s="127"/>
      <c r="T212" s="127"/>
      <c r="U212" s="127"/>
      <c r="V212" s="127"/>
      <c r="W212" s="123"/>
      <c r="X212" s="123"/>
      <c r="Y212" s="123"/>
      <c r="Z212" s="123"/>
      <c r="AA212" s="123"/>
      <c r="AB212" s="123"/>
      <c r="AC212" s="123"/>
    </row>
    <row r="213" spans="1:29" ht="15.6">
      <c r="B213" s="122" t="s">
        <v>531</v>
      </c>
      <c r="G213" s="143"/>
      <c r="Q213" s="198" cm="1">
        <f t="array" aca="1" ref="Q213" ca="1">IFERROR(_FV(R4,"Price"),"")</f>
        <v>31.515000000000001</v>
      </c>
      <c r="R213" s="127"/>
      <c r="S213" s="127"/>
      <c r="T213" s="127"/>
      <c r="U213" s="127"/>
      <c r="V213" s="127"/>
      <c r="W213" s="123"/>
      <c r="X213" s="123"/>
      <c r="Y213" s="123"/>
      <c r="Z213" s="123"/>
      <c r="AA213" s="123"/>
      <c r="AB213" s="123"/>
      <c r="AC213" s="123"/>
    </row>
    <row r="214" spans="1:29" ht="13.5" customHeight="1">
      <c r="B214" s="145" t="s">
        <v>532</v>
      </c>
      <c r="C214" s="145"/>
      <c r="D214" s="145"/>
      <c r="E214" s="145"/>
      <c r="F214" s="145"/>
      <c r="G214" s="199"/>
      <c r="H214" s="145"/>
      <c r="I214" s="145"/>
      <c r="J214" s="145"/>
      <c r="K214" s="145"/>
      <c r="L214" s="145"/>
      <c r="M214" s="145"/>
      <c r="N214" s="145"/>
      <c r="O214" s="145"/>
      <c r="P214" s="145"/>
      <c r="Q214" s="200">
        <f ca="1">IFERROR(Q211/Q213-1,"")</f>
        <v>-0.79901326215402801</v>
      </c>
      <c r="R214" s="127"/>
      <c r="S214" s="127"/>
      <c r="T214" s="127"/>
      <c r="U214" s="127"/>
      <c r="V214" s="127"/>
      <c r="W214" s="123"/>
      <c r="X214" s="123"/>
      <c r="Y214" s="123"/>
      <c r="Z214" s="123"/>
      <c r="AA214" s="123"/>
      <c r="AB214" s="123"/>
      <c r="AC214" s="123"/>
    </row>
    <row r="215" spans="1:29" ht="15.6">
      <c r="B215" s="145"/>
      <c r="C215" s="145"/>
      <c r="D215" s="145"/>
      <c r="E215" s="145"/>
      <c r="F215" s="145"/>
      <c r="G215" s="199"/>
      <c r="H215" s="145"/>
      <c r="I215" s="145"/>
      <c r="J215" s="145"/>
      <c r="K215" s="145"/>
      <c r="L215" s="145"/>
      <c r="M215" s="145"/>
      <c r="N215" s="145"/>
      <c r="O215" s="145"/>
      <c r="P215" s="145"/>
      <c r="Q215" s="200"/>
      <c r="R215" s="123"/>
      <c r="S215" s="123"/>
      <c r="T215" s="123"/>
      <c r="U215" s="123"/>
      <c r="V215" s="123"/>
      <c r="W215" s="123"/>
      <c r="X215" s="123"/>
      <c r="Y215" s="123"/>
      <c r="Z215" s="123"/>
      <c r="AA215" s="123"/>
      <c r="AB215" s="123"/>
      <c r="AC215" s="123"/>
    </row>
    <row r="216" spans="1:29" ht="15.6">
      <c r="B216" s="48" t="s">
        <v>533</v>
      </c>
      <c r="C216" s="48"/>
      <c r="D216" s="48"/>
      <c r="E216" s="133">
        <f>E171</f>
        <v>2022</v>
      </c>
      <c r="F216" s="133">
        <f t="shared" ref="F216:Q216" si="140">F171</f>
        <v>2023</v>
      </c>
      <c r="G216" s="133">
        <f t="shared" si="140"/>
        <v>2024</v>
      </c>
      <c r="H216" s="133">
        <f t="shared" si="140"/>
        <v>2025</v>
      </c>
      <c r="I216" s="133">
        <f t="shared" si="140"/>
        <v>2026</v>
      </c>
      <c r="J216" s="133">
        <f t="shared" si="140"/>
        <v>2027</v>
      </c>
      <c r="K216" s="133">
        <f t="shared" si="140"/>
        <v>2028</v>
      </c>
      <c r="L216" s="133">
        <f t="shared" si="140"/>
        <v>2029</v>
      </c>
      <c r="M216" s="133">
        <f t="shared" si="140"/>
        <v>2030</v>
      </c>
      <c r="N216" s="133">
        <f t="shared" si="140"/>
        <v>2031</v>
      </c>
      <c r="O216" s="133">
        <f t="shared" si="140"/>
        <v>2032</v>
      </c>
      <c r="P216" s="133">
        <f t="shared" si="140"/>
        <v>2033</v>
      </c>
      <c r="Q216" s="133">
        <f t="shared" si="140"/>
        <v>2034</v>
      </c>
      <c r="R216" s="123"/>
      <c r="S216" s="123"/>
      <c r="T216" s="123"/>
      <c r="U216" s="123"/>
      <c r="V216" s="123"/>
      <c r="W216" s="123"/>
      <c r="X216" s="123"/>
      <c r="Y216" s="123"/>
      <c r="Z216" s="123"/>
      <c r="AA216" s="123"/>
      <c r="AB216" s="123"/>
      <c r="AC216" s="123"/>
    </row>
    <row r="217" spans="1:29" ht="5.25" customHeight="1">
      <c r="B217" s="49"/>
      <c r="C217" s="49"/>
      <c r="D217" s="49"/>
      <c r="E217" s="49"/>
      <c r="F217" s="49"/>
      <c r="G217" s="161"/>
      <c r="H217" s="49"/>
      <c r="I217" s="49"/>
      <c r="J217" s="49"/>
      <c r="K217" s="49"/>
      <c r="L217" s="49"/>
      <c r="M217" s="49"/>
      <c r="N217" s="49"/>
      <c r="O217" s="49"/>
      <c r="P217" s="49"/>
      <c r="Q217" s="49"/>
      <c r="R217" s="123"/>
      <c r="S217" s="123"/>
      <c r="T217" s="123"/>
      <c r="U217" s="123"/>
      <c r="V217" s="123"/>
      <c r="W217" s="123"/>
      <c r="X217" s="123"/>
      <c r="Y217" s="123"/>
      <c r="Z217" s="123"/>
      <c r="AA217" s="123"/>
      <c r="AB217" s="123"/>
      <c r="AC217" s="123"/>
    </row>
    <row r="218" spans="1:29" ht="15.6">
      <c r="A218" s="122" t="s">
        <v>424</v>
      </c>
      <c r="B218" s="179" t="s">
        <v>534</v>
      </c>
      <c r="C218" s="180"/>
      <c r="D218" s="180"/>
      <c r="E218" s="181"/>
      <c r="F218" s="181"/>
      <c r="G218" s="182"/>
      <c r="H218" s="181">
        <f ca="1">IFERROR(H195/(1+WACC!$G$16)^H198,"")</f>
        <v>9908.8808431268662</v>
      </c>
      <c r="I218" s="181">
        <f ca="1">IFERROR(I195/(1+WACC!$G$16)^I198,"")</f>
        <v>5916.9687106288648</v>
      </c>
      <c r="J218" s="181">
        <f ca="1">IFERROR(J195/(1+WACC!$G$16)^J198,"")</f>
        <v>9518.191840560532</v>
      </c>
      <c r="K218" s="181">
        <f ca="1">IFERROR(K195/(1+WACC!$G$16)^K198,"")</f>
        <v>4735.5692317479497</v>
      </c>
      <c r="L218" s="181">
        <f ca="1">IFERROR(L195/(1+WACC!$G$16)^L198,"")</f>
        <v>3138.005566425109</v>
      </c>
      <c r="M218" s="181">
        <f ca="1">IFERROR(M195/(1+WACC!$G$16)^M198,"")</f>
        <v>3387.9366292102559</v>
      </c>
      <c r="N218" s="181">
        <f ca="1">IFERROR(N195/(1+WACC!$G$16)^N198,"")</f>
        <v>2122.3748260000134</v>
      </c>
      <c r="O218" s="181">
        <f ca="1">IFERROR(O195/(1+WACC!$G$16)^O198,"")</f>
        <v>1740.6498888840601</v>
      </c>
      <c r="P218" s="181">
        <f ca="1">IFERROR(P195/(1+WACC!$G$16)^P198,"")</f>
        <v>1605.2996469389866</v>
      </c>
      <c r="Q218" s="626">
        <f ca="1">IFERROR(Q195/(1+WACC!$G$16)^Q198,"")</f>
        <v>1458.9902268977232</v>
      </c>
      <c r="R218" s="123"/>
      <c r="S218" s="123"/>
      <c r="T218" s="123"/>
      <c r="U218" s="123"/>
      <c r="V218" s="123"/>
      <c r="W218" s="123"/>
      <c r="X218" s="123"/>
      <c r="Y218" s="123"/>
      <c r="Z218" s="123"/>
      <c r="AA218" s="123"/>
      <c r="AB218" s="123"/>
      <c r="AC218" s="123"/>
    </row>
    <row r="219" spans="1:29" ht="15" customHeight="1">
      <c r="B219" s="183" t="s">
        <v>535</v>
      </c>
      <c r="C219" s="184"/>
      <c r="D219" s="184"/>
      <c r="E219" s="184"/>
      <c r="F219" s="184"/>
      <c r="G219" s="185"/>
      <c r="H219" s="186">
        <f ca="1">IFERROR((H67*H81)/(1+WACC!$G$20)^H198,"")</f>
        <v>0</v>
      </c>
      <c r="I219" s="186">
        <f ca="1">IFERROR((I67*I81)/(1+WACC!$G$20)^I198,"")</f>
        <v>0</v>
      </c>
      <c r="J219" s="186">
        <f ca="1">IFERROR((J67*J81)/(1+WACC!$G$20)^J198,"")</f>
        <v>0</v>
      </c>
      <c r="K219" s="186">
        <f ca="1">IFERROR((K67*K81)/(1+WACC!$G$20)^K198,"")</f>
        <v>0</v>
      </c>
      <c r="L219" s="186">
        <f ca="1">IFERROR((L67*L81)/(1+WACC!$G$20)^L198,"")</f>
        <v>0</v>
      </c>
      <c r="M219" s="186">
        <f ca="1">IFERROR((M67*M81)/(1+WACC!$G$20)^M198,"")</f>
        <v>0</v>
      </c>
      <c r="N219" s="186">
        <f ca="1">IFERROR((N67*N81)/(1+WACC!$G$20)^N198,"")</f>
        <v>0</v>
      </c>
      <c r="O219" s="186">
        <f ca="1">IFERROR((O67*O81)/(1+WACC!$G$20)^O198,"")</f>
        <v>0</v>
      </c>
      <c r="P219" s="186">
        <f ca="1">IFERROR((P67*P81)/(1+WACC!$G$20)^P198,"")</f>
        <v>0</v>
      </c>
      <c r="Q219" s="627">
        <f ca="1">IFERROR((Q67*Q81)/(1+WACC!$G$20)^Q198,"")</f>
        <v>0</v>
      </c>
      <c r="R219" s="123"/>
      <c r="S219" s="123"/>
      <c r="T219" s="123"/>
      <c r="U219" s="123"/>
      <c r="V219" s="123"/>
      <c r="W219" s="123"/>
      <c r="X219" s="123"/>
      <c r="Y219" s="123"/>
      <c r="Z219" s="123"/>
      <c r="AA219" s="123"/>
      <c r="AB219" s="123"/>
      <c r="AC219" s="123"/>
    </row>
    <row r="220" spans="1:29" ht="15.6">
      <c r="B220" s="145"/>
      <c r="C220" s="145"/>
      <c r="D220" s="145"/>
      <c r="E220" s="145"/>
      <c r="F220" s="145"/>
      <c r="G220" s="199"/>
      <c r="H220" s="145"/>
      <c r="I220" s="145"/>
      <c r="J220" s="145"/>
      <c r="K220" s="145"/>
      <c r="L220" s="145"/>
      <c r="M220" s="145"/>
      <c r="N220" s="145"/>
      <c r="O220" s="145"/>
      <c r="P220" s="145"/>
      <c r="Q220" s="200"/>
      <c r="R220" s="123"/>
      <c r="S220" s="123"/>
      <c r="T220" s="123"/>
      <c r="U220" s="123"/>
      <c r="V220" s="123"/>
      <c r="W220" s="123"/>
      <c r="X220" s="123"/>
      <c r="Y220" s="123"/>
      <c r="Z220" s="123"/>
      <c r="AA220" s="123"/>
      <c r="AB220" s="123"/>
      <c r="AC220" s="123"/>
    </row>
    <row r="221" spans="1:29" ht="15.6">
      <c r="B221" s="122" t="s">
        <v>536</v>
      </c>
      <c r="C221" s="145"/>
      <c r="D221" s="145"/>
      <c r="E221" s="145"/>
      <c r="F221" s="145"/>
      <c r="G221" s="199"/>
      <c r="H221" s="145"/>
      <c r="I221" s="145"/>
      <c r="J221" s="145"/>
      <c r="K221" s="145"/>
      <c r="L221" s="145"/>
      <c r="M221" s="145"/>
      <c r="N221" s="145"/>
      <c r="O221" s="145"/>
      <c r="P221" s="145"/>
      <c r="Q221" s="164">
        <f ca="1">IFERROR((Q195*(1+$C$13))/(WACC!$G$16-DCF!$C$13),"")</f>
        <v>42022.54538123442</v>
      </c>
      <c r="R221" s="123"/>
      <c r="S221" s="123"/>
      <c r="T221" s="123"/>
      <c r="U221" s="123"/>
      <c r="V221" s="123"/>
      <c r="W221" s="123"/>
      <c r="X221" s="123"/>
      <c r="Y221" s="123"/>
      <c r="Z221" s="123"/>
      <c r="AA221" s="123"/>
      <c r="AB221" s="123"/>
      <c r="AC221" s="123"/>
    </row>
    <row r="222" spans="1:29" ht="23.1" customHeight="1">
      <c r="B222" s="122" t="s">
        <v>537</v>
      </c>
      <c r="C222" s="145"/>
      <c r="D222" s="145"/>
      <c r="E222" s="145"/>
      <c r="F222" s="145"/>
      <c r="G222" s="199"/>
      <c r="H222" s="145"/>
      <c r="I222" s="145"/>
      <c r="J222" s="145"/>
      <c r="K222" s="145"/>
      <c r="L222" s="145"/>
      <c r="M222" s="145"/>
      <c r="N222" s="145"/>
      <c r="O222" s="145"/>
      <c r="P222" s="145"/>
      <c r="Q222" s="164">
        <f ca="1">IFERROR(Q221/(1+WACC!$G$16)^$Q$198,"")</f>
        <v>15033.614366870408</v>
      </c>
      <c r="R222" s="123"/>
      <c r="S222" s="123"/>
      <c r="T222" s="123"/>
      <c r="U222" s="123"/>
      <c r="V222" s="123"/>
      <c r="W222" s="123"/>
      <c r="X222" s="123"/>
      <c r="Y222" s="123"/>
      <c r="Z222" s="123"/>
      <c r="AA222" s="123"/>
      <c r="AB222" s="123"/>
      <c r="AC222" s="123"/>
    </row>
    <row r="223" spans="1:29" ht="15.6">
      <c r="B223" s="122" t="s">
        <v>538</v>
      </c>
      <c r="C223" s="145"/>
      <c r="D223" s="145"/>
      <c r="E223" s="145"/>
      <c r="F223" s="145"/>
      <c r="G223" s="199"/>
      <c r="H223" s="145"/>
      <c r="I223" s="145"/>
      <c r="J223" s="145"/>
      <c r="K223" s="145"/>
      <c r="L223" s="145"/>
      <c r="M223" s="145"/>
      <c r="N223" s="145"/>
      <c r="O223" s="145"/>
      <c r="P223" s="145"/>
      <c r="Q223" s="164">
        <f ca="1">IFERROR((Q219*(1+$C$13))/(WACC!$G$16-$C$13),"")</f>
        <v>0</v>
      </c>
      <c r="R223" s="123"/>
      <c r="S223" s="123"/>
      <c r="T223" s="123"/>
      <c r="U223" s="123"/>
      <c r="V223" s="123"/>
      <c r="W223" s="123"/>
      <c r="X223" s="123"/>
      <c r="Y223" s="123"/>
      <c r="Z223" s="123"/>
      <c r="AA223" s="123"/>
      <c r="AB223" s="123"/>
      <c r="AC223" s="123"/>
    </row>
    <row r="224" spans="1:29" ht="15.6">
      <c r="B224" s="122" t="s">
        <v>539</v>
      </c>
      <c r="C224" s="145"/>
      <c r="D224" s="145"/>
      <c r="E224" s="145"/>
      <c r="F224" s="145"/>
      <c r="G224" s="199"/>
      <c r="H224" s="145"/>
      <c r="I224" s="145"/>
      <c r="J224" s="145"/>
      <c r="K224" s="145"/>
      <c r="L224" s="145"/>
      <c r="M224" s="145"/>
      <c r="N224" s="145"/>
      <c r="O224" s="145"/>
      <c r="P224" s="145"/>
      <c r="Q224" s="164">
        <f ca="1">IFERROR(Q223/(1+WACC!$G$18)^$Q$198,"")</f>
        <v>0</v>
      </c>
      <c r="R224" s="123"/>
      <c r="S224" s="123"/>
      <c r="T224" s="123"/>
      <c r="U224" s="123"/>
      <c r="V224" s="123"/>
      <c r="W224" s="123"/>
      <c r="X224" s="123"/>
      <c r="Y224" s="123"/>
      <c r="Z224" s="123"/>
      <c r="AA224" s="123"/>
      <c r="AB224" s="123"/>
      <c r="AC224" s="123"/>
    </row>
    <row r="225" spans="1:29" ht="15.6">
      <c r="B225" s="122" t="s">
        <v>540</v>
      </c>
      <c r="G225" s="143"/>
      <c r="Q225" s="164">
        <f ca="1">+SUM(H218:Q219,Q222,Q224)</f>
        <v>58566.48177729077</v>
      </c>
      <c r="R225" s="123"/>
      <c r="S225" s="123"/>
      <c r="T225" s="123"/>
      <c r="U225" s="123"/>
      <c r="V225" s="123"/>
      <c r="W225" s="123"/>
      <c r="X225" s="123"/>
      <c r="Y225" s="123"/>
      <c r="Z225" s="123"/>
      <c r="AA225" s="123"/>
      <c r="AB225" s="123"/>
      <c r="AC225" s="123"/>
    </row>
    <row r="226" spans="1:29" ht="15.6">
      <c r="B226" s="122" t="s">
        <v>220</v>
      </c>
      <c r="G226" s="143"/>
      <c r="Q226" s="164">
        <f ca="1">+Q225-Q204+Q205+Q206+Q207</f>
        <v>102821.48177729077</v>
      </c>
      <c r="R226" s="123"/>
      <c r="S226" s="123"/>
      <c r="T226" s="123"/>
      <c r="U226" s="123"/>
      <c r="V226" s="123"/>
      <c r="W226" s="123"/>
      <c r="X226" s="123"/>
      <c r="Y226" s="123"/>
      <c r="Z226" s="123"/>
      <c r="AA226" s="123"/>
      <c r="AB226" s="123"/>
      <c r="AC226" s="123"/>
    </row>
    <row r="227" spans="1:29" ht="15.6">
      <c r="B227" s="145" t="s">
        <v>530</v>
      </c>
      <c r="C227" s="145"/>
      <c r="D227" s="145"/>
      <c r="E227" s="145"/>
      <c r="F227" s="145"/>
      <c r="G227" s="199"/>
      <c r="H227" s="145"/>
      <c r="I227" s="145"/>
      <c r="J227" s="145"/>
      <c r="K227" s="145"/>
      <c r="L227" s="145"/>
      <c r="M227" s="145"/>
      <c r="N227" s="145"/>
      <c r="O227" s="145"/>
      <c r="P227" s="145"/>
      <c r="Q227" s="394">
        <f ca="1">IFERROR(Q226/Q210,"")</f>
        <v>22.016212747227197</v>
      </c>
      <c r="R227" s="123"/>
      <c r="S227" s="123"/>
      <c r="T227" s="123"/>
      <c r="U227" s="123"/>
      <c r="V227" s="123"/>
      <c r="W227" s="123"/>
      <c r="X227" s="123"/>
      <c r="Y227" s="123"/>
      <c r="Z227" s="123"/>
      <c r="AA227" s="123"/>
      <c r="AB227" s="123"/>
      <c r="AC227" s="123"/>
    </row>
    <row r="228" spans="1:29" ht="15.6">
      <c r="B228" s="145"/>
      <c r="C228" s="145"/>
      <c r="D228" s="145"/>
      <c r="E228" s="145"/>
      <c r="F228" s="145"/>
      <c r="G228" s="199"/>
      <c r="H228" s="145"/>
      <c r="I228" s="145"/>
      <c r="J228" s="145"/>
      <c r="K228" s="145"/>
      <c r="L228" s="145"/>
      <c r="M228" s="145"/>
      <c r="N228" s="145"/>
      <c r="O228" s="145"/>
      <c r="P228" s="145"/>
      <c r="Q228" s="394"/>
      <c r="R228" s="123"/>
      <c r="S228" s="123"/>
      <c r="T228" s="123"/>
      <c r="U228" s="123"/>
      <c r="V228" s="123"/>
      <c r="W228" s="123"/>
      <c r="X228" s="123"/>
      <c r="Y228" s="123"/>
      <c r="Z228" s="123"/>
      <c r="AA228" s="123"/>
      <c r="AB228" s="123"/>
      <c r="AC228" s="123"/>
    </row>
    <row r="229" spans="1:29" ht="15.6">
      <c r="B229" s="395" t="s">
        <v>532</v>
      </c>
      <c r="C229" s="145"/>
      <c r="D229" s="145"/>
      <c r="E229" s="145"/>
      <c r="F229" s="145"/>
      <c r="G229" s="199"/>
      <c r="H229" s="145"/>
      <c r="I229" s="145"/>
      <c r="J229" s="145"/>
      <c r="K229" s="145"/>
      <c r="L229" s="145"/>
      <c r="M229" s="145"/>
      <c r="N229" s="145"/>
      <c r="O229" s="145"/>
      <c r="P229" s="145"/>
      <c r="Q229" s="200">
        <f ca="1">IFERROR(Q227/Q213-1,"")</f>
        <v>-0.30140527535373007</v>
      </c>
      <c r="R229" s="123"/>
      <c r="S229" s="123"/>
      <c r="T229" s="123"/>
      <c r="U229" s="123"/>
      <c r="V229" s="123"/>
      <c r="W229" s="123"/>
      <c r="X229" s="123"/>
      <c r="Y229" s="123"/>
      <c r="Z229" s="123"/>
      <c r="AA229" s="123"/>
      <c r="AB229" s="123"/>
      <c r="AC229" s="123"/>
    </row>
    <row r="230" spans="1:29" ht="3.75" customHeight="1">
      <c r="G230" s="143"/>
      <c r="R230" s="123"/>
      <c r="S230" s="123"/>
      <c r="T230" s="123"/>
      <c r="U230" s="123"/>
      <c r="V230" s="123"/>
      <c r="W230" s="123"/>
      <c r="X230" s="123"/>
      <c r="Y230" s="123"/>
      <c r="Z230" s="123"/>
      <c r="AA230" s="123"/>
      <c r="AB230" s="123"/>
      <c r="AC230" s="123"/>
    </row>
    <row r="231" spans="1:29" ht="15.6">
      <c r="B231" s="48" t="s">
        <v>541</v>
      </c>
      <c r="C231" s="48"/>
      <c r="D231" s="48"/>
      <c r="E231" s="133">
        <f>E30</f>
        <v>2022</v>
      </c>
      <c r="F231" s="133">
        <f>F30</f>
        <v>2023</v>
      </c>
      <c r="G231" s="134">
        <f>G30</f>
        <v>2024</v>
      </c>
      <c r="H231" s="99">
        <f t="shared" ref="H231:Q231" si="141">1+G231</f>
        <v>2025</v>
      </c>
      <c r="I231" s="99">
        <f t="shared" si="141"/>
        <v>2026</v>
      </c>
      <c r="J231" s="99">
        <f t="shared" si="141"/>
        <v>2027</v>
      </c>
      <c r="K231" s="99">
        <f t="shared" si="141"/>
        <v>2028</v>
      </c>
      <c r="L231" s="99">
        <f t="shared" si="141"/>
        <v>2029</v>
      </c>
      <c r="M231" s="99">
        <f t="shared" si="141"/>
        <v>2030</v>
      </c>
      <c r="N231" s="99">
        <f t="shared" si="141"/>
        <v>2031</v>
      </c>
      <c r="O231" s="99">
        <f t="shared" si="141"/>
        <v>2032</v>
      </c>
      <c r="P231" s="99">
        <f t="shared" si="141"/>
        <v>2033</v>
      </c>
      <c r="Q231" s="99">
        <f t="shared" si="141"/>
        <v>2034</v>
      </c>
      <c r="R231" s="123"/>
      <c r="S231" s="123"/>
      <c r="T231" s="123"/>
      <c r="U231" s="123"/>
      <c r="V231" s="123"/>
      <c r="W231" s="123"/>
      <c r="X231" s="123"/>
      <c r="Y231" s="123"/>
      <c r="Z231" s="123"/>
      <c r="AA231" s="123"/>
      <c r="AB231" s="123"/>
      <c r="AC231" s="123"/>
    </row>
    <row r="232" spans="1:29" ht="3.75" customHeight="1">
      <c r="B232" s="49"/>
      <c r="C232" s="49"/>
      <c r="D232" s="49"/>
      <c r="E232" s="49"/>
      <c r="F232" s="49"/>
      <c r="G232" s="201"/>
      <c r="H232" s="49"/>
      <c r="I232" s="49"/>
      <c r="J232" s="49"/>
      <c r="K232" s="49"/>
      <c r="L232" s="49"/>
      <c r="M232" s="49"/>
      <c r="N232" s="49"/>
      <c r="O232" s="49"/>
      <c r="P232" s="49"/>
      <c r="Q232" s="49"/>
    </row>
    <row r="233" spans="1:29" ht="15.6">
      <c r="A233" s="122" t="s">
        <v>424</v>
      </c>
      <c r="B233" s="122" t="s">
        <v>445</v>
      </c>
      <c r="E233" s="147">
        <f t="shared" ref="E233:Q233" si="142">+E61</f>
        <v>1374</v>
      </c>
      <c r="F233" s="147">
        <f t="shared" si="142"/>
        <v>-122</v>
      </c>
      <c r="G233" s="178">
        <f t="shared" si="142"/>
        <v>-5424</v>
      </c>
      <c r="H233" s="172">
        <f t="shared" si="142"/>
        <v>-7754.1799433783435</v>
      </c>
      <c r="I233" s="172">
        <f t="shared" si="142"/>
        <v>-2239.8839472815134</v>
      </c>
      <c r="J233" s="172">
        <f t="shared" si="142"/>
        <v>-987.49154119459263</v>
      </c>
      <c r="K233" s="172">
        <f t="shared" si="142"/>
        <v>-4057.5085951718715</v>
      </c>
      <c r="L233" s="172">
        <f t="shared" si="142"/>
        <v>-4188.4933402077513</v>
      </c>
      <c r="M233" s="172">
        <f t="shared" si="142"/>
        <v>-4429.5524054572725</v>
      </c>
      <c r="N233" s="172">
        <f t="shared" si="142"/>
        <v>-4536.5836297168662</v>
      </c>
      <c r="O233" s="172">
        <f t="shared" si="142"/>
        <v>-4662.1945726249214</v>
      </c>
      <c r="P233" s="172">
        <f t="shared" si="142"/>
        <v>-4801.3303173891218</v>
      </c>
      <c r="Q233" s="172">
        <f t="shared" si="142"/>
        <v>-4933.5575884225382</v>
      </c>
    </row>
    <row r="234" spans="1:29" ht="3.75" customHeight="1">
      <c r="G234" s="143"/>
    </row>
    <row r="235" spans="1:29" ht="15.6">
      <c r="B235" s="122" t="s">
        <v>287</v>
      </c>
      <c r="E235" s="164">
        <f t="shared" ref="E235:Q235" si="143">+E83</f>
        <v>2803</v>
      </c>
      <c r="F235" s="164">
        <f t="shared" si="143"/>
        <v>1897</v>
      </c>
      <c r="G235" s="202">
        <f t="shared" si="143"/>
        <v>-12986</v>
      </c>
      <c r="H235" s="164">
        <f t="shared" si="143"/>
        <v>-12820.494494408156</v>
      </c>
      <c r="I235" s="164">
        <f t="shared" si="143"/>
        <v>-3257.5144430847745</v>
      </c>
      <c r="J235" s="164">
        <f t="shared" si="143"/>
        <v>-575.69160161550496</v>
      </c>
      <c r="K235" s="164">
        <f t="shared" si="143"/>
        <v>-6610.7096895885197</v>
      </c>
      <c r="L235" s="164">
        <f t="shared" si="143"/>
        <v>-7178.97502460329</v>
      </c>
      <c r="M235" s="164">
        <f t="shared" si="143"/>
        <v>-7636.1776736231413</v>
      </c>
      <c r="N235" s="164">
        <f t="shared" si="143"/>
        <v>-7694.15091939378</v>
      </c>
      <c r="O235" s="164">
        <f t="shared" si="143"/>
        <v>-7989.2328689956958</v>
      </c>
      <c r="P235" s="164">
        <f t="shared" si="143"/>
        <v>-8214.4938000341717</v>
      </c>
      <c r="Q235" s="164">
        <f t="shared" si="143"/>
        <v>-8419.9672964034653</v>
      </c>
    </row>
    <row r="236" spans="1:29" ht="3.75" customHeight="1">
      <c r="G236" s="143"/>
    </row>
    <row r="237" spans="1:29" ht="15" customHeight="1">
      <c r="B237" s="122" t="s">
        <v>461</v>
      </c>
      <c r="E237" s="203">
        <f t="shared" ref="E237:Q237" si="144">+E125</f>
        <v>13035</v>
      </c>
      <c r="F237" s="203">
        <f t="shared" si="144"/>
        <v>9602</v>
      </c>
      <c r="G237" s="204">
        <f t="shared" si="144"/>
        <v>11379</v>
      </c>
      <c r="H237" s="203">
        <f t="shared" si="144"/>
        <v>12721.471761364119</v>
      </c>
      <c r="I237" s="203">
        <f t="shared" si="144"/>
        <v>12267.234391452086</v>
      </c>
      <c r="J237" s="203">
        <f t="shared" si="144"/>
        <v>13170.432615512935</v>
      </c>
      <c r="K237" s="203">
        <f t="shared" si="144"/>
        <v>13944.565368988562</v>
      </c>
      <c r="L237" s="203">
        <f t="shared" si="144"/>
        <v>14364.594560871243</v>
      </c>
      <c r="M237" s="203">
        <f t="shared" si="144"/>
        <v>14748.526767741158</v>
      </c>
      <c r="N237" s="203">
        <f t="shared" si="144"/>
        <v>13943.527938244142</v>
      </c>
      <c r="O237" s="203">
        <f t="shared" si="144"/>
        <v>13884.174409412355</v>
      </c>
      <c r="P237" s="203">
        <f t="shared" si="144"/>
        <v>14261.864444525032</v>
      </c>
      <c r="Q237" s="203">
        <f t="shared" si="144"/>
        <v>14913.532330941835</v>
      </c>
    </row>
    <row r="238" spans="1:29" ht="3.75" customHeight="1">
      <c r="B238" s="148"/>
      <c r="E238" s="205"/>
      <c r="F238" s="205"/>
      <c r="G238" s="206"/>
      <c r="H238" s="207"/>
      <c r="I238" s="207"/>
      <c r="J238" s="207"/>
      <c r="K238" s="207"/>
      <c r="L238" s="207"/>
      <c r="M238" s="207"/>
      <c r="N238" s="207"/>
      <c r="O238" s="207"/>
      <c r="P238" s="207"/>
      <c r="Q238" s="207"/>
    </row>
    <row r="239" spans="1:29" ht="15" customHeight="1">
      <c r="B239" s="122" t="s">
        <v>495</v>
      </c>
      <c r="E239" s="164">
        <f t="shared" ref="E239:Q239" si="145">+E127</f>
        <v>3128</v>
      </c>
      <c r="F239" s="164">
        <f t="shared" si="145"/>
        <v>3229</v>
      </c>
      <c r="G239" s="202">
        <f t="shared" si="145"/>
        <v>3410</v>
      </c>
      <c r="H239" s="164">
        <f t="shared" si="145"/>
        <v>3813.8600272752751</v>
      </c>
      <c r="I239" s="164">
        <f t="shared" si="145"/>
        <v>4227.9407939311468</v>
      </c>
      <c r="J239" s="164">
        <f t="shared" si="145"/>
        <v>4419.832234119358</v>
      </c>
      <c r="K239" s="164">
        <f t="shared" si="145"/>
        <v>4511.7615126283126</v>
      </c>
      <c r="L239" s="164">
        <f t="shared" si="145"/>
        <v>4776.967079959205</v>
      </c>
      <c r="M239" s="164">
        <f t="shared" si="145"/>
        <v>5029.4052313833754</v>
      </c>
      <c r="N239" s="164">
        <f t="shared" si="145"/>
        <v>5165.8965178562667</v>
      </c>
      <c r="O239" s="164">
        <f t="shared" si="145"/>
        <v>5339.209673044279</v>
      </c>
      <c r="P239" s="164">
        <f t="shared" si="145"/>
        <v>5499.6036429055521</v>
      </c>
      <c r="Q239" s="164">
        <f t="shared" si="145"/>
        <v>5666.9685118165198</v>
      </c>
    </row>
    <row r="240" spans="1:29" ht="3.95" customHeight="1">
      <c r="B240" s="148"/>
      <c r="E240" s="205"/>
      <c r="F240" s="205"/>
      <c r="G240" s="206"/>
      <c r="H240" s="207"/>
      <c r="I240" s="207"/>
      <c r="J240" s="207"/>
      <c r="K240" s="207"/>
      <c r="L240" s="207"/>
      <c r="M240" s="207"/>
      <c r="N240" s="207"/>
      <c r="O240" s="207"/>
      <c r="P240" s="207"/>
      <c r="Q240" s="207"/>
    </row>
    <row r="241" spans="2:17" ht="13.5" customHeight="1">
      <c r="B241" s="122" t="s">
        <v>516</v>
      </c>
      <c r="E241" s="164">
        <f t="shared" ref="E241:Q241" si="146">E191</f>
        <v>-3230</v>
      </c>
      <c r="F241" s="164">
        <f t="shared" si="146"/>
        <v>-2118</v>
      </c>
      <c r="G241" s="202">
        <f t="shared" si="146"/>
        <v>-1120</v>
      </c>
      <c r="H241" s="164">
        <f t="shared" si="146"/>
        <v>4401.1036780628892</v>
      </c>
      <c r="I241" s="164">
        <f t="shared" si="146"/>
        <v>-4102.9253289032022</v>
      </c>
      <c r="J241" s="164">
        <f t="shared" si="146"/>
        <v>301.52050798808159</v>
      </c>
      <c r="K241" s="164">
        <f t="shared" si="146"/>
        <v>494.56913746325699</v>
      </c>
      <c r="L241" s="164">
        <f t="shared" si="146"/>
        <v>-1196.5625582732755</v>
      </c>
      <c r="M241" s="164">
        <f t="shared" si="146"/>
        <v>-73.383786121437879</v>
      </c>
      <c r="N241" s="164">
        <f t="shared" si="146"/>
        <v>-875.63456697507354</v>
      </c>
      <c r="O241" s="164">
        <f t="shared" si="146"/>
        <v>-784.03290532486062</v>
      </c>
      <c r="P241" s="164">
        <f t="shared" si="146"/>
        <v>-682.12903876835844</v>
      </c>
      <c r="Q241" s="164">
        <f t="shared" si="146"/>
        <v>-926.4229487159173</v>
      </c>
    </row>
    <row r="242" spans="2:17" ht="3.95" customHeight="1">
      <c r="E242" s="164"/>
      <c r="F242" s="164"/>
      <c r="G242" s="202"/>
      <c r="H242" s="164"/>
      <c r="I242" s="164"/>
      <c r="J242" s="164"/>
      <c r="K242" s="164"/>
      <c r="L242" s="164"/>
      <c r="M242" s="164"/>
      <c r="N242" s="164"/>
      <c r="O242" s="164"/>
      <c r="P242" s="164"/>
      <c r="Q242" s="164"/>
    </row>
    <row r="243" spans="2:17" ht="15" customHeight="1">
      <c r="B243" s="122" t="s">
        <v>28</v>
      </c>
      <c r="E243" s="147">
        <f>E136</f>
        <v>-25050</v>
      </c>
      <c r="F243" s="147">
        <f>F136</f>
        <v>-25750</v>
      </c>
      <c r="G243" s="178">
        <f>G136</f>
        <v>-23944</v>
      </c>
      <c r="H243" s="147">
        <f t="shared" ref="H243:Q243" si="147">H193</f>
        <v>-3112.7200000000003</v>
      </c>
      <c r="I243" s="147">
        <f t="shared" si="147"/>
        <v>-3423.9920000000006</v>
      </c>
      <c r="J243" s="147">
        <f t="shared" si="147"/>
        <v>-3595.191600000001</v>
      </c>
      <c r="K243" s="147">
        <f t="shared" si="147"/>
        <v>-3774.9511800000014</v>
      </c>
      <c r="L243" s="147">
        <f t="shared" si="147"/>
        <v>-3963.6987390000018</v>
      </c>
      <c r="M243" s="147">
        <f t="shared" si="147"/>
        <v>-4161.8836759500018</v>
      </c>
      <c r="N243" s="147">
        <f t="shared" si="147"/>
        <v>-4369.9778597475024</v>
      </c>
      <c r="O243" s="147">
        <f t="shared" si="147"/>
        <v>-4588.4767527348777</v>
      </c>
      <c r="P243" s="147">
        <f t="shared" si="147"/>
        <v>-4817.9005903716215</v>
      </c>
      <c r="Q243" s="147">
        <f t="shared" si="147"/>
        <v>-5058.7956198902029</v>
      </c>
    </row>
    <row r="244" spans="2:17" ht="3.75" customHeight="1">
      <c r="G244" s="143"/>
    </row>
    <row r="245" spans="2:17" ht="15" customHeight="1">
      <c r="B245" s="122" t="s">
        <v>542</v>
      </c>
      <c r="E245" s="203">
        <f>+E159-E161</f>
        <v>11877</v>
      </c>
      <c r="F245" s="203">
        <f t="shared" ref="F245:G245" si="148">+F159-F161</f>
        <v>11910</v>
      </c>
      <c r="G245" s="204">
        <f t="shared" si="148"/>
        <v>5263</v>
      </c>
      <c r="H245" s="203">
        <f>IFERROR(H159-H161,"")</f>
        <v>17998</v>
      </c>
      <c r="I245" s="203">
        <f t="shared" ref="I245:Q245" si="149">IFERROR(I159-I161,"")</f>
        <v>-6900.3662916882377</v>
      </c>
      <c r="J245" s="203">
        <f t="shared" si="149"/>
        <v>1189.6228782929802</v>
      </c>
      <c r="K245" s="203">
        <f t="shared" si="149"/>
        <v>-4473.1575102893539</v>
      </c>
      <c r="L245" s="203">
        <f t="shared" si="149"/>
        <v>-1636.8310556809029</v>
      </c>
      <c r="M245" s="203">
        <f t="shared" si="149"/>
        <v>-2066.1977053091914</v>
      </c>
      <c r="N245" s="203">
        <f t="shared" si="149"/>
        <v>-2336.1156632483044</v>
      </c>
      <c r="O245" s="203">
        <f t="shared" si="149"/>
        <v>-1533.4181786942995</v>
      </c>
      <c r="P245" s="203">
        <f t="shared" si="149"/>
        <v>-2164.1116883534505</v>
      </c>
      <c r="Q245" s="203">
        <f t="shared" si="149"/>
        <v>-1941.4164849514914</v>
      </c>
    </row>
    <row r="246" spans="2:17" ht="3.75" customHeight="1">
      <c r="G246" s="143"/>
    </row>
    <row r="247" spans="2:17" ht="15" customHeight="1">
      <c r="B247" s="179" t="s">
        <v>438</v>
      </c>
      <c r="C247" s="180"/>
      <c r="D247" s="180"/>
      <c r="E247" s="181">
        <f t="shared" ref="E247:G247" si="150">+E235+E237+E239+E241+E243+E245</f>
        <v>2563</v>
      </c>
      <c r="F247" s="181">
        <f t="shared" si="150"/>
        <v>-1230</v>
      </c>
      <c r="G247" s="182">
        <f t="shared" si="150"/>
        <v>-17998</v>
      </c>
      <c r="H247" s="181">
        <f>IFERROR(+H235+H237+H239+H241+H243+H245,"")</f>
        <v>23001.220972294126</v>
      </c>
      <c r="I247" s="181">
        <f t="shared" ref="I247:Q247" si="151">IFERROR(+I235+I237+I239+I241+I243+I245,"")</f>
        <v>-1189.6228782929802</v>
      </c>
      <c r="J247" s="181">
        <f t="shared" si="151"/>
        <v>14910.525034297847</v>
      </c>
      <c r="K247" s="181">
        <f t="shared" si="151"/>
        <v>4092.0776392022572</v>
      </c>
      <c r="L247" s="181">
        <f t="shared" si="151"/>
        <v>5165.4942632729781</v>
      </c>
      <c r="M247" s="181">
        <f t="shared" si="151"/>
        <v>5840.2891581207605</v>
      </c>
      <c r="N247" s="181">
        <f t="shared" si="151"/>
        <v>3833.5454467357486</v>
      </c>
      <c r="O247" s="181">
        <f t="shared" si="151"/>
        <v>4328.223376706901</v>
      </c>
      <c r="P247" s="181">
        <f t="shared" si="151"/>
        <v>3882.8329699029828</v>
      </c>
      <c r="Q247" s="328">
        <f t="shared" si="151"/>
        <v>4233.8984927972779</v>
      </c>
    </row>
    <row r="248" spans="2:17" ht="18" customHeight="1">
      <c r="B248" s="183" t="s">
        <v>543</v>
      </c>
      <c r="C248" s="184"/>
      <c r="D248" s="184"/>
      <c r="E248" s="184"/>
      <c r="F248" s="184"/>
      <c r="G248" s="185"/>
      <c r="H248" s="186">
        <f t="shared" ref="H248:P248" ca="1" si="152">IFERROR(H247/(1+$C$12)^H$198,"")</f>
        <v>22718.367952070115</v>
      </c>
      <c r="I248" s="186">
        <f t="shared" ca="1" si="152"/>
        <v>-1077.6342644578262</v>
      </c>
      <c r="J248" s="186">
        <f t="shared" ca="1" si="152"/>
        <v>12387.705307178921</v>
      </c>
      <c r="K248" s="186">
        <f t="shared" ca="1" si="152"/>
        <v>3118.0109723593591</v>
      </c>
      <c r="L248" s="186">
        <f t="shared" ca="1" si="152"/>
        <v>3609.7863865049312</v>
      </c>
      <c r="M248" s="186">
        <f t="shared" ca="1" si="152"/>
        <v>3743.1722644647889</v>
      </c>
      <c r="N248" s="186">
        <f t="shared" ca="1" si="152"/>
        <v>2253.4188636040908</v>
      </c>
      <c r="O248" s="186">
        <f t="shared" ca="1" si="152"/>
        <v>2333.3872512642429</v>
      </c>
      <c r="P248" s="186">
        <f t="shared" ca="1" si="152"/>
        <v>1919.8252888381676</v>
      </c>
      <c r="Q248" s="187">
        <f ca="1">IFERROR(Q247/(1+$C$12)^Q$198,"")</f>
        <v>1919.9472032370129</v>
      </c>
    </row>
    <row r="249" spans="2:17" ht="15" customHeight="1">
      <c r="G249" s="143"/>
    </row>
    <row r="250" spans="2:17" ht="15" customHeight="1">
      <c r="B250" s="122" t="s">
        <v>522</v>
      </c>
      <c r="G250" s="143"/>
      <c r="Q250" s="164">
        <f ca="1">IFERROR((Q247*(1+$C$13))/(WACC!$G$11-$C$13),"")</f>
        <v>50805.195977099233</v>
      </c>
    </row>
    <row r="251" spans="2:17" ht="15" customHeight="1">
      <c r="B251" s="122" t="s">
        <v>523</v>
      </c>
      <c r="G251" s="143"/>
      <c r="Q251" s="208">
        <f ca="1">IFERROR(Q250/(1+WACC!$G$11)^$Q$198,"")</f>
        <v>20390.828841999257</v>
      </c>
    </row>
    <row r="252" spans="2:17" ht="15" customHeight="1">
      <c r="B252" s="122" t="s">
        <v>220</v>
      </c>
      <c r="G252" s="143"/>
      <c r="Q252" s="164">
        <f ca="1">+SUM(Q251,H248:Q248)</f>
        <v>73316.816067063046</v>
      </c>
    </row>
    <row r="253" spans="2:17" ht="15" customHeight="1">
      <c r="G253" s="143"/>
    </row>
    <row r="254" spans="2:17" ht="15" customHeight="1">
      <c r="B254" s="145" t="s">
        <v>530</v>
      </c>
      <c r="G254" s="143"/>
      <c r="N254" s="197"/>
      <c r="Q254" s="198">
        <f ca="1">IFERROR(Q252/Q210,"")</f>
        <v>15.698651610351421</v>
      </c>
    </row>
    <row r="255" spans="2:17" ht="3.75" customHeight="1">
      <c r="G255" s="143"/>
    </row>
    <row r="256" spans="2:17" ht="15" customHeight="1">
      <c r="B256" s="145" t="s">
        <v>532</v>
      </c>
      <c r="C256" s="145"/>
      <c r="D256" s="145"/>
      <c r="E256" s="145"/>
      <c r="F256" s="145"/>
      <c r="G256" s="199"/>
      <c r="H256" s="145"/>
      <c r="I256" s="145"/>
      <c r="J256" s="145"/>
      <c r="K256" s="145"/>
      <c r="L256" s="145"/>
      <c r="M256" s="145"/>
      <c r="N256" s="145"/>
      <c r="O256" s="145"/>
      <c r="P256" s="145"/>
      <c r="Q256" s="200">
        <f ca="1">IFERROR(Q254/Q213-1,"")</f>
        <v>-0.50186731364901094</v>
      </c>
    </row>
    <row r="257" spans="1:17" ht="3.75" customHeight="1">
      <c r="B257" s="205"/>
      <c r="C257" s="205"/>
      <c r="D257" s="205"/>
      <c r="E257" s="205"/>
      <c r="F257" s="205"/>
      <c r="G257" s="206"/>
      <c r="H257" s="205"/>
      <c r="I257" s="205"/>
      <c r="J257" s="205"/>
      <c r="K257" s="205"/>
      <c r="L257" s="205"/>
      <c r="M257" s="205"/>
      <c r="N257" s="205"/>
      <c r="O257" s="205"/>
      <c r="P257" s="205"/>
      <c r="Q257" s="205"/>
    </row>
    <row r="258" spans="1:17" ht="15" customHeight="1">
      <c r="B258" s="48" t="s">
        <v>544</v>
      </c>
      <c r="C258" s="48"/>
      <c r="D258" s="48"/>
      <c r="E258" s="133">
        <f>+E231</f>
        <v>2022</v>
      </c>
      <c r="F258" s="133">
        <f>+F231</f>
        <v>2023</v>
      </c>
      <c r="G258" s="134">
        <f>+G231</f>
        <v>2024</v>
      </c>
      <c r="H258" s="99">
        <f t="shared" ref="H258:Q258" si="153">1+G258</f>
        <v>2025</v>
      </c>
      <c r="I258" s="99">
        <f t="shared" si="153"/>
        <v>2026</v>
      </c>
      <c r="J258" s="99">
        <f t="shared" si="153"/>
        <v>2027</v>
      </c>
      <c r="K258" s="99">
        <f t="shared" si="153"/>
        <v>2028</v>
      </c>
      <c r="L258" s="99">
        <f t="shared" si="153"/>
        <v>2029</v>
      </c>
      <c r="M258" s="99">
        <f t="shared" si="153"/>
        <v>2030</v>
      </c>
      <c r="N258" s="99">
        <f t="shared" si="153"/>
        <v>2031</v>
      </c>
      <c r="O258" s="99">
        <f t="shared" si="153"/>
        <v>2032</v>
      </c>
      <c r="P258" s="99">
        <f t="shared" si="153"/>
        <v>2033</v>
      </c>
      <c r="Q258" s="99">
        <f t="shared" si="153"/>
        <v>2034</v>
      </c>
    </row>
    <row r="259" spans="1:17" s="205" customFormat="1" ht="3.75" customHeight="1">
      <c r="B259" s="49"/>
      <c r="C259" s="49"/>
      <c r="D259" s="49"/>
      <c r="E259" s="49"/>
      <c r="F259" s="49"/>
      <c r="G259" s="201"/>
      <c r="H259" s="49"/>
      <c r="I259" s="49"/>
      <c r="J259" s="49"/>
      <c r="K259" s="49"/>
      <c r="L259" s="49"/>
      <c r="M259" s="49"/>
      <c r="N259" s="49"/>
      <c r="O259" s="49"/>
      <c r="P259" s="49"/>
      <c r="Q259" s="49"/>
    </row>
    <row r="260" spans="1:17" ht="15" customHeight="1">
      <c r="A260" s="122" t="s">
        <v>424</v>
      </c>
      <c r="B260" s="122" t="s">
        <v>440</v>
      </c>
      <c r="E260" s="164">
        <f t="shared" ref="E260:G260" si="154">+E153+E150</f>
        <v>-3988</v>
      </c>
      <c r="F260" s="164">
        <f t="shared" si="154"/>
        <v>913</v>
      </c>
      <c r="G260" s="202">
        <f t="shared" si="154"/>
        <v>-612</v>
      </c>
      <c r="H260" s="164">
        <f ca="1">IFERROR(H153+H150,"")</f>
        <v>0</v>
      </c>
      <c r="I260" s="164">
        <f t="shared" ref="I260:Q260" ca="1" si="155">IFERROR(I153+I150,"")</f>
        <v>0</v>
      </c>
      <c r="J260" s="164">
        <f t="shared" ca="1" si="155"/>
        <v>-641.0247247204079</v>
      </c>
      <c r="K260" s="164">
        <f t="shared" ca="1" si="155"/>
        <v>-641.0247247204079</v>
      </c>
      <c r="L260" s="164">
        <f t="shared" ca="1" si="155"/>
        <v>-641.0247247204079</v>
      </c>
      <c r="M260" s="164">
        <f t="shared" ca="1" si="155"/>
        <v>-641.0247247204079</v>
      </c>
      <c r="N260" s="164">
        <f t="shared" ca="1" si="155"/>
        <v>-641.0247247204079</v>
      </c>
      <c r="O260" s="164">
        <f t="shared" ca="1" si="155"/>
        <v>-641.0247247204079</v>
      </c>
      <c r="P260" s="164">
        <f t="shared" ca="1" si="155"/>
        <v>-641.0247247204079</v>
      </c>
      <c r="Q260" s="164">
        <f t="shared" ca="1" si="155"/>
        <v>-641.0247247204079</v>
      </c>
    </row>
    <row r="261" spans="1:17" ht="16.5" customHeight="1">
      <c r="B261" s="148" t="s">
        <v>545</v>
      </c>
      <c r="E261" s="205">
        <f t="shared" ref="E261:Q261" si="156">IFERROR(_xlfn.XLOOKUP("Repurchase payout",$B:$B,E:E)+_xlfn.XLOOKUP("Dividend payout",$B:$B,E:E),"")</f>
        <v>1.4227613271494826</v>
      </c>
      <c r="F261" s="205">
        <f t="shared" si="156"/>
        <v>-0.4812862414338428</v>
      </c>
      <c r="G261" s="206">
        <f t="shared" si="156"/>
        <v>-4.7127675958724774E-2</v>
      </c>
      <c r="H261" s="205">
        <f t="shared" ca="1" si="156"/>
        <v>0</v>
      </c>
      <c r="I261" s="205">
        <f t="shared" ca="1" si="156"/>
        <v>0</v>
      </c>
      <c r="J261" s="205">
        <f t="shared" ca="1" si="156"/>
        <v>0.05</v>
      </c>
      <c r="K261" s="205">
        <f t="shared" ca="1" si="156"/>
        <v>0.05</v>
      </c>
      <c r="L261" s="205">
        <f t="shared" ca="1" si="156"/>
        <v>0.05</v>
      </c>
      <c r="M261" s="205">
        <f t="shared" ca="1" si="156"/>
        <v>0.05</v>
      </c>
      <c r="N261" s="205">
        <f t="shared" ca="1" si="156"/>
        <v>0.05</v>
      </c>
      <c r="O261" s="205">
        <f t="shared" ca="1" si="156"/>
        <v>0.05</v>
      </c>
      <c r="P261" s="205">
        <f t="shared" ca="1" si="156"/>
        <v>0.05</v>
      </c>
      <c r="Q261" s="205">
        <f t="shared" ca="1" si="156"/>
        <v>0.05</v>
      </c>
    </row>
    <row r="262" spans="1:17" ht="15" customHeight="1">
      <c r="B262" s="122" t="s">
        <v>546</v>
      </c>
      <c r="E262" s="205">
        <f>IFERROR(1-E261,"")</f>
        <v>-0.42276132714948256</v>
      </c>
      <c r="F262" s="205">
        <f t="shared" ref="F262:Q262" si="157">IFERROR(1-F261,"")</f>
        <v>1.4812862414338428</v>
      </c>
      <c r="G262" s="206">
        <f t="shared" si="157"/>
        <v>1.0471276759587247</v>
      </c>
      <c r="H262" s="205">
        <f t="shared" ca="1" si="157"/>
        <v>1</v>
      </c>
      <c r="I262" s="205">
        <f t="shared" ca="1" si="157"/>
        <v>1</v>
      </c>
      <c r="J262" s="205">
        <f t="shared" ca="1" si="157"/>
        <v>0.95</v>
      </c>
      <c r="K262" s="205">
        <f t="shared" ca="1" si="157"/>
        <v>0.95</v>
      </c>
      <c r="L262" s="205">
        <f t="shared" ca="1" si="157"/>
        <v>0.95</v>
      </c>
      <c r="M262" s="205">
        <f t="shared" ca="1" si="157"/>
        <v>0.95</v>
      </c>
      <c r="N262" s="205">
        <f t="shared" ca="1" si="157"/>
        <v>0.95</v>
      </c>
      <c r="O262" s="205">
        <f t="shared" ca="1" si="157"/>
        <v>0.95</v>
      </c>
      <c r="P262" s="205">
        <f t="shared" ca="1" si="157"/>
        <v>0.95</v>
      </c>
      <c r="Q262" s="205">
        <f t="shared" ca="1" si="157"/>
        <v>0.95</v>
      </c>
    </row>
    <row r="263" spans="1:17" ht="15" customHeight="1">
      <c r="G263" s="143"/>
    </row>
    <row r="264" spans="1:17" ht="15" customHeight="1">
      <c r="B264" s="209" t="s">
        <v>547</v>
      </c>
      <c r="C264" s="210"/>
      <c r="D264" s="210"/>
      <c r="E264" s="210"/>
      <c r="F264" s="210"/>
      <c r="G264" s="211"/>
      <c r="H264" s="212">
        <f ca="1">IFERROR(-H260/(1+WACC!$G$11)^H$198,"")</f>
        <v>0</v>
      </c>
      <c r="I264" s="212">
        <f ca="1">IFERROR(-I260/(1+WACC!$G$11)^I$198,"")</f>
        <v>0</v>
      </c>
      <c r="J264" s="212">
        <f ca="1">IFERROR(-J260/(1+WACC!$G$11)^J$198,"")</f>
        <v>517.54101731508501</v>
      </c>
      <c r="K264" s="212">
        <f ca="1">IFERROR(-K260/(1+WACC!$G$11)^K$198,"")</f>
        <v>468.36178695158537</v>
      </c>
      <c r="L264" s="212">
        <f ca="1">IFERROR(-L260/(1+WACC!$G$11)^L$198,"")</f>
        <v>423.8558029941259</v>
      </c>
      <c r="M264" s="212">
        <f ca="1">IFERROR(-M260/(1+WACC!$G$11)^M$198,"")</f>
        <v>383.57899114934872</v>
      </c>
      <c r="N264" s="212">
        <f ca="1">IFERROR(-N260/(1+WACC!$G$11)^N$198,"")</f>
        <v>347.12947519369266</v>
      </c>
      <c r="O264" s="212">
        <f ca="1">IFERROR(-O260/(1+WACC!$G$11)^O$198,"")</f>
        <v>314.14356711035708</v>
      </c>
      <c r="P264" s="212">
        <f ca="1">IFERROR(-P260/(1+WACC!$G$11)^P$198,"")</f>
        <v>284.29213826268744</v>
      </c>
      <c r="Q264" s="491">
        <f ca="1">IFERROR(-Q260/(1+WACC!$G$11)^Q$198,"")</f>
        <v>257.27733539607596</v>
      </c>
    </row>
    <row r="265" spans="1:17" ht="3.75" customHeight="1">
      <c r="G265" s="143"/>
    </row>
    <row r="266" spans="1:17" ht="15" customHeight="1">
      <c r="B266" s="122" t="s">
        <v>522</v>
      </c>
      <c r="G266" s="143"/>
      <c r="Q266" s="164">
        <f ca="1">IFERROR(+(Q264*(1+$C$13))/(WACC!$G$11-$C$13),"")</f>
        <v>3087.2316536402564</v>
      </c>
    </row>
    <row r="267" spans="1:17" ht="13.5" customHeight="1">
      <c r="B267" s="122" t="s">
        <v>523</v>
      </c>
      <c r="G267" s="143"/>
      <c r="Q267" s="208">
        <f ca="1">IFERROR(Q266/(1+$C$12)^$Q$198,"")</f>
        <v>1399.9678521426454</v>
      </c>
    </row>
    <row r="268" spans="1:17" ht="13.5" customHeight="1">
      <c r="B268" s="122" t="s">
        <v>220</v>
      </c>
      <c r="G268" s="143"/>
      <c r="Q268" s="164">
        <f ca="1">+SUM(Q267,H264:Q264)</f>
        <v>4396.147966515603</v>
      </c>
    </row>
    <row r="269" spans="1:17" ht="15" customHeight="1">
      <c r="G269" s="143"/>
      <c r="N269" s="197"/>
    </row>
    <row r="270" spans="1:17" ht="15" customHeight="1">
      <c r="B270" s="145" t="s">
        <v>530</v>
      </c>
      <c r="G270" s="143"/>
      <c r="Q270" s="198">
        <f ca="1">IFERROR(Q267/Q$210,"")</f>
        <v>0.2997621658362305</v>
      </c>
    </row>
    <row r="271" spans="1:17" ht="3.75" customHeight="1">
      <c r="B271" s="145"/>
      <c r="G271" s="143"/>
    </row>
    <row r="272" spans="1:17" ht="15" customHeight="1">
      <c r="B272" s="145" t="s">
        <v>532</v>
      </c>
      <c r="C272" s="145"/>
      <c r="D272" s="145"/>
      <c r="E272" s="145"/>
      <c r="F272" s="145"/>
      <c r="G272" s="199"/>
      <c r="H272" s="145"/>
      <c r="I272" s="145"/>
      <c r="J272" s="145"/>
      <c r="K272" s="145"/>
      <c r="L272" s="145"/>
      <c r="M272" s="145"/>
      <c r="N272" s="145"/>
      <c r="O272" s="145"/>
      <c r="P272" s="145"/>
      <c r="Q272" s="213">
        <f ca="1">IFERROR(Q270/Q213-1,"")</f>
        <v>-0.99048827016226459</v>
      </c>
    </row>
    <row r="273" spans="1:49" ht="3.75" customHeight="1"/>
    <row r="274" spans="1:49" ht="15" customHeight="1">
      <c r="B274" s="65" t="s">
        <v>138</v>
      </c>
      <c r="C274" s="66"/>
      <c r="D274" s="65"/>
      <c r="E274" s="66"/>
      <c r="F274" s="66"/>
      <c r="G274" s="66"/>
      <c r="H274" s="66"/>
      <c r="I274" s="66"/>
      <c r="J274" s="94"/>
      <c r="K274" s="95"/>
      <c r="L274" s="95"/>
      <c r="M274" s="95"/>
      <c r="N274" s="95"/>
      <c r="O274" s="95"/>
    </row>
    <row r="275" spans="1:49" ht="15" customHeight="1">
      <c r="B275" s="67"/>
      <c r="C275" s="67"/>
      <c r="D275" s="67"/>
      <c r="E275" s="67"/>
      <c r="F275" s="67"/>
      <c r="G275" s="67"/>
      <c r="H275" s="67"/>
      <c r="I275" s="67"/>
      <c r="J275" s="96"/>
      <c r="K275" s="96"/>
      <c r="L275" s="96"/>
      <c r="M275" s="96"/>
      <c r="N275" s="96"/>
      <c r="O275" s="96"/>
    </row>
    <row r="276" spans="1:49" ht="27.6" customHeight="1">
      <c r="B276" s="822" t="s">
        <v>548</v>
      </c>
      <c r="C276" s="818"/>
      <c r="D276" s="816" t="s">
        <v>549</v>
      </c>
      <c r="E276" s="816"/>
      <c r="F276" s="816"/>
      <c r="G276" s="816"/>
      <c r="H276" s="816"/>
      <c r="I276" s="816"/>
      <c r="J276" s="816"/>
      <c r="K276" s="816"/>
      <c r="L276" s="816"/>
      <c r="M276" s="816"/>
      <c r="N276" s="816"/>
      <c r="O276" s="816"/>
    </row>
    <row r="277" spans="1:49" ht="18" customHeight="1">
      <c r="B277" s="822"/>
      <c r="C277" s="818"/>
      <c r="D277" s="834"/>
      <c r="E277" s="834"/>
      <c r="F277" s="834"/>
      <c r="G277" s="834"/>
      <c r="H277" s="834"/>
      <c r="I277" s="834"/>
      <c r="J277" s="834"/>
      <c r="K277" s="834"/>
      <c r="L277" s="834"/>
      <c r="M277" s="834"/>
      <c r="N277" s="834"/>
      <c r="O277"/>
    </row>
    <row r="278" spans="1:49" ht="39.75" customHeight="1">
      <c r="B278" s="822" t="s">
        <v>550</v>
      </c>
      <c r="C278" s="818"/>
      <c r="D278" s="816" t="s">
        <v>551</v>
      </c>
      <c r="E278" s="816"/>
      <c r="F278" s="816"/>
      <c r="G278" s="816"/>
      <c r="H278" s="816"/>
      <c r="I278" s="816"/>
      <c r="J278" s="816"/>
      <c r="K278" s="816"/>
      <c r="L278" s="816"/>
      <c r="M278" s="816"/>
      <c r="N278" s="816"/>
      <c r="O278"/>
    </row>
    <row r="279" spans="1:49" ht="39.75" customHeight="1">
      <c r="B279" s="818" t="s">
        <v>552</v>
      </c>
      <c r="C279" s="818"/>
      <c r="D279" s="834" t="s">
        <v>553</v>
      </c>
      <c r="E279" s="834"/>
      <c r="F279" s="834"/>
      <c r="G279" s="834"/>
      <c r="H279" s="834"/>
      <c r="I279" s="834"/>
      <c r="J279" s="834"/>
      <c r="K279" s="834"/>
      <c r="L279" s="834"/>
      <c r="M279" s="834"/>
      <c r="N279" s="834"/>
      <c r="O279"/>
    </row>
    <row r="280" spans="1:49" ht="39.75" customHeight="1">
      <c r="B280" s="818"/>
      <c r="C280" s="818"/>
      <c r="D280" s="816"/>
      <c r="E280" s="816"/>
      <c r="F280" s="816"/>
      <c r="G280" s="816"/>
      <c r="H280" s="816"/>
      <c r="I280" s="816"/>
      <c r="J280" s="816"/>
      <c r="K280" s="816"/>
      <c r="L280" s="816"/>
      <c r="M280" s="816"/>
      <c r="N280" s="816"/>
      <c r="O280" s="816"/>
    </row>
    <row r="281" spans="1:49" ht="39.75" customHeight="1">
      <c r="B281" s="818"/>
      <c r="C281" s="818"/>
      <c r="D281" s="816"/>
      <c r="E281" s="816"/>
      <c r="F281" s="816"/>
      <c r="G281" s="816"/>
      <c r="H281" s="816"/>
      <c r="I281" s="816"/>
      <c r="J281" s="816"/>
      <c r="K281" s="816"/>
      <c r="L281" s="816"/>
      <c r="M281" s="816"/>
      <c r="N281" s="816"/>
      <c r="O281" s="816"/>
    </row>
    <row r="282" spans="1:49" ht="39.75" customHeight="1">
      <c r="D282" s="834"/>
      <c r="E282" s="834"/>
      <c r="F282" s="834"/>
      <c r="G282" s="834"/>
      <c r="H282" s="834"/>
      <c r="I282" s="834"/>
      <c r="J282" s="834"/>
      <c r="K282" s="834"/>
      <c r="L282" s="834"/>
      <c r="M282" s="834"/>
      <c r="N282" s="834"/>
      <c r="O282"/>
    </row>
    <row r="283" spans="1:49" ht="39.75" customHeight="1">
      <c r="B283" s="819"/>
      <c r="C283" s="819"/>
      <c r="D283" s="834"/>
      <c r="E283" s="834"/>
      <c r="F283" s="834"/>
      <c r="G283" s="834"/>
      <c r="H283" s="834"/>
      <c r="I283" s="834"/>
      <c r="J283" s="834"/>
      <c r="K283" s="834"/>
      <c r="L283" s="834"/>
      <c r="M283" s="834"/>
      <c r="N283" s="834"/>
      <c r="O283"/>
    </row>
    <row r="285" spans="1:49" s="37" customFormat="1" ht="38.450000000000003" customHeight="1">
      <c r="A285" s="122"/>
      <c r="B285" s="128"/>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c r="AA285" s="122"/>
      <c r="AB285" s="122"/>
      <c r="AC285" s="122"/>
      <c r="AD285" s="122"/>
      <c r="AE285" s="122"/>
      <c r="AF285" s="122"/>
      <c r="AG285" s="122"/>
      <c r="AH285" s="122"/>
      <c r="AI285" s="122"/>
      <c r="AJ285" s="122"/>
      <c r="AK285" s="122"/>
      <c r="AN285" s="715" t="s">
        <v>554</v>
      </c>
    </row>
    <row r="287" spans="1:49" ht="15" customHeight="1">
      <c r="AN287" s="635" t="str">
        <f>Peers!AM286&amp;" Stock Price - Blended Discount Rate and Terminal Growth Rate"</f>
        <v xml:space="preserve"> Stock Price - Blended Discount Rate and Terminal Growth Rate</v>
      </c>
      <c r="AO287"/>
      <c r="AP287"/>
      <c r="AQ287"/>
      <c r="AR287"/>
      <c r="AS287"/>
      <c r="AT287"/>
      <c r="AW287" s="122">
        <v>1</v>
      </c>
    </row>
    <row r="288" spans="1:49" ht="15" customHeight="1">
      <c r="C288" s="854"/>
      <c r="D288" s="854"/>
      <c r="E288" s="854"/>
      <c r="F288" s="854"/>
      <c r="G288" s="854"/>
      <c r="H288" s="854"/>
      <c r="I288" s="854"/>
      <c r="J288" s="854"/>
      <c r="AN288" t="s">
        <v>555</v>
      </c>
      <c r="AO288"/>
      <c r="AP288"/>
      <c r="AQ288"/>
      <c r="AR288"/>
      <c r="AS288"/>
      <c r="AT288"/>
      <c r="AW288" s="122">
        <v>2</v>
      </c>
    </row>
    <row r="289" spans="2:49" ht="15" customHeight="1">
      <c r="C289" s="854"/>
      <c r="D289" s="854"/>
      <c r="E289" s="854"/>
      <c r="F289" s="854"/>
      <c r="G289" s="854"/>
      <c r="H289" s="854"/>
      <c r="I289" s="854"/>
      <c r="J289" s="854"/>
      <c r="AN289" s="633"/>
      <c r="AO289" s="634"/>
      <c r="AP289" s="716"/>
      <c r="AQ289" s="633"/>
      <c r="AR289" s="717" t="s">
        <v>447</v>
      </c>
      <c r="AS289" s="633"/>
      <c r="AT289" s="633"/>
      <c r="AW289" s="122">
        <v>3</v>
      </c>
    </row>
    <row r="290" spans="2:49" ht="15" customHeight="1">
      <c r="AN290" s="625"/>
      <c r="AO290" s="724">
        <f ca="1">Q254</f>
        <v>15.698651610351421</v>
      </c>
      <c r="AP290" s="636" t="e">
        <f>AQ290-0.01</f>
        <v>#VALUE!</v>
      </c>
      <c r="AQ290" s="636" t="e">
        <f>AR290-0.01</f>
        <v>#VALUE!</v>
      </c>
      <c r="AR290" s="636" t="s">
        <v>556</v>
      </c>
      <c r="AS290" s="636" t="e">
        <f>AR290+0.01</f>
        <v>#VALUE!</v>
      </c>
      <c r="AT290" s="636" t="e">
        <f>AS290+0.01</f>
        <v>#VALUE!</v>
      </c>
      <c r="AW290" s="122">
        <v>4</v>
      </c>
    </row>
    <row r="291" spans="2:49" ht="15" customHeight="1">
      <c r="AN291"/>
      <c r="AO291" s="630">
        <v>0.01</v>
      </c>
      <c r="AP291" s="793">
        <f t="dataTable" ref="AP291:AT295" dt2D="1" dtr="1" r1="C12" r2="C13" ca="1"/>
        <v>3.8682237198372706</v>
      </c>
      <c r="AQ291" s="198">
        <v>3.8682237198372706</v>
      </c>
      <c r="AR291" s="198">
        <v>3.8682237198372706</v>
      </c>
      <c r="AS291" s="198">
        <v>3.8682237198372706</v>
      </c>
      <c r="AT291" s="198">
        <v>3.8682237198372706</v>
      </c>
      <c r="AW291" s="122">
        <v>5</v>
      </c>
    </row>
    <row r="292" spans="2:49" ht="15" customHeight="1">
      <c r="AN292" s="714"/>
      <c r="AO292" s="630">
        <v>1.4999999999999999E-2</v>
      </c>
      <c r="AP292" s="198">
        <v>4.103332161035377</v>
      </c>
      <c r="AQ292" s="198">
        <v>4.103332161035377</v>
      </c>
      <c r="AR292" s="198">
        <v>4.103332161035377</v>
      </c>
      <c r="AS292" s="198">
        <v>4.103332161035377</v>
      </c>
      <c r="AT292" s="198">
        <v>4.103332161035377</v>
      </c>
      <c r="AW292" s="122">
        <v>6</v>
      </c>
    </row>
    <row r="293" spans="2:49" ht="15" customHeight="1">
      <c r="B293" s="128" t="s">
        <v>557</v>
      </c>
      <c r="AN293" s="20" t="s">
        <v>449</v>
      </c>
      <c r="AO293" s="630">
        <v>0.02</v>
      </c>
      <c r="AP293" s="198">
        <v>4.3660995554423412</v>
      </c>
      <c r="AQ293" s="198">
        <v>4.3660995554423412</v>
      </c>
      <c r="AR293" s="198">
        <v>4.3660995554423412</v>
      </c>
      <c r="AS293" s="198">
        <v>4.3660995554423412</v>
      </c>
      <c r="AT293" s="198">
        <v>4.3660995554423412</v>
      </c>
      <c r="AW293" s="122">
        <v>7</v>
      </c>
    </row>
    <row r="294" spans="2:49" ht="15" customHeight="1">
      <c r="AN294"/>
      <c r="AO294" s="630">
        <v>2.5000000000000001E-2</v>
      </c>
      <c r="AP294" s="198">
        <v>4.6617117847845249</v>
      </c>
      <c r="AQ294" s="198">
        <v>4.6617117847845249</v>
      </c>
      <c r="AR294" s="198">
        <v>4.6617117847845249</v>
      </c>
      <c r="AS294" s="198">
        <v>4.6617117847845249</v>
      </c>
      <c r="AT294" s="198">
        <v>4.6617117847845249</v>
      </c>
      <c r="AW294" s="122">
        <v>8</v>
      </c>
    </row>
    <row r="295" spans="2:49" ht="15" customHeight="1" thickBot="1">
      <c r="AN295" s="625"/>
      <c r="AO295" s="631">
        <v>0.03</v>
      </c>
      <c r="AP295" s="198">
        <v>4.9967375836591907</v>
      </c>
      <c r="AQ295" s="198">
        <v>4.9967375836591907</v>
      </c>
      <c r="AR295" s="198">
        <v>4.9967375836591907</v>
      </c>
      <c r="AS295" s="198">
        <v>4.9967375836591907</v>
      </c>
      <c r="AT295" s="198">
        <v>4.9967375836591907</v>
      </c>
      <c r="AW295" s="122">
        <v>9</v>
      </c>
    </row>
    <row r="296" spans="2:49" ht="15" customHeight="1">
      <c r="AN296"/>
      <c r="AO296" s="726"/>
      <c r="AP296"/>
      <c r="AQ296"/>
      <c r="AR296"/>
      <c r="AS296"/>
      <c r="AT296"/>
      <c r="AW296" s="122">
        <v>10</v>
      </c>
    </row>
    <row r="297" spans="2:49" ht="15" customHeight="1">
      <c r="AN297" s="635" t="str">
        <f>Peers!AM286&amp;" Stock Price - Blended Revenue Growth and Operating Margin"</f>
        <v xml:space="preserve"> Stock Price - Blended Revenue Growth and Operating Margin</v>
      </c>
      <c r="AO297"/>
      <c r="AP297"/>
      <c r="AQ297"/>
      <c r="AR297"/>
      <c r="AS297"/>
      <c r="AT297"/>
      <c r="AW297" s="122">
        <v>11</v>
      </c>
    </row>
    <row r="298" spans="2:49" ht="15" customHeight="1">
      <c r="AN298" t="s">
        <v>555</v>
      </c>
      <c r="AO298"/>
      <c r="AP298"/>
      <c r="AQ298"/>
      <c r="AR298"/>
      <c r="AS298"/>
      <c r="AT298"/>
      <c r="AW298" s="122">
        <v>12</v>
      </c>
    </row>
    <row r="299" spans="2:49" ht="15" customHeight="1">
      <c r="AN299" s="633"/>
      <c r="AO299" s="634"/>
      <c r="AP299" s="633"/>
      <c r="AQ299" s="637" t="s">
        <v>223</v>
      </c>
      <c r="AR299" s="633"/>
      <c r="AS299"/>
      <c r="AT299"/>
      <c r="AW299" s="122">
        <v>13</v>
      </c>
    </row>
    <row r="300" spans="2:49" ht="15" customHeight="1">
      <c r="AN300" s="625"/>
      <c r="AO300" s="724">
        <f ca="1">Q211</f>
        <v>6.3340970432158086</v>
      </c>
      <c r="AP300" s="718">
        <v>1</v>
      </c>
      <c r="AQ300" s="718">
        <v>2</v>
      </c>
      <c r="AR300" s="718">
        <v>3</v>
      </c>
      <c r="AS300"/>
      <c r="AT300"/>
      <c r="AW300" s="122">
        <v>14</v>
      </c>
    </row>
    <row r="301" spans="2:49" ht="15" customHeight="1">
      <c r="AN301"/>
      <c r="AO301" s="719">
        <v>1</v>
      </c>
      <c r="AP301"/>
      <c r="AQ301"/>
      <c r="AR301"/>
      <c r="AS301"/>
      <c r="AT301"/>
      <c r="AW301" s="122">
        <v>15</v>
      </c>
    </row>
    <row r="302" spans="2:49" ht="15" customHeight="1">
      <c r="AN302" s="20" t="s">
        <v>445</v>
      </c>
      <c r="AO302" s="719">
        <v>2</v>
      </c>
      <c r="AP302"/>
      <c r="AQ302"/>
      <c r="AR302"/>
      <c r="AS302"/>
      <c r="AT302"/>
      <c r="AW302" s="122">
        <v>16</v>
      </c>
    </row>
    <row r="303" spans="2:49" ht="15" customHeight="1">
      <c r="AN303" s="625"/>
      <c r="AO303" s="720">
        <v>3</v>
      </c>
      <c r="AP303" s="625"/>
      <c r="AQ303" s="625"/>
      <c r="AR303" s="625"/>
      <c r="AS303"/>
      <c r="AT303"/>
      <c r="AW303" s="122">
        <v>17</v>
      </c>
    </row>
    <row r="304" spans="2:49" ht="15" customHeight="1">
      <c r="AN304"/>
      <c r="AO304" s="721"/>
      <c r="AP304"/>
      <c r="AQ304"/>
      <c r="AR304"/>
      <c r="AS304"/>
      <c r="AT304"/>
      <c r="AW304" s="122">
        <v>18</v>
      </c>
    </row>
    <row r="305" spans="40:49" ht="15" customHeight="1">
      <c r="AN305" s="641" t="s">
        <v>558</v>
      </c>
      <c r="AO305" s="33"/>
      <c r="AP305" s="33"/>
      <c r="AQ305" s="33"/>
      <c r="AR305" s="33"/>
      <c r="AS305" s="33"/>
      <c r="AT305" s="33"/>
      <c r="AW305" s="122">
        <v>19</v>
      </c>
    </row>
    <row r="306" spans="40:49" ht="15" customHeight="1">
      <c r="AW306" s="122">
        <v>20</v>
      </c>
    </row>
    <row r="307" spans="40:49" ht="15" customHeight="1">
      <c r="AW307" s="122">
        <v>21</v>
      </c>
    </row>
    <row r="308" spans="40:49" ht="15" customHeight="1">
      <c r="AR308" s="129"/>
      <c r="AS308" s="129"/>
      <c r="AW308" s="122">
        <v>22</v>
      </c>
    </row>
    <row r="309" spans="40:49" ht="15" customHeight="1">
      <c r="AR309" s="129"/>
      <c r="AS309" s="129"/>
      <c r="AW309" s="122">
        <v>23</v>
      </c>
    </row>
    <row r="310" spans="40:49" ht="15" customHeight="1">
      <c r="AR310" s="173"/>
      <c r="AS310" s="173"/>
      <c r="AW310" s="122">
        <v>24</v>
      </c>
    </row>
    <row r="311" spans="40:49" ht="15" customHeight="1">
      <c r="AW311" s="122">
        <v>25</v>
      </c>
    </row>
    <row r="312" spans="40:49" ht="15" customHeight="1">
      <c r="AN312" s="145"/>
      <c r="AW312" s="122">
        <v>26</v>
      </c>
    </row>
    <row r="313" spans="40:49" ht="15" customHeight="1">
      <c r="AW313" s="122">
        <v>27</v>
      </c>
    </row>
    <row r="314" spans="40:49" ht="15" customHeight="1">
      <c r="AW314" s="122">
        <v>28</v>
      </c>
    </row>
    <row r="315" spans="40:49" ht="15" customHeight="1">
      <c r="AW315" s="122">
        <v>29</v>
      </c>
    </row>
    <row r="316" spans="40:49" ht="15" customHeight="1">
      <c r="AW316" s="122">
        <v>30</v>
      </c>
    </row>
    <row r="317" spans="40:49" ht="15" customHeight="1">
      <c r="AW317" s="122">
        <v>31</v>
      </c>
    </row>
    <row r="318" spans="40:49" ht="15" customHeight="1">
      <c r="AW318" s="122">
        <v>32</v>
      </c>
    </row>
    <row r="319" spans="40:49" ht="15" customHeight="1">
      <c r="AW319" s="122">
        <v>33</v>
      </c>
    </row>
    <row r="320" spans="40:49" ht="15" customHeight="1">
      <c r="AW320" s="122">
        <v>34</v>
      </c>
    </row>
    <row r="321" spans="49:49" ht="15" customHeight="1">
      <c r="AW321" s="122">
        <v>35</v>
      </c>
    </row>
    <row r="322" spans="49:49" ht="15" customHeight="1">
      <c r="AW322" s="122">
        <v>36</v>
      </c>
    </row>
    <row r="323" spans="49:49" ht="15" customHeight="1">
      <c r="AW323" s="122">
        <v>37</v>
      </c>
    </row>
    <row r="324" spans="49:49" ht="15" customHeight="1">
      <c r="AW324" s="122">
        <v>38</v>
      </c>
    </row>
    <row r="325" spans="49:49" ht="15" customHeight="1">
      <c r="AW325" s="122">
        <v>39</v>
      </c>
    </row>
    <row r="326" spans="49:49" ht="15" customHeight="1">
      <c r="AW326" s="122">
        <v>40</v>
      </c>
    </row>
    <row r="327" spans="49:49" ht="15" customHeight="1">
      <c r="AW327" s="122">
        <v>41</v>
      </c>
    </row>
    <row r="328" spans="49:49" ht="15" customHeight="1">
      <c r="AW328" s="122">
        <v>42</v>
      </c>
    </row>
    <row r="329" spans="49:49" ht="15" customHeight="1">
      <c r="AW329" s="122">
        <v>43</v>
      </c>
    </row>
    <row r="330" spans="49:49" ht="15" customHeight="1">
      <c r="AW330" s="122">
        <v>44</v>
      </c>
    </row>
    <row r="331" spans="49:49" ht="15" customHeight="1">
      <c r="AW331" s="122">
        <v>45</v>
      </c>
    </row>
    <row r="332" spans="49:49" ht="15" customHeight="1">
      <c r="AW332" s="122">
        <v>46</v>
      </c>
    </row>
    <row r="333" spans="49:49" ht="15" customHeight="1">
      <c r="AW333" s="122">
        <v>47</v>
      </c>
    </row>
    <row r="334" spans="49:49" ht="15" customHeight="1">
      <c r="AW334" s="122">
        <v>48</v>
      </c>
    </row>
    <row r="335" spans="49:49" ht="15" customHeight="1">
      <c r="AW335" s="122">
        <v>49</v>
      </c>
    </row>
    <row r="336" spans="49:49" ht="15" customHeight="1">
      <c r="AW336" s="122">
        <v>50</v>
      </c>
    </row>
    <row r="337" spans="49:49" ht="15" customHeight="1">
      <c r="AW337" s="122">
        <v>51</v>
      </c>
    </row>
    <row r="338" spans="49:49" ht="15" customHeight="1">
      <c r="AW338" s="122">
        <v>52</v>
      </c>
    </row>
    <row r="339" spans="49:49" ht="15" customHeight="1">
      <c r="AW339" s="122">
        <v>53</v>
      </c>
    </row>
    <row r="340" spans="49:49" ht="15" customHeight="1">
      <c r="AW340" s="122">
        <v>54</v>
      </c>
    </row>
    <row r="341" spans="49:49" ht="15" customHeight="1">
      <c r="AW341" s="122">
        <v>55</v>
      </c>
    </row>
    <row r="342" spans="49:49" ht="15" customHeight="1">
      <c r="AW342" s="122">
        <v>56</v>
      </c>
    </row>
    <row r="343" spans="49:49" ht="15" customHeight="1">
      <c r="AW343" s="122">
        <v>57</v>
      </c>
    </row>
    <row r="344" spans="49:49" ht="15" customHeight="1">
      <c r="AW344" s="122">
        <v>58</v>
      </c>
    </row>
    <row r="345" spans="49:49" ht="15" customHeight="1">
      <c r="AW345" s="122">
        <v>59</v>
      </c>
    </row>
    <row r="346" spans="49:49" ht="15" customHeight="1">
      <c r="AW346" s="122">
        <v>60</v>
      </c>
    </row>
    <row r="347" spans="49:49" ht="15" customHeight="1">
      <c r="AW347" s="122">
        <v>61</v>
      </c>
    </row>
    <row r="348" spans="49:49" ht="15" customHeight="1">
      <c r="AW348" s="122">
        <v>62</v>
      </c>
    </row>
    <row r="349" spans="49:49" ht="15" customHeight="1">
      <c r="AW349" s="122">
        <v>63</v>
      </c>
    </row>
    <row r="350" spans="49:49" ht="15" customHeight="1">
      <c r="AW350" s="122">
        <v>64</v>
      </c>
    </row>
    <row r="351" spans="49:49" ht="15" customHeight="1">
      <c r="AW351" s="122">
        <v>65</v>
      </c>
    </row>
    <row r="352" spans="49:49" ht="15" customHeight="1">
      <c r="AW352" s="122">
        <v>66</v>
      </c>
    </row>
    <row r="353" spans="49:49" ht="15" customHeight="1">
      <c r="AW353" s="122">
        <v>67</v>
      </c>
    </row>
    <row r="354" spans="49:49" ht="15" customHeight="1">
      <c r="AW354" s="122">
        <v>68</v>
      </c>
    </row>
    <row r="355" spans="49:49" ht="15" customHeight="1">
      <c r="AW355" s="122">
        <v>69</v>
      </c>
    </row>
    <row r="356" spans="49:49" ht="15" customHeight="1">
      <c r="AW356" s="122">
        <v>70</v>
      </c>
    </row>
    <row r="357" spans="49:49" ht="15" customHeight="1">
      <c r="AW357" s="122">
        <v>71</v>
      </c>
    </row>
    <row r="358" spans="49:49" ht="15" customHeight="1">
      <c r="AW358" s="122">
        <v>72</v>
      </c>
    </row>
    <row r="359" spans="49:49" ht="15" customHeight="1">
      <c r="AW359" s="122">
        <v>73</v>
      </c>
    </row>
    <row r="360" spans="49:49" ht="15" customHeight="1">
      <c r="AW360" s="122">
        <v>74</v>
      </c>
    </row>
    <row r="361" spans="49:49" ht="15" customHeight="1">
      <c r="AW361" s="122">
        <v>75</v>
      </c>
    </row>
    <row r="362" spans="49:49" ht="15" customHeight="1">
      <c r="AW362" s="122">
        <v>76</v>
      </c>
    </row>
    <row r="363" spans="49:49" ht="15" customHeight="1">
      <c r="AW363" s="122">
        <v>77</v>
      </c>
    </row>
    <row r="364" spans="49:49" ht="15" customHeight="1">
      <c r="AW364" s="122">
        <v>78</v>
      </c>
    </row>
    <row r="365" spans="49:49" ht="15" customHeight="1">
      <c r="AW365" s="122">
        <v>79</v>
      </c>
    </row>
    <row r="366" spans="49:49" ht="15" customHeight="1">
      <c r="AW366" s="122">
        <v>80</v>
      </c>
    </row>
    <row r="367" spans="49:49" ht="15" customHeight="1">
      <c r="AW367" s="122">
        <v>81</v>
      </c>
    </row>
    <row r="368" spans="49:49" ht="15" customHeight="1">
      <c r="AW368" s="122">
        <v>82</v>
      </c>
    </row>
    <row r="369" spans="49:49" ht="15" customHeight="1">
      <c r="AW369" s="122">
        <v>83</v>
      </c>
    </row>
    <row r="370" spans="49:49" ht="15" customHeight="1">
      <c r="AW370" s="122">
        <v>84</v>
      </c>
    </row>
    <row r="371" spans="49:49" ht="15" customHeight="1">
      <c r="AW371" s="122">
        <v>85</v>
      </c>
    </row>
    <row r="372" spans="49:49" ht="15" customHeight="1">
      <c r="AW372" s="122">
        <v>86</v>
      </c>
    </row>
    <row r="373" spans="49:49" ht="15" customHeight="1">
      <c r="AW373" s="122">
        <v>87</v>
      </c>
    </row>
    <row r="374" spans="49:49" ht="15" customHeight="1">
      <c r="AW374" s="122">
        <v>88</v>
      </c>
    </row>
    <row r="375" spans="49:49" ht="15" customHeight="1">
      <c r="AW375" s="122">
        <v>89</v>
      </c>
    </row>
    <row r="376" spans="49:49" ht="15" customHeight="1">
      <c r="AW376" s="122">
        <v>90</v>
      </c>
    </row>
    <row r="377" spans="49:49" ht="15" customHeight="1">
      <c r="AW377" s="122">
        <v>91</v>
      </c>
    </row>
    <row r="378" spans="49:49" ht="15" customHeight="1">
      <c r="AW378" s="122">
        <v>92</v>
      </c>
    </row>
    <row r="379" spans="49:49" ht="15" customHeight="1">
      <c r="AW379" s="122">
        <v>93</v>
      </c>
    </row>
    <row r="380" spans="49:49" ht="15" customHeight="1">
      <c r="AW380" s="122">
        <v>94</v>
      </c>
    </row>
    <row r="381" spans="49:49" ht="15" customHeight="1">
      <c r="AW381" s="122">
        <v>95</v>
      </c>
    </row>
    <row r="382" spans="49:49" ht="15" customHeight="1">
      <c r="AW382" s="122">
        <v>96</v>
      </c>
    </row>
    <row r="383" spans="49:49" ht="15" customHeight="1">
      <c r="AW383" s="122">
        <v>97</v>
      </c>
    </row>
    <row r="384" spans="49:49" ht="15" customHeight="1">
      <c r="AW384" s="122">
        <v>98</v>
      </c>
    </row>
    <row r="385" spans="49:49" ht="15" customHeight="1">
      <c r="AW385" s="122">
        <v>99</v>
      </c>
    </row>
    <row r="386" spans="49:49" ht="15" customHeight="1">
      <c r="AW386" s="122">
        <v>100</v>
      </c>
    </row>
    <row r="387" spans="49:49" ht="15" customHeight="1">
      <c r="AW387" s="122">
        <v>101</v>
      </c>
    </row>
    <row r="388" spans="49:49" ht="15" customHeight="1">
      <c r="AW388" s="122">
        <v>102</v>
      </c>
    </row>
    <row r="389" spans="49:49" ht="15" customHeight="1">
      <c r="AW389" s="122">
        <v>103</v>
      </c>
    </row>
    <row r="390" spans="49:49" ht="15" customHeight="1">
      <c r="AW390" s="122">
        <v>104</v>
      </c>
    </row>
    <row r="391" spans="49:49" ht="15" customHeight="1">
      <c r="AW391" s="122">
        <v>105</v>
      </c>
    </row>
    <row r="392" spans="49:49" ht="15" customHeight="1">
      <c r="AW392" s="122">
        <v>106</v>
      </c>
    </row>
    <row r="393" spans="49:49" ht="15" customHeight="1">
      <c r="AW393" s="122">
        <v>107</v>
      </c>
    </row>
    <row r="394" spans="49:49" ht="15" customHeight="1">
      <c r="AW394" s="122">
        <v>108</v>
      </c>
    </row>
    <row r="395" spans="49:49" ht="15" customHeight="1">
      <c r="AW395" s="122">
        <v>109</v>
      </c>
    </row>
    <row r="396" spans="49:49" ht="15" customHeight="1">
      <c r="AW396" s="122">
        <v>110</v>
      </c>
    </row>
    <row r="397" spans="49:49" ht="15" customHeight="1">
      <c r="AW397" s="122">
        <v>111</v>
      </c>
    </row>
    <row r="398" spans="49:49" ht="15" customHeight="1">
      <c r="AW398" s="122">
        <v>112</v>
      </c>
    </row>
    <row r="399" spans="49:49" ht="15" customHeight="1">
      <c r="AW399" s="122">
        <v>113</v>
      </c>
    </row>
    <row r="400" spans="49:49" ht="15" customHeight="1">
      <c r="AW400" s="122">
        <v>114</v>
      </c>
    </row>
    <row r="401" spans="49:49" ht="15" customHeight="1">
      <c r="AW401" s="122">
        <v>115</v>
      </c>
    </row>
    <row r="402" spans="49:49" ht="15" customHeight="1">
      <c r="AW402" s="122">
        <v>116</v>
      </c>
    </row>
    <row r="403" spans="49:49" ht="15" customHeight="1">
      <c r="AW403" s="122">
        <v>117</v>
      </c>
    </row>
    <row r="404" spans="49:49" ht="15" customHeight="1">
      <c r="AW404" s="122">
        <v>118</v>
      </c>
    </row>
    <row r="405" spans="49:49" ht="15" customHeight="1">
      <c r="AW405" s="122">
        <v>119</v>
      </c>
    </row>
    <row r="406" spans="49:49" ht="15" customHeight="1">
      <c r="AW406" s="122">
        <v>120</v>
      </c>
    </row>
    <row r="407" spans="49:49" ht="15" customHeight="1">
      <c r="AW407" s="122">
        <v>121</v>
      </c>
    </row>
    <row r="408" spans="49:49" ht="15" customHeight="1">
      <c r="AW408" s="122">
        <v>122</v>
      </c>
    </row>
    <row r="409" spans="49:49" ht="15" customHeight="1">
      <c r="AW409" s="122">
        <v>123</v>
      </c>
    </row>
    <row r="410" spans="49:49" ht="15" customHeight="1">
      <c r="AW410" s="122">
        <v>124</v>
      </c>
    </row>
    <row r="411" spans="49:49" ht="15" customHeight="1">
      <c r="AW411" s="122">
        <v>125</v>
      </c>
    </row>
    <row r="412" spans="49:49" ht="15" customHeight="1">
      <c r="AW412" s="122">
        <v>126</v>
      </c>
    </row>
    <row r="413" spans="49:49" ht="15" customHeight="1">
      <c r="AW413" s="122">
        <v>127</v>
      </c>
    </row>
    <row r="414" spans="49:49" ht="15" customHeight="1">
      <c r="AW414" s="122">
        <v>128</v>
      </c>
    </row>
    <row r="415" spans="49:49" ht="15" customHeight="1">
      <c r="AW415" s="122">
        <v>129</v>
      </c>
    </row>
    <row r="416" spans="49:49" ht="15" customHeight="1">
      <c r="AW416" s="122">
        <v>130</v>
      </c>
    </row>
    <row r="417" spans="49:49" ht="15" customHeight="1">
      <c r="AW417" s="122">
        <v>131</v>
      </c>
    </row>
    <row r="418" spans="49:49" ht="15" customHeight="1">
      <c r="AW418" s="122">
        <v>132</v>
      </c>
    </row>
    <row r="419" spans="49:49" ht="15" customHeight="1">
      <c r="AW419" s="122">
        <v>133</v>
      </c>
    </row>
    <row r="420" spans="49:49" ht="15" customHeight="1">
      <c r="AW420" s="122">
        <v>134</v>
      </c>
    </row>
    <row r="421" spans="49:49" ht="15" customHeight="1">
      <c r="AW421" s="122">
        <v>135</v>
      </c>
    </row>
    <row r="422" spans="49:49" ht="15" customHeight="1">
      <c r="AW422" s="122">
        <v>136</v>
      </c>
    </row>
    <row r="423" spans="49:49" ht="15" customHeight="1">
      <c r="AW423" s="122">
        <v>137</v>
      </c>
    </row>
    <row r="424" spans="49:49" ht="15" customHeight="1">
      <c r="AW424" s="122">
        <v>138</v>
      </c>
    </row>
    <row r="425" spans="49:49" ht="15" customHeight="1">
      <c r="AW425" s="122">
        <v>139</v>
      </c>
    </row>
    <row r="426" spans="49:49" ht="15" customHeight="1">
      <c r="AW426" s="122">
        <v>140</v>
      </c>
    </row>
    <row r="427" spans="49:49" ht="15" customHeight="1">
      <c r="AW427" s="122">
        <v>141</v>
      </c>
    </row>
    <row r="428" spans="49:49" ht="15" customHeight="1">
      <c r="AW428" s="122">
        <v>142</v>
      </c>
    </row>
    <row r="429" spans="49:49" ht="15" customHeight="1">
      <c r="AW429" s="122">
        <v>143</v>
      </c>
    </row>
    <row r="430" spans="49:49" ht="15" customHeight="1">
      <c r="AW430" s="122">
        <v>144</v>
      </c>
    </row>
    <row r="431" spans="49:49" ht="15" customHeight="1">
      <c r="AW431" s="122">
        <v>145</v>
      </c>
    </row>
    <row r="432" spans="49:49" ht="15" customHeight="1">
      <c r="AW432" s="122">
        <v>146</v>
      </c>
    </row>
    <row r="433" spans="49:49" ht="15" customHeight="1">
      <c r="AW433" s="122">
        <v>147</v>
      </c>
    </row>
    <row r="434" spans="49:49" ht="15" customHeight="1">
      <c r="AW434" s="122">
        <v>148</v>
      </c>
    </row>
    <row r="435" spans="49:49" ht="15" customHeight="1">
      <c r="AW435" s="122">
        <v>149</v>
      </c>
    </row>
    <row r="436" spans="49:49" ht="15" customHeight="1">
      <c r="AW436" s="122">
        <v>150</v>
      </c>
    </row>
    <row r="437" spans="49:49" ht="15" customHeight="1">
      <c r="AW437" s="122">
        <v>151</v>
      </c>
    </row>
    <row r="438" spans="49:49" ht="15" customHeight="1">
      <c r="AW438" s="122">
        <v>152</v>
      </c>
    </row>
    <row r="439" spans="49:49" ht="15" customHeight="1">
      <c r="AW439" s="122">
        <v>153</v>
      </c>
    </row>
    <row r="440" spans="49:49" ht="15" customHeight="1">
      <c r="AW440" s="122">
        <v>154</v>
      </c>
    </row>
    <row r="441" spans="49:49" ht="15" customHeight="1">
      <c r="AW441" s="122">
        <v>155</v>
      </c>
    </row>
    <row r="442" spans="49:49" ht="15" customHeight="1">
      <c r="AW442" s="122">
        <v>156</v>
      </c>
    </row>
    <row r="443" spans="49:49" ht="15" customHeight="1">
      <c r="AW443" s="122">
        <v>157</v>
      </c>
    </row>
    <row r="444" spans="49:49" ht="15" customHeight="1">
      <c r="AW444" s="122">
        <v>158</v>
      </c>
    </row>
    <row r="445" spans="49:49" ht="15" customHeight="1">
      <c r="AW445" s="122">
        <v>159</v>
      </c>
    </row>
    <row r="446" spans="49:49" ht="15" customHeight="1">
      <c r="AW446" s="122">
        <v>160</v>
      </c>
    </row>
    <row r="447" spans="49:49" ht="15" customHeight="1">
      <c r="AW447" s="122">
        <v>161</v>
      </c>
    </row>
    <row r="448" spans="49:49" ht="15" customHeight="1">
      <c r="AW448" s="122">
        <v>162</v>
      </c>
    </row>
    <row r="449" spans="49:49" ht="15" customHeight="1">
      <c r="AW449" s="122">
        <v>163</v>
      </c>
    </row>
    <row r="450" spans="49:49" ht="15" customHeight="1">
      <c r="AW450" s="122">
        <v>164</v>
      </c>
    </row>
    <row r="451" spans="49:49" ht="15" customHeight="1">
      <c r="AW451" s="122">
        <v>165</v>
      </c>
    </row>
    <row r="452" spans="49:49" ht="15" customHeight="1">
      <c r="AW452" s="122">
        <v>166</v>
      </c>
    </row>
    <row r="453" spans="49:49" ht="15" customHeight="1">
      <c r="AW453" s="122">
        <v>167</v>
      </c>
    </row>
    <row r="454" spans="49:49" ht="15" customHeight="1">
      <c r="AW454" s="122">
        <v>168</v>
      </c>
    </row>
    <row r="455" spans="49:49" ht="15" customHeight="1">
      <c r="AW455" s="122">
        <v>169</v>
      </c>
    </row>
    <row r="456" spans="49:49" ht="15" customHeight="1">
      <c r="AW456" s="122">
        <v>170</v>
      </c>
    </row>
    <row r="457" spans="49:49" ht="15" customHeight="1">
      <c r="AW457" s="122">
        <v>171</v>
      </c>
    </row>
    <row r="458" spans="49:49" ht="15" customHeight="1">
      <c r="AW458" s="122">
        <v>172</v>
      </c>
    </row>
    <row r="459" spans="49:49" ht="15" customHeight="1">
      <c r="AW459" s="122">
        <v>173</v>
      </c>
    </row>
    <row r="460" spans="49:49" ht="15" customHeight="1">
      <c r="AW460" s="122">
        <v>174</v>
      </c>
    </row>
    <row r="461" spans="49:49" ht="15" customHeight="1">
      <c r="AW461" s="122">
        <v>175</v>
      </c>
    </row>
    <row r="462" spans="49:49" ht="15" customHeight="1">
      <c r="AW462" s="122">
        <v>176</v>
      </c>
    </row>
    <row r="463" spans="49:49" ht="15" customHeight="1">
      <c r="AW463" s="122">
        <v>177</v>
      </c>
    </row>
    <row r="464" spans="49:49" ht="15" customHeight="1">
      <c r="AW464" s="122">
        <v>178</v>
      </c>
    </row>
    <row r="465" spans="49:49" ht="15" customHeight="1">
      <c r="AW465" s="122">
        <v>179</v>
      </c>
    </row>
    <row r="466" spans="49:49" ht="15" customHeight="1">
      <c r="AW466" s="122">
        <v>180</v>
      </c>
    </row>
    <row r="467" spans="49:49" ht="15" customHeight="1">
      <c r="AW467" s="122">
        <v>181</v>
      </c>
    </row>
    <row r="468" spans="49:49" ht="15" customHeight="1">
      <c r="AW468" s="122">
        <v>182</v>
      </c>
    </row>
    <row r="469" spans="49:49" ht="15" customHeight="1">
      <c r="AW469" s="122">
        <v>183</v>
      </c>
    </row>
    <row r="470" spans="49:49" ht="15" customHeight="1">
      <c r="AW470" s="122">
        <v>184</v>
      </c>
    </row>
    <row r="471" spans="49:49" ht="15" customHeight="1">
      <c r="AW471" s="122">
        <v>185</v>
      </c>
    </row>
    <row r="472" spans="49:49" ht="15" customHeight="1">
      <c r="AW472" s="122">
        <v>186</v>
      </c>
    </row>
    <row r="473" spans="49:49" ht="15" customHeight="1">
      <c r="AW473" s="122">
        <v>187</v>
      </c>
    </row>
    <row r="474" spans="49:49" ht="15" customHeight="1">
      <c r="AW474" s="122">
        <v>188</v>
      </c>
    </row>
    <row r="475" spans="49:49" ht="15" customHeight="1">
      <c r="AW475" s="122">
        <v>189</v>
      </c>
    </row>
    <row r="476" spans="49:49" ht="15" customHeight="1">
      <c r="AW476" s="122">
        <v>190</v>
      </c>
    </row>
    <row r="477" spans="49:49" ht="15" customHeight="1">
      <c r="AW477" s="122">
        <v>191</v>
      </c>
    </row>
    <row r="478" spans="49:49" ht="15" customHeight="1">
      <c r="AW478" s="122">
        <v>192</v>
      </c>
    </row>
    <row r="479" spans="49:49" ht="15" customHeight="1">
      <c r="AW479" s="122">
        <v>193</v>
      </c>
    </row>
    <row r="480" spans="49:49" ht="15" customHeight="1">
      <c r="AW480" s="122">
        <v>194</v>
      </c>
    </row>
    <row r="481" spans="49:49" ht="15" customHeight="1">
      <c r="AW481" s="122">
        <v>195</v>
      </c>
    </row>
    <row r="482" spans="49:49" ht="15" customHeight="1">
      <c r="AW482" s="122">
        <v>196</v>
      </c>
    </row>
    <row r="483" spans="49:49" ht="15" customHeight="1">
      <c r="AW483" s="122">
        <v>197</v>
      </c>
    </row>
    <row r="484" spans="49:49" ht="15" customHeight="1">
      <c r="AW484" s="122">
        <v>198</v>
      </c>
    </row>
    <row r="485" spans="49:49" ht="15" customHeight="1">
      <c r="AW485" s="122">
        <v>199</v>
      </c>
    </row>
    <row r="486" spans="49:49" ht="15" customHeight="1">
      <c r="AW486" s="122">
        <v>200</v>
      </c>
    </row>
    <row r="487" spans="49:49" ht="15" customHeight="1">
      <c r="AW487" s="122">
        <v>201</v>
      </c>
    </row>
    <row r="488" spans="49:49" ht="15" customHeight="1">
      <c r="AW488" s="122">
        <v>202</v>
      </c>
    </row>
    <row r="489" spans="49:49" ht="15" customHeight="1">
      <c r="AW489" s="122">
        <v>203</v>
      </c>
    </row>
    <row r="490" spans="49:49" ht="15" customHeight="1">
      <c r="AW490" s="122">
        <v>204</v>
      </c>
    </row>
    <row r="491" spans="49:49" ht="15" customHeight="1">
      <c r="AW491" s="122">
        <v>205</v>
      </c>
    </row>
    <row r="492" spans="49:49" ht="15" customHeight="1">
      <c r="AW492" s="122">
        <v>206</v>
      </c>
    </row>
    <row r="493" spans="49:49" ht="15" customHeight="1">
      <c r="AW493" s="122">
        <v>207</v>
      </c>
    </row>
    <row r="494" spans="49:49" ht="15" customHeight="1">
      <c r="AW494" s="122">
        <v>208</v>
      </c>
    </row>
    <row r="495" spans="49:49" ht="15" customHeight="1">
      <c r="AW495" s="122">
        <v>209</v>
      </c>
    </row>
    <row r="496" spans="49:49" ht="15" customHeight="1">
      <c r="AW496" s="122">
        <v>210</v>
      </c>
    </row>
    <row r="497" spans="49:49" ht="15" customHeight="1">
      <c r="AW497" s="122">
        <v>211</v>
      </c>
    </row>
    <row r="498" spans="49:49" ht="15" customHeight="1">
      <c r="AW498" s="122">
        <v>212</v>
      </c>
    </row>
    <row r="499" spans="49:49" ht="15" customHeight="1">
      <c r="AW499" s="122">
        <v>213</v>
      </c>
    </row>
    <row r="500" spans="49:49" ht="15" customHeight="1">
      <c r="AW500" s="122">
        <v>214</v>
      </c>
    </row>
    <row r="501" spans="49:49" ht="15" customHeight="1">
      <c r="AW501" s="122">
        <v>215</v>
      </c>
    </row>
    <row r="502" spans="49:49" ht="15" customHeight="1">
      <c r="AW502" s="122">
        <v>216</v>
      </c>
    </row>
    <row r="503" spans="49:49" ht="15" customHeight="1">
      <c r="AW503" s="122">
        <v>217</v>
      </c>
    </row>
    <row r="504" spans="49:49" ht="15" customHeight="1">
      <c r="AW504" s="122">
        <v>218</v>
      </c>
    </row>
    <row r="505" spans="49:49" ht="15" customHeight="1">
      <c r="AW505" s="122">
        <v>219</v>
      </c>
    </row>
    <row r="506" spans="49:49" ht="15" customHeight="1">
      <c r="AW506" s="122">
        <v>220</v>
      </c>
    </row>
    <row r="507" spans="49:49" ht="15" customHeight="1">
      <c r="AW507" s="122">
        <v>221</v>
      </c>
    </row>
    <row r="508" spans="49:49" ht="15" customHeight="1">
      <c r="AW508" s="122">
        <v>222</v>
      </c>
    </row>
    <row r="509" spans="49:49" ht="15" customHeight="1">
      <c r="AW509" s="122">
        <v>223</v>
      </c>
    </row>
    <row r="510" spans="49:49" ht="15" customHeight="1">
      <c r="AW510" s="122">
        <v>224</v>
      </c>
    </row>
    <row r="511" spans="49:49" ht="15" customHeight="1">
      <c r="AW511" s="122">
        <v>225</v>
      </c>
    </row>
    <row r="512" spans="49:49" ht="15" customHeight="1">
      <c r="AW512" s="122">
        <v>226</v>
      </c>
    </row>
    <row r="513" spans="49:49" ht="15" customHeight="1">
      <c r="AW513" s="122">
        <v>227</v>
      </c>
    </row>
    <row r="514" spans="49:49" ht="15" customHeight="1">
      <c r="AW514" s="122">
        <v>228</v>
      </c>
    </row>
    <row r="515" spans="49:49" ht="15" customHeight="1">
      <c r="AW515" s="122">
        <v>229</v>
      </c>
    </row>
    <row r="516" spans="49:49" ht="15" customHeight="1">
      <c r="AW516" s="122">
        <v>230</v>
      </c>
    </row>
    <row r="517" spans="49:49" ht="15" customHeight="1">
      <c r="AW517" s="122">
        <v>231</v>
      </c>
    </row>
    <row r="518" spans="49:49" ht="15" customHeight="1">
      <c r="AW518" s="122">
        <v>232</v>
      </c>
    </row>
    <row r="519" spans="49:49" ht="15" customHeight="1">
      <c r="AW519" s="122">
        <v>233</v>
      </c>
    </row>
    <row r="520" spans="49:49" ht="15" customHeight="1">
      <c r="AW520" s="122">
        <v>234</v>
      </c>
    </row>
    <row r="521" spans="49:49" ht="15" customHeight="1">
      <c r="AW521" s="122">
        <v>235</v>
      </c>
    </row>
    <row r="522" spans="49:49" ht="15" customHeight="1">
      <c r="AW522" s="122">
        <v>236</v>
      </c>
    </row>
    <row r="523" spans="49:49" ht="15" customHeight="1">
      <c r="AW523" s="122">
        <v>237</v>
      </c>
    </row>
    <row r="524" spans="49:49" ht="15" customHeight="1">
      <c r="AW524" s="122">
        <v>238</v>
      </c>
    </row>
    <row r="525" spans="49:49" ht="15" customHeight="1">
      <c r="AW525" s="122">
        <v>239</v>
      </c>
    </row>
    <row r="526" spans="49:49" ht="15" customHeight="1">
      <c r="AW526" s="122">
        <v>240</v>
      </c>
    </row>
    <row r="527" spans="49:49" ht="15" customHeight="1">
      <c r="AW527" s="122">
        <v>241</v>
      </c>
    </row>
    <row r="528" spans="49:49" ht="15" customHeight="1">
      <c r="AW528" s="122">
        <v>242</v>
      </c>
    </row>
    <row r="529" spans="49:49" ht="15" customHeight="1">
      <c r="AW529" s="122">
        <v>243</v>
      </c>
    </row>
    <row r="530" spans="49:49" ht="15" customHeight="1">
      <c r="AW530" s="122">
        <v>244</v>
      </c>
    </row>
    <row r="531" spans="49:49" ht="15" customHeight="1">
      <c r="AW531" s="122">
        <v>245</v>
      </c>
    </row>
    <row r="532" spans="49:49" ht="15" customHeight="1">
      <c r="AW532" s="122">
        <v>246</v>
      </c>
    </row>
    <row r="533" spans="49:49" ht="15" customHeight="1">
      <c r="AW533" s="122">
        <v>247</v>
      </c>
    </row>
    <row r="534" spans="49:49" ht="15" customHeight="1">
      <c r="AW534" s="122">
        <v>248</v>
      </c>
    </row>
    <row r="535" spans="49:49" ht="15" customHeight="1">
      <c r="AW535" s="122">
        <v>249</v>
      </c>
    </row>
    <row r="536" spans="49:49" ht="15" customHeight="1">
      <c r="AW536" s="122">
        <v>250</v>
      </c>
    </row>
    <row r="537" spans="49:49" ht="15" customHeight="1">
      <c r="AW537" s="122">
        <v>251</v>
      </c>
    </row>
    <row r="538" spans="49:49" ht="15" customHeight="1">
      <c r="AW538" s="122">
        <v>252</v>
      </c>
    </row>
    <row r="539" spans="49:49" ht="15" customHeight="1">
      <c r="AW539" s="122">
        <v>253</v>
      </c>
    </row>
    <row r="540" spans="49:49" ht="15" customHeight="1">
      <c r="AW540" s="122">
        <v>254</v>
      </c>
    </row>
    <row r="541" spans="49:49" ht="15" customHeight="1">
      <c r="AW541" s="122">
        <v>255</v>
      </c>
    </row>
    <row r="542" spans="49:49" ht="15" customHeight="1">
      <c r="AW542" s="122">
        <v>256</v>
      </c>
    </row>
    <row r="543" spans="49:49" ht="15" customHeight="1">
      <c r="AW543" s="122">
        <v>257</v>
      </c>
    </row>
    <row r="544" spans="49:49" ht="15" customHeight="1">
      <c r="AW544" s="122">
        <v>258</v>
      </c>
    </row>
    <row r="545" spans="49:49" ht="15" customHeight="1">
      <c r="AW545" s="122">
        <v>259</v>
      </c>
    </row>
    <row r="546" spans="49:49" ht="15" customHeight="1">
      <c r="AW546" s="122">
        <v>260</v>
      </c>
    </row>
    <row r="547" spans="49:49" ht="15" customHeight="1">
      <c r="AW547" s="122">
        <v>261</v>
      </c>
    </row>
    <row r="548" spans="49:49" ht="15" customHeight="1">
      <c r="AW548" s="122">
        <v>262</v>
      </c>
    </row>
    <row r="549" spans="49:49" ht="15" customHeight="1">
      <c r="AW549" s="122">
        <v>263</v>
      </c>
    </row>
    <row r="550" spans="49:49" ht="15" customHeight="1">
      <c r="AW550" s="122">
        <v>264</v>
      </c>
    </row>
    <row r="551" spans="49:49" ht="15" customHeight="1">
      <c r="AW551" s="122">
        <v>265</v>
      </c>
    </row>
    <row r="552" spans="49:49" ht="15" customHeight="1">
      <c r="AW552" s="122">
        <v>266</v>
      </c>
    </row>
    <row r="553" spans="49:49" ht="15" customHeight="1">
      <c r="AW553" s="122">
        <v>267</v>
      </c>
    </row>
    <row r="554" spans="49:49" ht="15" customHeight="1">
      <c r="AW554" s="122">
        <v>268</v>
      </c>
    </row>
    <row r="555" spans="49:49" ht="15" customHeight="1">
      <c r="AW555" s="122">
        <v>269</v>
      </c>
    </row>
    <row r="556" spans="49:49" ht="15" customHeight="1">
      <c r="AW556" s="122">
        <v>270</v>
      </c>
    </row>
    <row r="557" spans="49:49" ht="15" customHeight="1">
      <c r="AW557" s="122">
        <v>271</v>
      </c>
    </row>
    <row r="558" spans="49:49" ht="15" customHeight="1">
      <c r="AW558" s="122">
        <v>272</v>
      </c>
    </row>
    <row r="559" spans="49:49" ht="15" customHeight="1">
      <c r="AW559" s="122">
        <v>273</v>
      </c>
    </row>
    <row r="560" spans="49:49" ht="15" customHeight="1">
      <c r="AW560" s="122">
        <v>274</v>
      </c>
    </row>
    <row r="561" spans="49:49" ht="15" customHeight="1">
      <c r="AW561" s="122">
        <v>275</v>
      </c>
    </row>
    <row r="562" spans="49:49" ht="15" customHeight="1">
      <c r="AW562" s="122">
        <v>276</v>
      </c>
    </row>
    <row r="563" spans="49:49" ht="15" customHeight="1">
      <c r="AW563" s="122">
        <v>277</v>
      </c>
    </row>
    <row r="564" spans="49:49" ht="15" customHeight="1">
      <c r="AW564" s="122">
        <v>278</v>
      </c>
    </row>
    <row r="565" spans="49:49" ht="15" customHeight="1">
      <c r="AW565" s="122">
        <v>279</v>
      </c>
    </row>
    <row r="566" spans="49:49" ht="15" customHeight="1">
      <c r="AW566" s="122">
        <v>280</v>
      </c>
    </row>
    <row r="567" spans="49:49" ht="15" customHeight="1">
      <c r="AW567" s="122">
        <v>281</v>
      </c>
    </row>
    <row r="568" spans="49:49" ht="15" customHeight="1">
      <c r="AW568" s="122">
        <v>282</v>
      </c>
    </row>
    <row r="569" spans="49:49" ht="15" customHeight="1">
      <c r="AW569" s="122">
        <v>283</v>
      </c>
    </row>
    <row r="570" spans="49:49" ht="15" customHeight="1">
      <c r="AW570" s="122">
        <v>284</v>
      </c>
    </row>
    <row r="571" spans="49:49" ht="15" customHeight="1">
      <c r="AW571" s="122">
        <v>285</v>
      </c>
    </row>
    <row r="572" spans="49:49" ht="15" customHeight="1">
      <c r="AW572" s="122">
        <v>286</v>
      </c>
    </row>
    <row r="573" spans="49:49" ht="15" customHeight="1">
      <c r="AW573" s="122">
        <v>287</v>
      </c>
    </row>
    <row r="574" spans="49:49" ht="15" customHeight="1">
      <c r="AW574" s="122">
        <v>288</v>
      </c>
    </row>
    <row r="575" spans="49:49" ht="15" customHeight="1">
      <c r="AW575" s="122">
        <v>289</v>
      </c>
    </row>
    <row r="576" spans="49:49" ht="15" customHeight="1">
      <c r="AW576" s="122">
        <v>290</v>
      </c>
    </row>
    <row r="577" spans="49:49" ht="15" customHeight="1">
      <c r="AW577" s="122">
        <v>291</v>
      </c>
    </row>
    <row r="578" spans="49:49" ht="15" customHeight="1">
      <c r="AW578" s="122">
        <v>292</v>
      </c>
    </row>
    <row r="579" spans="49:49" ht="15" customHeight="1">
      <c r="AW579" s="122">
        <v>293</v>
      </c>
    </row>
    <row r="580" spans="49:49" ht="15" customHeight="1">
      <c r="AW580" s="122">
        <v>294</v>
      </c>
    </row>
    <row r="581" spans="49:49" ht="15" customHeight="1">
      <c r="AW581" s="122">
        <v>295</v>
      </c>
    </row>
    <row r="582" spans="49:49" ht="15" customHeight="1">
      <c r="AW582" s="122">
        <v>296</v>
      </c>
    </row>
    <row r="583" spans="49:49" ht="15" customHeight="1">
      <c r="AW583" s="122">
        <v>297</v>
      </c>
    </row>
    <row r="584" spans="49:49" ht="15" customHeight="1">
      <c r="AW584" s="122">
        <v>298</v>
      </c>
    </row>
    <row r="585" spans="49:49" ht="15" customHeight="1">
      <c r="AW585" s="122">
        <v>299</v>
      </c>
    </row>
    <row r="586" spans="49:49" ht="15" customHeight="1">
      <c r="AW586" s="122">
        <v>300</v>
      </c>
    </row>
    <row r="587" spans="49:49" ht="15" customHeight="1">
      <c r="AW587" s="122">
        <v>301</v>
      </c>
    </row>
    <row r="588" spans="49:49" ht="15" customHeight="1">
      <c r="AW588" s="122">
        <v>302</v>
      </c>
    </row>
    <row r="589" spans="49:49" ht="15" customHeight="1">
      <c r="AW589" s="122">
        <v>303</v>
      </c>
    </row>
    <row r="590" spans="49:49" ht="15" customHeight="1">
      <c r="AW590" s="122">
        <v>304</v>
      </c>
    </row>
    <row r="591" spans="49:49" ht="15" customHeight="1">
      <c r="AW591" s="122">
        <v>305</v>
      </c>
    </row>
    <row r="592" spans="49:49" ht="15" customHeight="1">
      <c r="AW592" s="122">
        <v>306</v>
      </c>
    </row>
    <row r="593" spans="49:49" ht="15" customHeight="1">
      <c r="AW593" s="122">
        <v>307</v>
      </c>
    </row>
    <row r="594" spans="49:49" ht="15" customHeight="1">
      <c r="AW594" s="122">
        <v>308</v>
      </c>
    </row>
    <row r="595" spans="49:49" ht="15" customHeight="1">
      <c r="AW595" s="122">
        <v>309</v>
      </c>
    </row>
    <row r="596" spans="49:49" ht="15" customHeight="1">
      <c r="AW596" s="122">
        <v>310</v>
      </c>
    </row>
    <row r="597" spans="49:49" ht="15" customHeight="1">
      <c r="AW597" s="122">
        <v>311</v>
      </c>
    </row>
    <row r="598" spans="49:49" ht="15" customHeight="1">
      <c r="AW598" s="122">
        <v>312</v>
      </c>
    </row>
    <row r="599" spans="49:49" ht="15" customHeight="1">
      <c r="AW599" s="122">
        <v>313</v>
      </c>
    </row>
    <row r="600" spans="49:49" ht="15" customHeight="1">
      <c r="AW600" s="122">
        <v>314</v>
      </c>
    </row>
    <row r="601" spans="49:49" ht="15" customHeight="1">
      <c r="AW601" s="122">
        <v>315</v>
      </c>
    </row>
    <row r="602" spans="49:49" ht="15" customHeight="1">
      <c r="AW602" s="122">
        <v>316</v>
      </c>
    </row>
    <row r="603" spans="49:49" ht="15" customHeight="1">
      <c r="AW603" s="122">
        <v>317</v>
      </c>
    </row>
    <row r="604" spans="49:49" ht="15" customHeight="1">
      <c r="AW604" s="122">
        <v>318</v>
      </c>
    </row>
    <row r="605" spans="49:49" ht="15" customHeight="1">
      <c r="AW605" s="122">
        <v>319</v>
      </c>
    </row>
    <row r="606" spans="49:49" ht="15" customHeight="1">
      <c r="AW606" s="122">
        <v>320</v>
      </c>
    </row>
    <row r="607" spans="49:49" ht="15" customHeight="1">
      <c r="AW607" s="122">
        <v>321</v>
      </c>
    </row>
    <row r="608" spans="49:49" ht="15" customHeight="1">
      <c r="AW608" s="122">
        <v>322</v>
      </c>
    </row>
    <row r="609" spans="49:49" ht="15" customHeight="1">
      <c r="AW609" s="122">
        <v>323</v>
      </c>
    </row>
    <row r="610" spans="49:49" ht="15" customHeight="1">
      <c r="AW610" s="122">
        <v>324</v>
      </c>
    </row>
    <row r="611" spans="49:49" ht="15" customHeight="1">
      <c r="AW611" s="122">
        <v>325</v>
      </c>
    </row>
    <row r="612" spans="49:49" ht="15" customHeight="1">
      <c r="AW612" s="122">
        <v>326</v>
      </c>
    </row>
    <row r="613" spans="49:49" ht="15" customHeight="1">
      <c r="AW613" s="122">
        <v>327</v>
      </c>
    </row>
    <row r="614" spans="49:49" ht="15" customHeight="1">
      <c r="AW614" s="122">
        <v>328</v>
      </c>
    </row>
    <row r="615" spans="49:49" ht="15" customHeight="1">
      <c r="AW615" s="122">
        <v>329</v>
      </c>
    </row>
    <row r="616" spans="49:49" ht="15" customHeight="1">
      <c r="AW616" s="122">
        <v>330</v>
      </c>
    </row>
    <row r="617" spans="49:49" ht="15" customHeight="1">
      <c r="AW617" s="122">
        <v>331</v>
      </c>
    </row>
    <row r="618" spans="49:49" ht="15" customHeight="1">
      <c r="AW618" s="122">
        <v>332</v>
      </c>
    </row>
    <row r="619" spans="49:49" ht="15" customHeight="1">
      <c r="AW619" s="122">
        <v>333</v>
      </c>
    </row>
    <row r="620" spans="49:49" ht="15" customHeight="1">
      <c r="AW620" s="122">
        <v>334</v>
      </c>
    </row>
    <row r="621" spans="49:49" ht="15" customHeight="1">
      <c r="AW621" s="122">
        <v>335</v>
      </c>
    </row>
    <row r="622" spans="49:49" ht="15" customHeight="1">
      <c r="AW622" s="122">
        <v>336</v>
      </c>
    </row>
    <row r="623" spans="49:49" ht="15" customHeight="1">
      <c r="AW623" s="122">
        <v>337</v>
      </c>
    </row>
    <row r="624" spans="49:49" ht="15" customHeight="1">
      <c r="AW624" s="122">
        <v>338</v>
      </c>
    </row>
    <row r="625" spans="49:49" ht="15" customHeight="1">
      <c r="AW625" s="122">
        <v>339</v>
      </c>
    </row>
    <row r="626" spans="49:49" ht="15" customHeight="1">
      <c r="AW626" s="122">
        <v>340</v>
      </c>
    </row>
    <row r="627" spans="49:49" ht="15" customHeight="1">
      <c r="AW627" s="122">
        <v>341</v>
      </c>
    </row>
    <row r="628" spans="49:49" ht="15" customHeight="1">
      <c r="AW628" s="122">
        <v>342</v>
      </c>
    </row>
    <row r="629" spans="49:49" ht="15" customHeight="1">
      <c r="AW629" s="122">
        <v>343</v>
      </c>
    </row>
    <row r="630" spans="49:49" ht="15" customHeight="1">
      <c r="AW630" s="122">
        <v>344</v>
      </c>
    </row>
    <row r="631" spans="49:49" ht="15" customHeight="1">
      <c r="AW631" s="122">
        <v>345</v>
      </c>
    </row>
    <row r="632" spans="49:49" ht="15" customHeight="1">
      <c r="AW632" s="122">
        <v>346</v>
      </c>
    </row>
    <row r="633" spans="49:49" ht="15" customHeight="1">
      <c r="AW633" s="122">
        <v>347</v>
      </c>
    </row>
    <row r="634" spans="49:49" ht="15" customHeight="1">
      <c r="AW634" s="122">
        <v>348</v>
      </c>
    </row>
    <row r="635" spans="49:49" ht="15" customHeight="1">
      <c r="AW635" s="122">
        <v>349</v>
      </c>
    </row>
    <row r="636" spans="49:49" ht="15" customHeight="1">
      <c r="AW636" s="122">
        <v>350</v>
      </c>
    </row>
    <row r="637" spans="49:49" ht="15" customHeight="1">
      <c r="AW637" s="122">
        <v>351</v>
      </c>
    </row>
    <row r="638" spans="49:49" ht="15" customHeight="1">
      <c r="AW638" s="122">
        <v>352</v>
      </c>
    </row>
    <row r="639" spans="49:49" ht="15" customHeight="1">
      <c r="AW639" s="122">
        <v>353</v>
      </c>
    </row>
    <row r="640" spans="49:49" ht="15" customHeight="1">
      <c r="AW640" s="122">
        <v>354</v>
      </c>
    </row>
    <row r="641" spans="49:49" ht="15" customHeight="1">
      <c r="AW641" s="122">
        <v>355</v>
      </c>
    </row>
    <row r="642" spans="49:49" ht="15" customHeight="1">
      <c r="AW642" s="122">
        <v>356</v>
      </c>
    </row>
    <row r="643" spans="49:49" ht="15" customHeight="1">
      <c r="AW643" s="122">
        <v>357</v>
      </c>
    </row>
    <row r="644" spans="49:49" ht="15" customHeight="1">
      <c r="AW644" s="122">
        <v>358</v>
      </c>
    </row>
    <row r="645" spans="49:49" ht="15" customHeight="1">
      <c r="AW645" s="122">
        <v>359</v>
      </c>
    </row>
    <row r="646" spans="49:49" ht="15" customHeight="1">
      <c r="AW646" s="122">
        <v>360</v>
      </c>
    </row>
    <row r="647" spans="49:49" ht="15" customHeight="1">
      <c r="AW647" s="122">
        <v>361</v>
      </c>
    </row>
    <row r="648" spans="49:49" ht="15" customHeight="1">
      <c r="AW648" s="122">
        <v>362</v>
      </c>
    </row>
    <row r="649" spans="49:49" ht="15" customHeight="1">
      <c r="AW649" s="122">
        <v>363</v>
      </c>
    </row>
    <row r="650" spans="49:49" ht="15" customHeight="1">
      <c r="AW650" s="122">
        <v>364</v>
      </c>
    </row>
    <row r="651" spans="49:49" ht="15" customHeight="1">
      <c r="AW651" s="122">
        <v>365</v>
      </c>
    </row>
    <row r="652" spans="49:49" ht="15" customHeight="1">
      <c r="AW652" s="122">
        <v>366</v>
      </c>
    </row>
    <row r="653" spans="49:49" ht="15" customHeight="1">
      <c r="AW653" s="122">
        <v>367</v>
      </c>
    </row>
    <row r="654" spans="49:49" ht="15" customHeight="1">
      <c r="AW654" s="122">
        <v>368</v>
      </c>
    </row>
    <row r="655" spans="49:49" ht="15" customHeight="1">
      <c r="AW655" s="122">
        <v>369</v>
      </c>
    </row>
    <row r="656" spans="49:49" ht="15" customHeight="1">
      <c r="AW656" s="122">
        <v>370</v>
      </c>
    </row>
    <row r="657" spans="49:49" ht="15" customHeight="1">
      <c r="AW657" s="122">
        <v>371</v>
      </c>
    </row>
    <row r="658" spans="49:49" ht="15" customHeight="1">
      <c r="AW658" s="122">
        <v>372</v>
      </c>
    </row>
    <row r="659" spans="49:49" ht="15" customHeight="1">
      <c r="AW659" s="122">
        <v>373</v>
      </c>
    </row>
    <row r="660" spans="49:49" ht="15" customHeight="1">
      <c r="AW660" s="122">
        <v>374</v>
      </c>
    </row>
    <row r="661" spans="49:49" ht="15" customHeight="1">
      <c r="AW661" s="122">
        <v>375</v>
      </c>
    </row>
    <row r="662" spans="49:49" ht="15" customHeight="1">
      <c r="AW662" s="122">
        <v>376</v>
      </c>
    </row>
    <row r="663" spans="49:49" ht="15" customHeight="1">
      <c r="AW663" s="122">
        <v>377</v>
      </c>
    </row>
    <row r="664" spans="49:49" ht="15" customHeight="1">
      <c r="AW664" s="122">
        <v>378</v>
      </c>
    </row>
    <row r="665" spans="49:49" ht="15" customHeight="1">
      <c r="AW665" s="122">
        <v>379</v>
      </c>
    </row>
    <row r="666" spans="49:49" ht="15" customHeight="1">
      <c r="AW666" s="122">
        <v>380</v>
      </c>
    </row>
    <row r="667" spans="49:49" ht="15" customHeight="1">
      <c r="AW667" s="122">
        <v>381</v>
      </c>
    </row>
    <row r="668" spans="49:49" ht="15" customHeight="1">
      <c r="AW668" s="122">
        <v>382</v>
      </c>
    </row>
    <row r="669" spans="49:49" ht="15" customHeight="1">
      <c r="AW669" s="122">
        <v>383</v>
      </c>
    </row>
    <row r="670" spans="49:49" ht="15" customHeight="1">
      <c r="AW670" s="122">
        <v>384</v>
      </c>
    </row>
    <row r="671" spans="49:49" ht="15" customHeight="1">
      <c r="AW671" s="122">
        <v>385</v>
      </c>
    </row>
    <row r="672" spans="49:49" ht="15" customHeight="1">
      <c r="AW672" s="122">
        <v>386</v>
      </c>
    </row>
    <row r="673" spans="49:49" ht="15" customHeight="1">
      <c r="AW673" s="122">
        <v>387</v>
      </c>
    </row>
    <row r="674" spans="49:49" ht="15" customHeight="1">
      <c r="AW674" s="122">
        <v>388</v>
      </c>
    </row>
    <row r="675" spans="49:49" ht="15" customHeight="1">
      <c r="AW675" s="122">
        <v>389</v>
      </c>
    </row>
    <row r="676" spans="49:49" ht="15" customHeight="1">
      <c r="AW676" s="122">
        <v>390</v>
      </c>
    </row>
    <row r="677" spans="49:49" ht="15" customHeight="1">
      <c r="AW677" s="122">
        <v>391</v>
      </c>
    </row>
    <row r="678" spans="49:49" ht="15" customHeight="1">
      <c r="AW678" s="122">
        <v>392</v>
      </c>
    </row>
    <row r="679" spans="49:49" ht="15" customHeight="1">
      <c r="AW679" s="122">
        <v>393</v>
      </c>
    </row>
    <row r="680" spans="49:49" ht="15" customHeight="1">
      <c r="AW680" s="122">
        <v>394</v>
      </c>
    </row>
    <row r="681" spans="49:49" ht="15" customHeight="1">
      <c r="AW681" s="122">
        <v>395</v>
      </c>
    </row>
    <row r="682" spans="49:49" ht="15" customHeight="1">
      <c r="AW682" s="122">
        <v>396</v>
      </c>
    </row>
    <row r="683" spans="49:49" ht="15" customHeight="1">
      <c r="AW683" s="122">
        <v>397</v>
      </c>
    </row>
    <row r="684" spans="49:49" ht="15" customHeight="1">
      <c r="AW684" s="122">
        <v>398</v>
      </c>
    </row>
    <row r="685" spans="49:49" ht="15" customHeight="1">
      <c r="AW685" s="122">
        <v>399</v>
      </c>
    </row>
    <row r="686" spans="49:49" ht="15" customHeight="1">
      <c r="AW686" s="122">
        <v>400</v>
      </c>
    </row>
    <row r="687" spans="49:49" ht="15" customHeight="1">
      <c r="AW687" s="122">
        <v>401</v>
      </c>
    </row>
    <row r="688" spans="49:49" ht="15" customHeight="1">
      <c r="AW688" s="122">
        <v>402</v>
      </c>
    </row>
    <row r="689" spans="49:49" ht="15" customHeight="1">
      <c r="AW689" s="122">
        <v>403</v>
      </c>
    </row>
    <row r="690" spans="49:49" ht="15" customHeight="1">
      <c r="AW690" s="122">
        <v>404</v>
      </c>
    </row>
    <row r="691" spans="49:49" ht="15" customHeight="1">
      <c r="AW691" s="122">
        <v>405</v>
      </c>
    </row>
    <row r="692" spans="49:49" ht="15" customHeight="1">
      <c r="AW692" s="122">
        <v>406</v>
      </c>
    </row>
    <row r="693" spans="49:49" ht="15" customHeight="1">
      <c r="AW693" s="122">
        <v>407</v>
      </c>
    </row>
    <row r="694" spans="49:49" ht="15" customHeight="1">
      <c r="AW694" s="122">
        <v>408</v>
      </c>
    </row>
    <row r="695" spans="49:49" ht="15" customHeight="1">
      <c r="AW695" s="122">
        <v>409</v>
      </c>
    </row>
    <row r="696" spans="49:49" ht="15" customHeight="1">
      <c r="AW696" s="122">
        <v>410</v>
      </c>
    </row>
    <row r="697" spans="49:49" ht="15" customHeight="1">
      <c r="AW697" s="122">
        <v>411</v>
      </c>
    </row>
    <row r="698" spans="49:49" ht="15" customHeight="1">
      <c r="AW698" s="122">
        <v>412</v>
      </c>
    </row>
    <row r="699" spans="49:49" ht="15" customHeight="1">
      <c r="AW699" s="122">
        <v>413</v>
      </c>
    </row>
    <row r="700" spans="49:49" ht="15" customHeight="1">
      <c r="AW700" s="122">
        <v>414</v>
      </c>
    </row>
    <row r="701" spans="49:49" ht="15" customHeight="1">
      <c r="AW701" s="122">
        <v>415</v>
      </c>
    </row>
    <row r="702" spans="49:49" ht="15" customHeight="1">
      <c r="AW702" s="122">
        <v>416</v>
      </c>
    </row>
    <row r="703" spans="49:49" ht="15" customHeight="1">
      <c r="AW703" s="122">
        <v>417</v>
      </c>
    </row>
    <row r="704" spans="49:49" ht="15" customHeight="1">
      <c r="AW704" s="122">
        <v>418</v>
      </c>
    </row>
    <row r="705" spans="49:49" ht="15" customHeight="1">
      <c r="AW705" s="122">
        <v>419</v>
      </c>
    </row>
    <row r="706" spans="49:49" ht="15" customHeight="1">
      <c r="AW706" s="122">
        <v>420</v>
      </c>
    </row>
    <row r="707" spans="49:49" ht="15" customHeight="1">
      <c r="AW707" s="122">
        <v>421</v>
      </c>
    </row>
    <row r="708" spans="49:49" ht="15" customHeight="1">
      <c r="AW708" s="122">
        <v>422</v>
      </c>
    </row>
    <row r="709" spans="49:49" ht="15" customHeight="1">
      <c r="AW709" s="122">
        <v>423</v>
      </c>
    </row>
    <row r="710" spans="49:49" ht="15" customHeight="1">
      <c r="AW710" s="122">
        <v>424</v>
      </c>
    </row>
    <row r="711" spans="49:49" ht="15" customHeight="1">
      <c r="AW711" s="122">
        <v>425</v>
      </c>
    </row>
    <row r="712" spans="49:49" ht="15" customHeight="1">
      <c r="AW712" s="122">
        <v>426</v>
      </c>
    </row>
    <row r="713" spans="49:49" ht="15" customHeight="1">
      <c r="AW713" s="122">
        <v>427</v>
      </c>
    </row>
    <row r="714" spans="49:49" ht="15" customHeight="1">
      <c r="AW714" s="122">
        <v>428</v>
      </c>
    </row>
    <row r="715" spans="49:49" ht="15" customHeight="1">
      <c r="AW715" s="122">
        <v>429</v>
      </c>
    </row>
    <row r="716" spans="49:49" ht="15" customHeight="1">
      <c r="AW716" s="122">
        <v>430</v>
      </c>
    </row>
    <row r="717" spans="49:49" ht="15" customHeight="1">
      <c r="AW717" s="122">
        <v>431</v>
      </c>
    </row>
    <row r="718" spans="49:49" ht="15" customHeight="1">
      <c r="AW718" s="122">
        <v>432</v>
      </c>
    </row>
    <row r="719" spans="49:49" ht="15" customHeight="1">
      <c r="AW719" s="122">
        <v>433</v>
      </c>
    </row>
    <row r="720" spans="49:49" ht="15" customHeight="1">
      <c r="AW720" s="122">
        <v>434</v>
      </c>
    </row>
    <row r="721" spans="49:49" ht="15" customHeight="1">
      <c r="AW721" s="122">
        <v>435</v>
      </c>
    </row>
    <row r="722" spans="49:49" ht="15" customHeight="1">
      <c r="AW722" s="122">
        <v>436</v>
      </c>
    </row>
    <row r="723" spans="49:49" ht="15" customHeight="1">
      <c r="AW723" s="122">
        <v>437</v>
      </c>
    </row>
    <row r="724" spans="49:49" ht="15" customHeight="1">
      <c r="AW724" s="122">
        <v>438</v>
      </c>
    </row>
    <row r="725" spans="49:49" ht="15" customHeight="1">
      <c r="AW725" s="122">
        <v>439</v>
      </c>
    </row>
    <row r="726" spans="49:49" ht="15" customHeight="1">
      <c r="AW726" s="122">
        <v>440</v>
      </c>
    </row>
    <row r="727" spans="49:49" ht="15" customHeight="1">
      <c r="AW727" s="122">
        <v>441</v>
      </c>
    </row>
    <row r="728" spans="49:49" ht="15" customHeight="1">
      <c r="AW728" s="122">
        <v>442</v>
      </c>
    </row>
    <row r="729" spans="49:49" ht="15" customHeight="1">
      <c r="AW729" s="122">
        <v>443</v>
      </c>
    </row>
    <row r="730" spans="49:49" ht="15" customHeight="1">
      <c r="AW730" s="122">
        <v>444</v>
      </c>
    </row>
    <row r="731" spans="49:49" ht="15" customHeight="1">
      <c r="AW731" s="122">
        <v>445</v>
      </c>
    </row>
    <row r="732" spans="49:49" ht="15" customHeight="1">
      <c r="AW732" s="122">
        <v>446</v>
      </c>
    </row>
    <row r="733" spans="49:49" ht="15" customHeight="1">
      <c r="AW733" s="122">
        <v>447</v>
      </c>
    </row>
    <row r="734" spans="49:49" ht="15" customHeight="1">
      <c r="AW734" s="122">
        <v>448</v>
      </c>
    </row>
    <row r="735" spans="49:49" ht="15" customHeight="1">
      <c r="AW735" s="122">
        <v>449</v>
      </c>
    </row>
    <row r="736" spans="49:49" ht="15" customHeight="1">
      <c r="AW736" s="122">
        <v>450</v>
      </c>
    </row>
    <row r="737" spans="49:49" ht="15" customHeight="1">
      <c r="AW737" s="122">
        <v>451</v>
      </c>
    </row>
    <row r="738" spans="49:49" ht="15" customHeight="1">
      <c r="AW738" s="122">
        <v>452</v>
      </c>
    </row>
    <row r="739" spans="49:49" ht="15" customHeight="1">
      <c r="AW739" s="122">
        <v>453</v>
      </c>
    </row>
    <row r="740" spans="49:49" ht="15" customHeight="1">
      <c r="AW740" s="122">
        <v>454</v>
      </c>
    </row>
    <row r="741" spans="49:49" ht="15" customHeight="1">
      <c r="AW741" s="122">
        <v>455</v>
      </c>
    </row>
    <row r="742" spans="49:49" ht="15" customHeight="1">
      <c r="AW742" s="122">
        <v>456</v>
      </c>
    </row>
    <row r="743" spans="49:49" ht="15" customHeight="1">
      <c r="AW743" s="122">
        <v>457</v>
      </c>
    </row>
    <row r="744" spans="49:49" ht="15" customHeight="1">
      <c r="AW744" s="122">
        <v>458</v>
      </c>
    </row>
    <row r="745" spans="49:49" ht="15" customHeight="1">
      <c r="AW745" s="122">
        <v>459</v>
      </c>
    </row>
    <row r="746" spans="49:49" ht="15" customHeight="1">
      <c r="AW746" s="122">
        <v>460</v>
      </c>
    </row>
    <row r="747" spans="49:49" ht="15" customHeight="1">
      <c r="AW747" s="122">
        <v>461</v>
      </c>
    </row>
    <row r="748" spans="49:49" ht="15" customHeight="1">
      <c r="AW748" s="122">
        <v>462</v>
      </c>
    </row>
    <row r="749" spans="49:49" ht="15" customHeight="1">
      <c r="AW749" s="122">
        <v>463</v>
      </c>
    </row>
    <row r="750" spans="49:49" ht="15" customHeight="1">
      <c r="AW750" s="122">
        <v>464</v>
      </c>
    </row>
    <row r="751" spans="49:49" ht="15" customHeight="1">
      <c r="AW751" s="122">
        <v>465</v>
      </c>
    </row>
    <row r="752" spans="49:49" ht="15" customHeight="1">
      <c r="AW752" s="122">
        <v>466</v>
      </c>
    </row>
    <row r="753" spans="49:49" ht="15" customHeight="1">
      <c r="AW753" s="122">
        <v>467</v>
      </c>
    </row>
    <row r="754" spans="49:49" ht="15" customHeight="1">
      <c r="AW754" s="122">
        <v>468</v>
      </c>
    </row>
    <row r="755" spans="49:49" ht="15" customHeight="1">
      <c r="AW755" s="122">
        <v>469</v>
      </c>
    </row>
    <row r="756" spans="49:49" ht="15" customHeight="1">
      <c r="AW756" s="122">
        <v>470</v>
      </c>
    </row>
    <row r="757" spans="49:49" ht="15" customHeight="1">
      <c r="AW757" s="122">
        <v>471</v>
      </c>
    </row>
    <row r="758" spans="49:49" ht="15" customHeight="1">
      <c r="AW758" s="122">
        <v>472</v>
      </c>
    </row>
    <row r="759" spans="49:49" ht="15" customHeight="1">
      <c r="AW759" s="122">
        <v>473</v>
      </c>
    </row>
    <row r="760" spans="49:49" ht="15" customHeight="1">
      <c r="AW760" s="122">
        <v>474</v>
      </c>
    </row>
    <row r="761" spans="49:49" ht="15" customHeight="1">
      <c r="AW761" s="122">
        <v>475</v>
      </c>
    </row>
    <row r="762" spans="49:49" ht="15" customHeight="1">
      <c r="AW762" s="122">
        <v>476</v>
      </c>
    </row>
    <row r="763" spans="49:49" ht="15" customHeight="1">
      <c r="AW763" s="122">
        <v>477</v>
      </c>
    </row>
    <row r="764" spans="49:49" ht="15" customHeight="1">
      <c r="AW764" s="122">
        <v>478</v>
      </c>
    </row>
    <row r="765" spans="49:49" ht="15" customHeight="1">
      <c r="AW765" s="122">
        <v>479</v>
      </c>
    </row>
    <row r="766" spans="49:49" ht="15" customHeight="1">
      <c r="AW766" s="122">
        <v>480</v>
      </c>
    </row>
    <row r="767" spans="49:49" ht="15" customHeight="1">
      <c r="AW767" s="122">
        <v>481</v>
      </c>
    </row>
    <row r="768" spans="49:49" ht="15" customHeight="1">
      <c r="AW768" s="122">
        <v>482</v>
      </c>
    </row>
    <row r="769" spans="49:49" ht="15" customHeight="1">
      <c r="AW769" s="122">
        <v>483</v>
      </c>
    </row>
    <row r="770" spans="49:49" ht="15" customHeight="1">
      <c r="AW770" s="122">
        <v>484</v>
      </c>
    </row>
    <row r="771" spans="49:49" ht="15" customHeight="1">
      <c r="AW771" s="122">
        <v>485</v>
      </c>
    </row>
    <row r="772" spans="49:49" ht="15" customHeight="1">
      <c r="AW772" s="122">
        <v>486</v>
      </c>
    </row>
    <row r="773" spans="49:49" ht="15" customHeight="1">
      <c r="AW773" s="122">
        <v>487</v>
      </c>
    </row>
    <row r="774" spans="49:49" ht="15" customHeight="1">
      <c r="AW774" s="122">
        <v>488</v>
      </c>
    </row>
    <row r="775" spans="49:49" ht="15" customHeight="1">
      <c r="AW775" s="122">
        <v>489</v>
      </c>
    </row>
    <row r="776" spans="49:49" ht="15" customHeight="1">
      <c r="AW776" s="122">
        <v>490</v>
      </c>
    </row>
    <row r="777" spans="49:49" ht="15" customHeight="1">
      <c r="AW777" s="122">
        <v>491</v>
      </c>
    </row>
    <row r="778" spans="49:49" ht="15" customHeight="1">
      <c r="AW778" s="122">
        <v>492</v>
      </c>
    </row>
    <row r="779" spans="49:49" ht="15" customHeight="1">
      <c r="AW779" s="122">
        <v>493</v>
      </c>
    </row>
    <row r="780" spans="49:49" ht="15" customHeight="1">
      <c r="AW780" s="122">
        <v>494</v>
      </c>
    </row>
    <row r="781" spans="49:49" ht="15" customHeight="1">
      <c r="AW781" s="122">
        <v>495</v>
      </c>
    </row>
    <row r="782" spans="49:49" ht="15" customHeight="1">
      <c r="AW782" s="122">
        <v>496</v>
      </c>
    </row>
    <row r="783" spans="49:49" ht="15" customHeight="1">
      <c r="AW783" s="122">
        <v>497</v>
      </c>
    </row>
    <row r="784" spans="49:49" ht="15" customHeight="1">
      <c r="AW784" s="122">
        <v>498</v>
      </c>
    </row>
    <row r="785" spans="49:49" ht="15" customHeight="1">
      <c r="AW785" s="122">
        <v>499</v>
      </c>
    </row>
    <row r="786" spans="49:49" ht="15" customHeight="1">
      <c r="AW786" s="122">
        <v>500</v>
      </c>
    </row>
    <row r="787" spans="49:49" ht="15" customHeight="1">
      <c r="AW787" s="122">
        <v>501</v>
      </c>
    </row>
    <row r="788" spans="49:49" ht="15" customHeight="1">
      <c r="AW788" s="122">
        <v>502</v>
      </c>
    </row>
    <row r="789" spans="49:49" ht="15" customHeight="1">
      <c r="AW789" s="122">
        <v>503</v>
      </c>
    </row>
    <row r="790" spans="49:49" ht="15" customHeight="1">
      <c r="AW790" s="122">
        <v>504</v>
      </c>
    </row>
    <row r="791" spans="49:49" ht="15" customHeight="1">
      <c r="AW791" s="122">
        <v>505</v>
      </c>
    </row>
    <row r="792" spans="49:49" ht="15" customHeight="1">
      <c r="AW792" s="122">
        <v>506</v>
      </c>
    </row>
    <row r="793" spans="49:49" ht="15" customHeight="1">
      <c r="AW793" s="122">
        <v>507</v>
      </c>
    </row>
    <row r="794" spans="49:49" ht="15" customHeight="1">
      <c r="AW794" s="122">
        <v>508</v>
      </c>
    </row>
    <row r="795" spans="49:49" ht="15" customHeight="1">
      <c r="AW795" s="122">
        <v>509</v>
      </c>
    </row>
    <row r="796" spans="49:49" ht="15" customHeight="1">
      <c r="AW796" s="122">
        <v>510</v>
      </c>
    </row>
    <row r="797" spans="49:49" ht="15" customHeight="1">
      <c r="AW797" s="122">
        <v>511</v>
      </c>
    </row>
    <row r="798" spans="49:49" ht="15" customHeight="1">
      <c r="AW798" s="122">
        <v>512</v>
      </c>
    </row>
    <row r="799" spans="49:49" ht="15" customHeight="1">
      <c r="AW799" s="122">
        <v>513</v>
      </c>
    </row>
    <row r="800" spans="49:49" ht="15" customHeight="1">
      <c r="AW800" s="122">
        <v>514</v>
      </c>
    </row>
    <row r="801" spans="49:49" ht="15" customHeight="1">
      <c r="AW801" s="122">
        <v>515</v>
      </c>
    </row>
    <row r="802" spans="49:49" ht="15" customHeight="1">
      <c r="AW802" s="122">
        <v>516</v>
      </c>
    </row>
    <row r="803" spans="49:49" ht="15" customHeight="1">
      <c r="AW803" s="122">
        <v>517</v>
      </c>
    </row>
    <row r="804" spans="49:49" ht="15" customHeight="1">
      <c r="AW804" s="122">
        <v>518</v>
      </c>
    </row>
    <row r="805" spans="49:49" ht="15" customHeight="1">
      <c r="AW805" s="122">
        <v>519</v>
      </c>
    </row>
    <row r="806" spans="49:49" ht="15" customHeight="1">
      <c r="AW806" s="122">
        <v>520</v>
      </c>
    </row>
    <row r="807" spans="49:49" ht="15" customHeight="1">
      <c r="AW807" s="122">
        <v>521</v>
      </c>
    </row>
    <row r="808" spans="49:49" ht="15" customHeight="1">
      <c r="AW808" s="122">
        <v>522</v>
      </c>
    </row>
    <row r="809" spans="49:49" ht="15" customHeight="1">
      <c r="AW809" s="122">
        <v>523</v>
      </c>
    </row>
    <row r="810" spans="49:49" ht="15" customHeight="1">
      <c r="AW810" s="122">
        <v>524</v>
      </c>
    </row>
    <row r="811" spans="49:49" ht="15" customHeight="1">
      <c r="AW811" s="122">
        <v>525</v>
      </c>
    </row>
    <row r="812" spans="49:49" ht="15" customHeight="1">
      <c r="AW812" s="122">
        <v>526</v>
      </c>
    </row>
    <row r="813" spans="49:49" ht="15" customHeight="1">
      <c r="AW813" s="122">
        <v>527</v>
      </c>
    </row>
    <row r="814" spans="49:49" ht="15" customHeight="1">
      <c r="AW814" s="122">
        <v>528</v>
      </c>
    </row>
    <row r="815" spans="49:49" ht="15" customHeight="1">
      <c r="AW815" s="122">
        <v>529</v>
      </c>
    </row>
    <row r="816" spans="49:49" ht="15" customHeight="1">
      <c r="AW816" s="122">
        <v>530</v>
      </c>
    </row>
    <row r="817" spans="49:49" ht="15" customHeight="1">
      <c r="AW817" s="122">
        <v>531</v>
      </c>
    </row>
    <row r="818" spans="49:49" ht="15" customHeight="1">
      <c r="AW818" s="122">
        <v>532</v>
      </c>
    </row>
    <row r="819" spans="49:49" ht="15" customHeight="1">
      <c r="AW819" s="122">
        <v>533</v>
      </c>
    </row>
    <row r="820" spans="49:49" ht="15" customHeight="1">
      <c r="AW820" s="122">
        <v>534</v>
      </c>
    </row>
    <row r="821" spans="49:49" ht="15" customHeight="1">
      <c r="AW821" s="122">
        <v>535</v>
      </c>
    </row>
    <row r="822" spans="49:49" ht="15" customHeight="1">
      <c r="AW822" s="122">
        <v>536</v>
      </c>
    </row>
    <row r="823" spans="49:49" ht="15" customHeight="1">
      <c r="AW823" s="122">
        <v>537</v>
      </c>
    </row>
    <row r="824" spans="49:49" ht="15" customHeight="1">
      <c r="AW824" s="122">
        <v>538</v>
      </c>
    </row>
    <row r="825" spans="49:49" ht="15" customHeight="1">
      <c r="AW825" s="122">
        <v>539</v>
      </c>
    </row>
    <row r="826" spans="49:49" ht="15" customHeight="1">
      <c r="AW826" s="122">
        <v>540</v>
      </c>
    </row>
    <row r="827" spans="49:49" ht="15" customHeight="1">
      <c r="AW827" s="122">
        <v>541</v>
      </c>
    </row>
    <row r="828" spans="49:49" ht="15" customHeight="1">
      <c r="AW828" s="122">
        <v>542</v>
      </c>
    </row>
    <row r="829" spans="49:49" ht="15" customHeight="1">
      <c r="AW829" s="122">
        <v>543</v>
      </c>
    </row>
    <row r="830" spans="49:49" ht="15" customHeight="1">
      <c r="AW830" s="122">
        <v>544</v>
      </c>
    </row>
    <row r="831" spans="49:49" ht="15" customHeight="1">
      <c r="AW831" s="122">
        <v>545</v>
      </c>
    </row>
    <row r="832" spans="49:49" ht="15" customHeight="1">
      <c r="AW832" s="122">
        <v>546</v>
      </c>
    </row>
    <row r="833" spans="49:49" ht="15" customHeight="1">
      <c r="AW833" s="122">
        <v>547</v>
      </c>
    </row>
    <row r="834" spans="49:49" ht="15" customHeight="1">
      <c r="AW834" s="122">
        <v>548</v>
      </c>
    </row>
    <row r="835" spans="49:49" ht="15" customHeight="1">
      <c r="AW835" s="122">
        <v>549</v>
      </c>
    </row>
    <row r="836" spans="49:49" ht="15" customHeight="1">
      <c r="AW836" s="122">
        <v>550</v>
      </c>
    </row>
    <row r="837" spans="49:49" ht="15" customHeight="1">
      <c r="AW837" s="122">
        <v>551</v>
      </c>
    </row>
    <row r="838" spans="49:49" ht="15" customHeight="1">
      <c r="AW838" s="122">
        <v>552</v>
      </c>
    </row>
    <row r="839" spans="49:49" ht="15" customHeight="1">
      <c r="AW839" s="122">
        <v>553</v>
      </c>
    </row>
    <row r="840" spans="49:49" ht="15" customHeight="1">
      <c r="AW840" s="122">
        <v>554</v>
      </c>
    </row>
    <row r="841" spans="49:49" ht="15" customHeight="1">
      <c r="AW841" s="122">
        <v>555</v>
      </c>
    </row>
    <row r="842" spans="49:49" ht="15" customHeight="1">
      <c r="AW842" s="122">
        <v>556</v>
      </c>
    </row>
    <row r="843" spans="49:49" ht="15" customHeight="1">
      <c r="AW843" s="122">
        <v>557</v>
      </c>
    </row>
    <row r="844" spans="49:49" ht="15" customHeight="1">
      <c r="AW844" s="122">
        <v>558</v>
      </c>
    </row>
    <row r="845" spans="49:49" ht="15" customHeight="1">
      <c r="AW845" s="122">
        <v>559</v>
      </c>
    </row>
    <row r="846" spans="49:49" ht="15" customHeight="1">
      <c r="AW846" s="122">
        <v>560</v>
      </c>
    </row>
    <row r="847" spans="49:49" ht="15" customHeight="1">
      <c r="AW847" s="122">
        <v>561</v>
      </c>
    </row>
    <row r="848" spans="49:49" ht="15" customHeight="1">
      <c r="AW848" s="122">
        <v>562</v>
      </c>
    </row>
    <row r="849" spans="49:49" ht="15" customHeight="1">
      <c r="AW849" s="122">
        <v>563</v>
      </c>
    </row>
    <row r="850" spans="49:49" ht="15" customHeight="1">
      <c r="AW850" s="122">
        <v>564</v>
      </c>
    </row>
    <row r="851" spans="49:49" ht="15" customHeight="1">
      <c r="AW851" s="122">
        <v>565</v>
      </c>
    </row>
    <row r="852" spans="49:49" ht="15" customHeight="1">
      <c r="AW852" s="122">
        <v>566</v>
      </c>
    </row>
    <row r="853" spans="49:49" ht="15" customHeight="1">
      <c r="AW853" s="122">
        <v>567</v>
      </c>
    </row>
    <row r="854" spans="49:49" ht="15" customHeight="1">
      <c r="AW854" s="122">
        <v>568</v>
      </c>
    </row>
    <row r="855" spans="49:49" ht="15" customHeight="1">
      <c r="AW855" s="122">
        <v>569</v>
      </c>
    </row>
    <row r="856" spans="49:49" ht="15" customHeight="1">
      <c r="AW856" s="122">
        <v>570</v>
      </c>
    </row>
    <row r="857" spans="49:49" ht="15" customHeight="1">
      <c r="AW857" s="122">
        <v>571</v>
      </c>
    </row>
    <row r="858" spans="49:49" ht="15" customHeight="1">
      <c r="AW858" s="122">
        <v>572</v>
      </c>
    </row>
    <row r="859" spans="49:49" ht="15" customHeight="1">
      <c r="AW859" s="122">
        <v>573</v>
      </c>
    </row>
    <row r="860" spans="49:49" ht="15" customHeight="1">
      <c r="AW860" s="122">
        <v>574</v>
      </c>
    </row>
    <row r="861" spans="49:49" ht="15" customHeight="1">
      <c r="AW861" s="122">
        <v>575</v>
      </c>
    </row>
    <row r="862" spans="49:49" ht="15" customHeight="1">
      <c r="AW862" s="122">
        <v>576</v>
      </c>
    </row>
    <row r="863" spans="49:49" ht="15" customHeight="1">
      <c r="AW863" s="122">
        <v>577</v>
      </c>
    </row>
    <row r="864" spans="49:49" ht="15" customHeight="1">
      <c r="AW864" s="122">
        <v>578</v>
      </c>
    </row>
    <row r="865" spans="49:49" ht="15" customHeight="1">
      <c r="AW865" s="122">
        <v>579</v>
      </c>
    </row>
    <row r="866" spans="49:49" ht="15" customHeight="1">
      <c r="AW866" s="122">
        <v>580</v>
      </c>
    </row>
    <row r="867" spans="49:49" ht="15" customHeight="1">
      <c r="AW867" s="122">
        <v>581</v>
      </c>
    </row>
    <row r="868" spans="49:49" ht="15" customHeight="1">
      <c r="AW868" s="122">
        <v>582</v>
      </c>
    </row>
    <row r="869" spans="49:49" ht="15" customHeight="1">
      <c r="AW869" s="122">
        <v>583</v>
      </c>
    </row>
    <row r="870" spans="49:49" ht="15" customHeight="1">
      <c r="AW870" s="122">
        <v>584</v>
      </c>
    </row>
    <row r="871" spans="49:49" ht="15" customHeight="1">
      <c r="AW871" s="122">
        <v>585</v>
      </c>
    </row>
    <row r="872" spans="49:49" ht="15" customHeight="1">
      <c r="AW872" s="122">
        <v>586</v>
      </c>
    </row>
    <row r="873" spans="49:49" ht="15" customHeight="1">
      <c r="AW873" s="122">
        <v>587</v>
      </c>
    </row>
    <row r="874" spans="49:49" ht="15" customHeight="1">
      <c r="AW874" s="122">
        <v>588</v>
      </c>
    </row>
    <row r="875" spans="49:49" ht="15" customHeight="1">
      <c r="AW875" s="122">
        <v>589</v>
      </c>
    </row>
    <row r="876" spans="49:49" ht="15" customHeight="1">
      <c r="AW876" s="122">
        <v>590</v>
      </c>
    </row>
    <row r="877" spans="49:49" ht="15" customHeight="1">
      <c r="AW877" s="122">
        <v>591</v>
      </c>
    </row>
    <row r="878" spans="49:49" ht="15" customHeight="1">
      <c r="AW878" s="122">
        <v>592</v>
      </c>
    </row>
    <row r="879" spans="49:49" ht="15" customHeight="1">
      <c r="AW879" s="122">
        <v>593</v>
      </c>
    </row>
    <row r="880" spans="49:49" ht="15" customHeight="1">
      <c r="AW880" s="122">
        <v>594</v>
      </c>
    </row>
    <row r="881" spans="49:49" ht="15" customHeight="1">
      <c r="AW881" s="122">
        <v>595</v>
      </c>
    </row>
    <row r="882" spans="49:49" ht="15" customHeight="1">
      <c r="AW882" s="122">
        <v>596</v>
      </c>
    </row>
    <row r="883" spans="49:49" ht="15" customHeight="1">
      <c r="AW883" s="122">
        <v>597</v>
      </c>
    </row>
    <row r="884" spans="49:49" ht="15" customHeight="1">
      <c r="AW884" s="122">
        <v>598</v>
      </c>
    </row>
    <row r="885" spans="49:49" ht="15" customHeight="1">
      <c r="AW885" s="122">
        <v>599</v>
      </c>
    </row>
    <row r="886" spans="49:49" ht="15" customHeight="1">
      <c r="AW886" s="122">
        <v>600</v>
      </c>
    </row>
    <row r="887" spans="49:49" ht="15" customHeight="1">
      <c r="AW887" s="122">
        <v>601</v>
      </c>
    </row>
    <row r="888" spans="49:49" ht="15" customHeight="1">
      <c r="AW888" s="122">
        <v>602</v>
      </c>
    </row>
    <row r="889" spans="49:49" ht="15" customHeight="1">
      <c r="AW889" s="122">
        <v>603</v>
      </c>
    </row>
    <row r="890" spans="49:49" ht="15" customHeight="1">
      <c r="AW890" s="122">
        <v>604</v>
      </c>
    </row>
    <row r="891" spans="49:49" ht="15" customHeight="1">
      <c r="AW891" s="122">
        <v>605</v>
      </c>
    </row>
    <row r="892" spans="49:49" ht="15" customHeight="1">
      <c r="AW892" s="122">
        <v>606</v>
      </c>
    </row>
    <row r="893" spans="49:49" ht="15" customHeight="1">
      <c r="AW893" s="122">
        <v>607</v>
      </c>
    </row>
    <row r="894" spans="49:49" ht="15" customHeight="1">
      <c r="AW894" s="122">
        <v>608</v>
      </c>
    </row>
    <row r="895" spans="49:49" ht="15" customHeight="1">
      <c r="AW895" s="122">
        <v>609</v>
      </c>
    </row>
    <row r="896" spans="49:49" ht="15" customHeight="1">
      <c r="AW896" s="122">
        <v>610</v>
      </c>
    </row>
    <row r="897" spans="49:49" ht="15" customHeight="1">
      <c r="AW897" s="122">
        <v>611</v>
      </c>
    </row>
    <row r="898" spans="49:49" ht="15" customHeight="1">
      <c r="AW898" s="122">
        <v>612</v>
      </c>
    </row>
    <row r="899" spans="49:49" ht="15" customHeight="1">
      <c r="AW899" s="122">
        <v>613</v>
      </c>
    </row>
    <row r="900" spans="49:49" ht="15" customHeight="1">
      <c r="AW900" s="122">
        <v>614</v>
      </c>
    </row>
    <row r="901" spans="49:49" ht="15" customHeight="1">
      <c r="AW901" s="122">
        <v>615</v>
      </c>
    </row>
    <row r="902" spans="49:49" ht="15" customHeight="1">
      <c r="AW902" s="122">
        <v>616</v>
      </c>
    </row>
    <row r="903" spans="49:49" ht="15" customHeight="1">
      <c r="AW903" s="122">
        <v>617</v>
      </c>
    </row>
    <row r="904" spans="49:49" ht="15" customHeight="1">
      <c r="AW904" s="122">
        <v>618</v>
      </c>
    </row>
    <row r="905" spans="49:49" ht="15" customHeight="1">
      <c r="AW905" s="122">
        <v>619</v>
      </c>
    </row>
    <row r="906" spans="49:49" ht="15" customHeight="1">
      <c r="AW906" s="122">
        <v>620</v>
      </c>
    </row>
    <row r="907" spans="49:49" ht="15" customHeight="1">
      <c r="AW907" s="122">
        <v>621</v>
      </c>
    </row>
    <row r="908" spans="49:49" ht="15" customHeight="1">
      <c r="AW908" s="122">
        <v>622</v>
      </c>
    </row>
    <row r="909" spans="49:49" ht="15" customHeight="1">
      <c r="AW909" s="122">
        <v>623</v>
      </c>
    </row>
    <row r="910" spans="49:49" ht="15" customHeight="1">
      <c r="AW910" s="122">
        <v>624</v>
      </c>
    </row>
    <row r="911" spans="49:49" ht="15" customHeight="1">
      <c r="AW911" s="122">
        <v>625</v>
      </c>
    </row>
    <row r="912" spans="49:49" ht="15" customHeight="1">
      <c r="AW912" s="122">
        <v>626</v>
      </c>
    </row>
    <row r="913" spans="49:49" ht="15" customHeight="1">
      <c r="AW913" s="122">
        <v>627</v>
      </c>
    </row>
    <row r="914" spans="49:49" ht="15" customHeight="1">
      <c r="AW914" s="122">
        <v>628</v>
      </c>
    </row>
    <row r="915" spans="49:49" ht="15" customHeight="1">
      <c r="AW915" s="122">
        <v>629</v>
      </c>
    </row>
    <row r="916" spans="49:49" ht="15" customHeight="1">
      <c r="AW916" s="122">
        <v>630</v>
      </c>
    </row>
    <row r="917" spans="49:49" ht="15" customHeight="1">
      <c r="AW917" s="122">
        <v>631</v>
      </c>
    </row>
    <row r="918" spans="49:49" ht="15" customHeight="1">
      <c r="AW918" s="122">
        <v>632</v>
      </c>
    </row>
    <row r="919" spans="49:49" ht="15" customHeight="1">
      <c r="AW919" s="122">
        <v>633</v>
      </c>
    </row>
    <row r="920" spans="49:49" ht="15" customHeight="1">
      <c r="AW920" s="122">
        <v>634</v>
      </c>
    </row>
    <row r="921" spans="49:49" ht="15" customHeight="1">
      <c r="AW921" s="122">
        <v>635</v>
      </c>
    </row>
    <row r="922" spans="49:49" ht="15" customHeight="1">
      <c r="AW922" s="122">
        <v>636</v>
      </c>
    </row>
    <row r="923" spans="49:49" ht="15" customHeight="1">
      <c r="AW923" s="122">
        <v>637</v>
      </c>
    </row>
    <row r="924" spans="49:49" ht="15" customHeight="1">
      <c r="AW924" s="122">
        <v>638</v>
      </c>
    </row>
    <row r="925" spans="49:49" ht="15" customHeight="1">
      <c r="AW925" s="122">
        <v>639</v>
      </c>
    </row>
    <row r="926" spans="49:49" ht="15" customHeight="1">
      <c r="AW926" s="122">
        <v>640</v>
      </c>
    </row>
    <row r="927" spans="49:49" ht="15" customHeight="1">
      <c r="AW927" s="122">
        <v>641</v>
      </c>
    </row>
    <row r="928" spans="49:49" ht="15" customHeight="1">
      <c r="AW928" s="122">
        <v>642</v>
      </c>
    </row>
    <row r="929" spans="49:49" ht="15" customHeight="1">
      <c r="AW929" s="122">
        <v>643</v>
      </c>
    </row>
    <row r="930" spans="49:49" ht="15" customHeight="1">
      <c r="AW930" s="122">
        <v>644</v>
      </c>
    </row>
    <row r="931" spans="49:49" ht="15" customHeight="1">
      <c r="AW931" s="122">
        <v>645</v>
      </c>
    </row>
    <row r="932" spans="49:49" ht="15" customHeight="1">
      <c r="AW932" s="122">
        <v>646</v>
      </c>
    </row>
    <row r="933" spans="49:49" ht="15" customHeight="1">
      <c r="AW933" s="122">
        <v>647</v>
      </c>
    </row>
    <row r="934" spans="49:49" ht="15" customHeight="1">
      <c r="AW934" s="122">
        <v>648</v>
      </c>
    </row>
    <row r="935" spans="49:49" ht="15" customHeight="1">
      <c r="AW935" s="122">
        <v>649</v>
      </c>
    </row>
    <row r="936" spans="49:49" ht="15" customHeight="1">
      <c r="AW936" s="122">
        <v>650</v>
      </c>
    </row>
    <row r="937" spans="49:49" ht="15" customHeight="1">
      <c r="AW937" s="122">
        <v>651</v>
      </c>
    </row>
    <row r="938" spans="49:49" ht="15" customHeight="1">
      <c r="AW938" s="122">
        <v>652</v>
      </c>
    </row>
    <row r="939" spans="49:49" ht="15" customHeight="1">
      <c r="AW939" s="122">
        <v>653</v>
      </c>
    </row>
    <row r="940" spans="49:49" ht="15" customHeight="1">
      <c r="AW940" s="122">
        <v>654</v>
      </c>
    </row>
    <row r="941" spans="49:49" ht="15" customHeight="1">
      <c r="AW941" s="122">
        <v>655</v>
      </c>
    </row>
    <row r="942" spans="49:49" ht="15" customHeight="1">
      <c r="AW942" s="122">
        <v>656</v>
      </c>
    </row>
    <row r="943" spans="49:49" ht="15" customHeight="1">
      <c r="AW943" s="122">
        <v>657</v>
      </c>
    </row>
    <row r="944" spans="49:49" ht="15" customHeight="1">
      <c r="AW944" s="122">
        <v>658</v>
      </c>
    </row>
    <row r="945" spans="49:49" ht="15" customHeight="1">
      <c r="AW945" s="122">
        <v>659</v>
      </c>
    </row>
    <row r="946" spans="49:49" ht="15" customHeight="1">
      <c r="AW946" s="122">
        <v>660</v>
      </c>
    </row>
    <row r="947" spans="49:49" ht="15" customHeight="1">
      <c r="AW947" s="122">
        <v>661</v>
      </c>
    </row>
    <row r="948" spans="49:49" ht="15" customHeight="1">
      <c r="AW948" s="122">
        <v>662</v>
      </c>
    </row>
    <row r="949" spans="49:49" ht="15" customHeight="1">
      <c r="AW949" s="122">
        <v>663</v>
      </c>
    </row>
    <row r="950" spans="49:49" ht="15" customHeight="1">
      <c r="AW950" s="122">
        <v>664</v>
      </c>
    </row>
    <row r="951" spans="49:49" ht="15" customHeight="1">
      <c r="AW951" s="122">
        <v>665</v>
      </c>
    </row>
    <row r="952" spans="49:49" ht="15" customHeight="1">
      <c r="AW952" s="122">
        <v>666</v>
      </c>
    </row>
    <row r="953" spans="49:49" ht="15" customHeight="1">
      <c r="AW953" s="122">
        <v>667</v>
      </c>
    </row>
    <row r="954" spans="49:49" ht="15" customHeight="1">
      <c r="AW954" s="122">
        <v>668</v>
      </c>
    </row>
    <row r="955" spans="49:49" ht="15" customHeight="1">
      <c r="AW955" s="122">
        <v>669</v>
      </c>
    </row>
    <row r="956" spans="49:49" ht="15" customHeight="1">
      <c r="AW956" s="122">
        <v>670</v>
      </c>
    </row>
    <row r="957" spans="49:49" ht="15" customHeight="1">
      <c r="AW957" s="122">
        <v>671</v>
      </c>
    </row>
    <row r="958" spans="49:49" ht="15" customHeight="1">
      <c r="AW958" s="122">
        <v>672</v>
      </c>
    </row>
    <row r="959" spans="49:49" ht="15" customHeight="1">
      <c r="AW959" s="122">
        <v>673</v>
      </c>
    </row>
    <row r="960" spans="49:49" ht="15" customHeight="1">
      <c r="AW960" s="122">
        <v>674</v>
      </c>
    </row>
    <row r="961" spans="49:49" ht="15" customHeight="1">
      <c r="AW961" s="122">
        <v>675</v>
      </c>
    </row>
    <row r="962" spans="49:49" ht="15" customHeight="1">
      <c r="AW962" s="122">
        <v>676</v>
      </c>
    </row>
    <row r="963" spans="49:49" ht="15" customHeight="1">
      <c r="AW963" s="122">
        <v>677</v>
      </c>
    </row>
    <row r="964" spans="49:49" ht="15" customHeight="1">
      <c r="AW964" s="122">
        <v>678</v>
      </c>
    </row>
    <row r="965" spans="49:49" ht="15" customHeight="1">
      <c r="AW965" s="122">
        <v>679</v>
      </c>
    </row>
    <row r="966" spans="49:49" ht="15" customHeight="1">
      <c r="AW966" s="122">
        <v>680</v>
      </c>
    </row>
    <row r="967" spans="49:49" ht="15" customHeight="1">
      <c r="AW967" s="122">
        <v>681</v>
      </c>
    </row>
    <row r="968" spans="49:49" ht="15" customHeight="1">
      <c r="AW968" s="122">
        <v>682</v>
      </c>
    </row>
    <row r="969" spans="49:49" ht="15" customHeight="1">
      <c r="AW969" s="122">
        <v>683</v>
      </c>
    </row>
    <row r="970" spans="49:49" ht="15" customHeight="1">
      <c r="AW970" s="122">
        <v>684</v>
      </c>
    </row>
    <row r="971" spans="49:49" ht="15" customHeight="1">
      <c r="AW971" s="122">
        <v>685</v>
      </c>
    </row>
    <row r="972" spans="49:49" ht="15" customHeight="1">
      <c r="AW972" s="122">
        <v>686</v>
      </c>
    </row>
    <row r="973" spans="49:49" ht="15" customHeight="1">
      <c r="AW973" s="122">
        <v>687</v>
      </c>
    </row>
    <row r="974" spans="49:49" ht="15" customHeight="1">
      <c r="AW974" s="122">
        <v>688</v>
      </c>
    </row>
    <row r="975" spans="49:49" ht="15" customHeight="1">
      <c r="AW975" s="122">
        <v>689</v>
      </c>
    </row>
    <row r="976" spans="49:49" ht="15" customHeight="1">
      <c r="AW976" s="122">
        <v>690</v>
      </c>
    </row>
    <row r="977" spans="49:49" ht="15" customHeight="1">
      <c r="AW977" s="122">
        <v>691</v>
      </c>
    </row>
    <row r="978" spans="49:49" ht="15" customHeight="1">
      <c r="AW978" s="122">
        <v>692</v>
      </c>
    </row>
    <row r="979" spans="49:49" ht="15" customHeight="1">
      <c r="AW979" s="122">
        <v>693</v>
      </c>
    </row>
    <row r="980" spans="49:49" ht="15" customHeight="1">
      <c r="AW980" s="122">
        <v>694</v>
      </c>
    </row>
    <row r="981" spans="49:49" ht="15" customHeight="1">
      <c r="AW981" s="122">
        <v>695</v>
      </c>
    </row>
    <row r="982" spans="49:49" ht="15" customHeight="1">
      <c r="AW982" s="122">
        <v>696</v>
      </c>
    </row>
    <row r="983" spans="49:49" ht="15" customHeight="1">
      <c r="AW983" s="122">
        <v>697</v>
      </c>
    </row>
    <row r="984" spans="49:49" ht="15" customHeight="1">
      <c r="AW984" s="122">
        <v>698</v>
      </c>
    </row>
    <row r="985" spans="49:49" ht="15" customHeight="1">
      <c r="AW985" s="122">
        <v>699</v>
      </c>
    </row>
    <row r="986" spans="49:49" ht="15" customHeight="1">
      <c r="AW986" s="122">
        <v>700</v>
      </c>
    </row>
    <row r="987" spans="49:49" ht="15" customHeight="1">
      <c r="AW987" s="122">
        <v>701</v>
      </c>
    </row>
    <row r="988" spans="49:49" ht="15" customHeight="1">
      <c r="AW988" s="122">
        <v>702</v>
      </c>
    </row>
    <row r="989" spans="49:49" ht="15" customHeight="1">
      <c r="AW989" s="122">
        <v>703</v>
      </c>
    </row>
    <row r="990" spans="49:49" ht="15" customHeight="1">
      <c r="AW990" s="122">
        <v>704</v>
      </c>
    </row>
    <row r="991" spans="49:49" ht="15" customHeight="1">
      <c r="AW991" s="122">
        <v>705</v>
      </c>
    </row>
    <row r="992" spans="49:49" ht="15" customHeight="1">
      <c r="AW992" s="122">
        <v>706</v>
      </c>
    </row>
    <row r="993" spans="49:49" ht="15" customHeight="1">
      <c r="AW993" s="122">
        <v>707</v>
      </c>
    </row>
    <row r="994" spans="49:49" ht="15" customHeight="1">
      <c r="AW994" s="122">
        <v>708</v>
      </c>
    </row>
    <row r="995" spans="49:49" ht="15" customHeight="1">
      <c r="AW995" s="122">
        <v>709</v>
      </c>
    </row>
    <row r="996" spans="49:49" ht="15" customHeight="1">
      <c r="AW996" s="122">
        <v>710</v>
      </c>
    </row>
    <row r="997" spans="49:49" ht="15" customHeight="1">
      <c r="AW997" s="122">
        <v>711</v>
      </c>
    </row>
    <row r="998" spans="49:49" ht="15" customHeight="1">
      <c r="AW998" s="122">
        <v>712</v>
      </c>
    </row>
    <row r="999" spans="49:49" ht="15" customHeight="1">
      <c r="AW999" s="122">
        <v>713</v>
      </c>
    </row>
    <row r="1000" spans="49:49" ht="15" customHeight="1">
      <c r="AW1000" s="122">
        <v>714</v>
      </c>
    </row>
    <row r="1001" spans="49:49" ht="15" customHeight="1">
      <c r="AW1001" s="122">
        <v>715</v>
      </c>
    </row>
    <row r="1002" spans="49:49" ht="15" customHeight="1">
      <c r="AW1002" s="122">
        <v>716</v>
      </c>
    </row>
    <row r="1003" spans="49:49" ht="15" customHeight="1">
      <c r="AW1003" s="122">
        <v>717</v>
      </c>
    </row>
    <row r="1004" spans="49:49" ht="15" customHeight="1">
      <c r="AW1004" s="122">
        <v>718</v>
      </c>
    </row>
    <row r="1005" spans="49:49" ht="15" customHeight="1">
      <c r="AW1005" s="122">
        <v>719</v>
      </c>
    </row>
    <row r="1006" spans="49:49" ht="15" customHeight="1">
      <c r="AW1006" s="122">
        <v>720</v>
      </c>
    </row>
    <row r="1007" spans="49:49" ht="15" customHeight="1">
      <c r="AW1007" s="122">
        <v>721</v>
      </c>
    </row>
    <row r="1008" spans="49:49" ht="15" customHeight="1">
      <c r="AW1008" s="122">
        <v>722</v>
      </c>
    </row>
    <row r="1009" spans="49:49" ht="15" customHeight="1">
      <c r="AW1009" s="122">
        <v>723</v>
      </c>
    </row>
    <row r="1010" spans="49:49" ht="15" customHeight="1">
      <c r="AW1010" s="122">
        <v>724</v>
      </c>
    </row>
    <row r="1011" spans="49:49" ht="15" customHeight="1">
      <c r="AW1011" s="122">
        <v>725</v>
      </c>
    </row>
    <row r="1012" spans="49:49" ht="15" customHeight="1">
      <c r="AW1012" s="122">
        <v>726</v>
      </c>
    </row>
    <row r="1013" spans="49:49" ht="15" customHeight="1">
      <c r="AW1013" s="122">
        <v>727</v>
      </c>
    </row>
    <row r="1014" spans="49:49" ht="15" customHeight="1">
      <c r="AW1014" s="122">
        <v>728</v>
      </c>
    </row>
    <row r="1015" spans="49:49" ht="15" customHeight="1">
      <c r="AW1015" s="122">
        <v>729</v>
      </c>
    </row>
    <row r="1016" spans="49:49" ht="15" customHeight="1">
      <c r="AW1016" s="122">
        <v>730</v>
      </c>
    </row>
    <row r="1017" spans="49:49" ht="15" customHeight="1">
      <c r="AW1017" s="122">
        <v>731</v>
      </c>
    </row>
    <row r="1018" spans="49:49" ht="15" customHeight="1">
      <c r="AW1018" s="122">
        <v>732</v>
      </c>
    </row>
    <row r="1019" spans="49:49" ht="15" customHeight="1">
      <c r="AW1019" s="122">
        <v>733</v>
      </c>
    </row>
    <row r="1020" spans="49:49" ht="15" customHeight="1">
      <c r="AW1020" s="122">
        <v>734</v>
      </c>
    </row>
    <row r="1021" spans="49:49" ht="15" customHeight="1">
      <c r="AW1021" s="122">
        <v>735</v>
      </c>
    </row>
    <row r="1022" spans="49:49" ht="15" customHeight="1">
      <c r="AW1022" s="122">
        <v>736</v>
      </c>
    </row>
    <row r="1023" spans="49:49" ht="15" customHeight="1">
      <c r="AW1023" s="122">
        <v>737</v>
      </c>
    </row>
    <row r="1024" spans="49:49" ht="15" customHeight="1">
      <c r="AW1024" s="122">
        <v>738</v>
      </c>
    </row>
    <row r="1025" spans="49:49" ht="15" customHeight="1">
      <c r="AW1025" s="122">
        <v>739</v>
      </c>
    </row>
    <row r="1026" spans="49:49" ht="15" customHeight="1">
      <c r="AW1026" s="122">
        <v>740</v>
      </c>
    </row>
    <row r="1027" spans="49:49" ht="15" customHeight="1">
      <c r="AW1027" s="122">
        <v>741</v>
      </c>
    </row>
    <row r="1028" spans="49:49" ht="15" customHeight="1">
      <c r="AW1028" s="122">
        <v>742</v>
      </c>
    </row>
    <row r="1029" spans="49:49" ht="15" customHeight="1">
      <c r="AW1029" s="122">
        <v>743</v>
      </c>
    </row>
    <row r="1030" spans="49:49" ht="15" customHeight="1">
      <c r="AW1030" s="122">
        <v>744</v>
      </c>
    </row>
    <row r="1031" spans="49:49" ht="15" customHeight="1">
      <c r="AW1031" s="122">
        <v>745</v>
      </c>
    </row>
    <row r="1032" spans="49:49" ht="15" customHeight="1">
      <c r="AW1032" s="122">
        <v>746</v>
      </c>
    </row>
    <row r="1033" spans="49:49" ht="15" customHeight="1">
      <c r="AW1033" s="122">
        <v>747</v>
      </c>
    </row>
    <row r="1034" spans="49:49" ht="15" customHeight="1">
      <c r="AW1034" s="122">
        <v>748</v>
      </c>
    </row>
    <row r="1035" spans="49:49" ht="15" customHeight="1">
      <c r="AW1035" s="122">
        <v>749</v>
      </c>
    </row>
    <row r="1036" spans="49:49" ht="15" customHeight="1">
      <c r="AW1036" s="122">
        <v>750</v>
      </c>
    </row>
    <row r="1037" spans="49:49" ht="15" customHeight="1">
      <c r="AW1037" s="122">
        <v>751</v>
      </c>
    </row>
    <row r="1038" spans="49:49" ht="15" customHeight="1">
      <c r="AW1038" s="122">
        <v>752</v>
      </c>
    </row>
    <row r="1039" spans="49:49" ht="15" customHeight="1">
      <c r="AW1039" s="122">
        <v>753</v>
      </c>
    </row>
    <row r="1040" spans="49:49" ht="15" customHeight="1">
      <c r="AW1040" s="122">
        <v>754</v>
      </c>
    </row>
    <row r="1041" spans="49:49" ht="15" customHeight="1">
      <c r="AW1041" s="122">
        <v>755</v>
      </c>
    </row>
    <row r="1042" spans="49:49" ht="15" customHeight="1">
      <c r="AW1042" s="122">
        <v>756</v>
      </c>
    </row>
    <row r="1043" spans="49:49" ht="15" customHeight="1">
      <c r="AW1043" s="122">
        <v>757</v>
      </c>
    </row>
    <row r="1044" spans="49:49" ht="15" customHeight="1">
      <c r="AW1044" s="122">
        <v>758</v>
      </c>
    </row>
    <row r="1045" spans="49:49" ht="15" customHeight="1">
      <c r="AW1045" s="122">
        <v>759</v>
      </c>
    </row>
    <row r="1046" spans="49:49" ht="15" customHeight="1">
      <c r="AW1046" s="122">
        <v>760</v>
      </c>
    </row>
    <row r="1047" spans="49:49" ht="15" customHeight="1">
      <c r="AW1047" s="122">
        <v>761</v>
      </c>
    </row>
    <row r="1048" spans="49:49" ht="15" customHeight="1">
      <c r="AW1048" s="122">
        <v>762</v>
      </c>
    </row>
    <row r="1049" spans="49:49" ht="15" customHeight="1">
      <c r="AW1049" s="122">
        <v>763</v>
      </c>
    </row>
    <row r="1050" spans="49:49" ht="15" customHeight="1">
      <c r="AW1050" s="122">
        <v>764</v>
      </c>
    </row>
    <row r="1051" spans="49:49" ht="15" customHeight="1">
      <c r="AW1051" s="122">
        <v>765</v>
      </c>
    </row>
    <row r="1052" spans="49:49" ht="15" customHeight="1">
      <c r="AW1052" s="122">
        <v>766</v>
      </c>
    </row>
    <row r="1053" spans="49:49" ht="15" customHeight="1">
      <c r="AW1053" s="122">
        <v>767</v>
      </c>
    </row>
    <row r="1054" spans="49:49" ht="15" customHeight="1">
      <c r="AW1054" s="122">
        <v>768</v>
      </c>
    </row>
    <row r="1055" spans="49:49" ht="15" customHeight="1">
      <c r="AW1055" s="122">
        <v>769</v>
      </c>
    </row>
    <row r="1056" spans="49:49" ht="15" customHeight="1">
      <c r="AW1056" s="122">
        <v>770</v>
      </c>
    </row>
    <row r="1057" spans="49:49" ht="15" customHeight="1">
      <c r="AW1057" s="122">
        <v>771</v>
      </c>
    </row>
    <row r="1058" spans="49:49" ht="15" customHeight="1">
      <c r="AW1058" s="122">
        <v>772</v>
      </c>
    </row>
    <row r="1059" spans="49:49" ht="15" customHeight="1">
      <c r="AW1059" s="122">
        <v>773</v>
      </c>
    </row>
    <row r="1060" spans="49:49" ht="15" customHeight="1">
      <c r="AW1060" s="122">
        <v>774</v>
      </c>
    </row>
    <row r="1061" spans="49:49" ht="15" customHeight="1">
      <c r="AW1061" s="122">
        <v>775</v>
      </c>
    </row>
    <row r="1062" spans="49:49" ht="15" customHeight="1">
      <c r="AW1062" s="122">
        <v>776</v>
      </c>
    </row>
    <row r="1063" spans="49:49" ht="15" customHeight="1">
      <c r="AW1063" s="122">
        <v>777</v>
      </c>
    </row>
    <row r="1064" spans="49:49" ht="15" customHeight="1">
      <c r="AW1064" s="122">
        <v>778</v>
      </c>
    </row>
    <row r="1065" spans="49:49" ht="15" customHeight="1">
      <c r="AW1065" s="122">
        <v>779</v>
      </c>
    </row>
    <row r="1066" spans="49:49" ht="15" customHeight="1">
      <c r="AW1066" s="122">
        <v>780</v>
      </c>
    </row>
    <row r="1067" spans="49:49" ht="15" customHeight="1">
      <c r="AW1067" s="122">
        <v>781</v>
      </c>
    </row>
    <row r="1068" spans="49:49" ht="15" customHeight="1">
      <c r="AW1068" s="122">
        <v>782</v>
      </c>
    </row>
    <row r="1069" spans="49:49" ht="15" customHeight="1">
      <c r="AW1069" s="122">
        <v>783</v>
      </c>
    </row>
    <row r="1070" spans="49:49" ht="15" customHeight="1">
      <c r="AW1070" s="122">
        <v>784</v>
      </c>
    </row>
    <row r="1071" spans="49:49" ht="15" customHeight="1">
      <c r="AW1071" s="122">
        <v>785</v>
      </c>
    </row>
    <row r="1072" spans="49:49" ht="15" customHeight="1">
      <c r="AW1072" s="122">
        <v>786</v>
      </c>
    </row>
    <row r="1073" spans="49:49" ht="15" customHeight="1">
      <c r="AW1073" s="122">
        <v>787</v>
      </c>
    </row>
    <row r="1074" spans="49:49" ht="15" customHeight="1">
      <c r="AW1074" s="122">
        <v>788</v>
      </c>
    </row>
    <row r="1075" spans="49:49" ht="15" customHeight="1">
      <c r="AW1075" s="122">
        <v>789</v>
      </c>
    </row>
    <row r="1076" spans="49:49" ht="15" customHeight="1">
      <c r="AW1076" s="122">
        <v>790</v>
      </c>
    </row>
    <row r="1077" spans="49:49" ht="15" customHeight="1">
      <c r="AW1077" s="122">
        <v>791</v>
      </c>
    </row>
    <row r="1078" spans="49:49" ht="15" customHeight="1">
      <c r="AW1078" s="122">
        <v>792</v>
      </c>
    </row>
    <row r="1079" spans="49:49" ht="15" customHeight="1">
      <c r="AW1079" s="122">
        <v>793</v>
      </c>
    </row>
    <row r="1080" spans="49:49" ht="15" customHeight="1">
      <c r="AW1080" s="122">
        <v>794</v>
      </c>
    </row>
    <row r="1081" spans="49:49" ht="15" customHeight="1">
      <c r="AW1081" s="122">
        <v>795</v>
      </c>
    </row>
    <row r="1082" spans="49:49" ht="15" customHeight="1">
      <c r="AW1082" s="122">
        <v>796</v>
      </c>
    </row>
    <row r="1083" spans="49:49" ht="15" customHeight="1">
      <c r="AW1083" s="122">
        <v>797</v>
      </c>
    </row>
    <row r="1084" spans="49:49" ht="15" customHeight="1">
      <c r="AW1084" s="122">
        <v>798</v>
      </c>
    </row>
    <row r="1085" spans="49:49" ht="15" customHeight="1">
      <c r="AW1085" s="122">
        <v>799</v>
      </c>
    </row>
    <row r="1086" spans="49:49" ht="15" customHeight="1">
      <c r="AW1086" s="122">
        <v>800</v>
      </c>
    </row>
    <row r="1087" spans="49:49" ht="15" customHeight="1">
      <c r="AW1087" s="122">
        <v>801</v>
      </c>
    </row>
    <row r="1088" spans="49:49" ht="15" customHeight="1">
      <c r="AW1088" s="122">
        <v>802</v>
      </c>
    </row>
    <row r="1089" spans="49:49" ht="15" customHeight="1">
      <c r="AW1089" s="122">
        <v>803</v>
      </c>
    </row>
    <row r="1090" spans="49:49" ht="15" customHeight="1">
      <c r="AW1090" s="122">
        <v>804</v>
      </c>
    </row>
    <row r="1091" spans="49:49" ht="15" customHeight="1">
      <c r="AW1091" s="122">
        <v>805</v>
      </c>
    </row>
    <row r="1092" spans="49:49" ht="15" customHeight="1">
      <c r="AW1092" s="122">
        <v>806</v>
      </c>
    </row>
    <row r="1093" spans="49:49" ht="15" customHeight="1">
      <c r="AW1093" s="122">
        <v>807</v>
      </c>
    </row>
    <row r="1094" spans="49:49" ht="15" customHeight="1">
      <c r="AW1094" s="122">
        <v>808</v>
      </c>
    </row>
    <row r="1095" spans="49:49" ht="15" customHeight="1">
      <c r="AW1095" s="122">
        <v>809</v>
      </c>
    </row>
    <row r="1096" spans="49:49" ht="15" customHeight="1">
      <c r="AW1096" s="122">
        <v>810</v>
      </c>
    </row>
    <row r="1097" spans="49:49" ht="15" customHeight="1">
      <c r="AW1097" s="122">
        <v>811</v>
      </c>
    </row>
    <row r="1098" spans="49:49" ht="15" customHeight="1">
      <c r="AW1098" s="122">
        <v>812</v>
      </c>
    </row>
    <row r="1099" spans="49:49" ht="15" customHeight="1">
      <c r="AW1099" s="122">
        <v>813</v>
      </c>
    </row>
    <row r="1100" spans="49:49" ht="15" customHeight="1">
      <c r="AW1100" s="122">
        <v>814</v>
      </c>
    </row>
    <row r="1101" spans="49:49" ht="15" customHeight="1">
      <c r="AW1101" s="122">
        <v>815</v>
      </c>
    </row>
    <row r="1102" spans="49:49" ht="15" customHeight="1">
      <c r="AW1102" s="122">
        <v>816</v>
      </c>
    </row>
    <row r="1103" spans="49:49" ht="15" customHeight="1">
      <c r="AW1103" s="122">
        <v>817</v>
      </c>
    </row>
    <row r="1104" spans="49:49" ht="15" customHeight="1">
      <c r="AW1104" s="122">
        <v>818</v>
      </c>
    </row>
    <row r="1105" spans="49:49" ht="15" customHeight="1">
      <c r="AW1105" s="122">
        <v>819</v>
      </c>
    </row>
    <row r="1106" spans="49:49" ht="15" customHeight="1">
      <c r="AW1106" s="122">
        <v>820</v>
      </c>
    </row>
    <row r="1107" spans="49:49" ht="15" customHeight="1">
      <c r="AW1107" s="122">
        <v>821</v>
      </c>
    </row>
    <row r="1108" spans="49:49" ht="15" customHeight="1">
      <c r="AW1108" s="122">
        <v>822</v>
      </c>
    </row>
    <row r="1109" spans="49:49" ht="15" customHeight="1">
      <c r="AW1109" s="122">
        <v>823</v>
      </c>
    </row>
    <row r="1110" spans="49:49" ht="15" customHeight="1">
      <c r="AW1110" s="122">
        <v>824</v>
      </c>
    </row>
    <row r="1111" spans="49:49" ht="15" customHeight="1">
      <c r="AW1111" s="122">
        <v>825</v>
      </c>
    </row>
    <row r="1112" spans="49:49" ht="15" customHeight="1">
      <c r="AW1112" s="122">
        <v>826</v>
      </c>
    </row>
    <row r="1113" spans="49:49" ht="15" customHeight="1">
      <c r="AW1113" s="122">
        <v>827</v>
      </c>
    </row>
    <row r="1114" spans="49:49" ht="15" customHeight="1">
      <c r="AW1114" s="122">
        <v>828</v>
      </c>
    </row>
    <row r="1115" spans="49:49" ht="15" customHeight="1">
      <c r="AW1115" s="122">
        <v>829</v>
      </c>
    </row>
    <row r="1116" spans="49:49" ht="15" customHeight="1">
      <c r="AW1116" s="122">
        <v>830</v>
      </c>
    </row>
    <row r="1117" spans="49:49" ht="15" customHeight="1">
      <c r="AW1117" s="122">
        <v>831</v>
      </c>
    </row>
    <row r="1118" spans="49:49" ht="15" customHeight="1">
      <c r="AW1118" s="122">
        <v>832</v>
      </c>
    </row>
    <row r="1119" spans="49:49" ht="15" customHeight="1">
      <c r="AW1119" s="122">
        <v>833</v>
      </c>
    </row>
    <row r="1120" spans="49:49" ht="15" customHeight="1">
      <c r="AW1120" s="122">
        <v>834</v>
      </c>
    </row>
    <row r="1121" spans="49:49" ht="15" customHeight="1">
      <c r="AW1121" s="122">
        <v>835</v>
      </c>
    </row>
    <row r="1122" spans="49:49" ht="15" customHeight="1">
      <c r="AW1122" s="122">
        <v>836</v>
      </c>
    </row>
    <row r="1123" spans="49:49" ht="15" customHeight="1">
      <c r="AW1123" s="122">
        <v>837</v>
      </c>
    </row>
    <row r="1124" spans="49:49" ht="15" customHeight="1">
      <c r="AW1124" s="122">
        <v>838</v>
      </c>
    </row>
    <row r="1125" spans="49:49" ht="15" customHeight="1">
      <c r="AW1125" s="122">
        <v>839</v>
      </c>
    </row>
    <row r="1126" spans="49:49" ht="15" customHeight="1">
      <c r="AW1126" s="122">
        <v>840</v>
      </c>
    </row>
    <row r="1127" spans="49:49" ht="15" customHeight="1">
      <c r="AW1127" s="122">
        <v>841</v>
      </c>
    </row>
    <row r="1128" spans="49:49" ht="15" customHeight="1">
      <c r="AW1128" s="122">
        <v>842</v>
      </c>
    </row>
    <row r="1129" spans="49:49" ht="15" customHeight="1">
      <c r="AW1129" s="122">
        <v>843</v>
      </c>
    </row>
    <row r="1130" spans="49:49" ht="15" customHeight="1">
      <c r="AW1130" s="122">
        <v>844</v>
      </c>
    </row>
    <row r="1131" spans="49:49" ht="15" customHeight="1">
      <c r="AW1131" s="122">
        <v>845</v>
      </c>
    </row>
    <row r="1132" spans="49:49" ht="15" customHeight="1">
      <c r="AW1132" s="122">
        <v>846</v>
      </c>
    </row>
    <row r="1133" spans="49:49" ht="15" customHeight="1">
      <c r="AW1133" s="122">
        <v>847</v>
      </c>
    </row>
    <row r="1134" spans="49:49" ht="15" customHeight="1">
      <c r="AW1134" s="122">
        <v>848</v>
      </c>
    </row>
    <row r="1135" spans="49:49" ht="15" customHeight="1">
      <c r="AW1135" s="122">
        <v>849</v>
      </c>
    </row>
    <row r="1136" spans="49:49" ht="15" customHeight="1">
      <c r="AW1136" s="122">
        <v>850</v>
      </c>
    </row>
    <row r="1137" spans="49:49" ht="15" customHeight="1">
      <c r="AW1137" s="122">
        <v>851</v>
      </c>
    </row>
    <row r="1138" spans="49:49" ht="15" customHeight="1">
      <c r="AW1138" s="122">
        <v>852</v>
      </c>
    </row>
    <row r="1139" spans="49:49" ht="15" customHeight="1">
      <c r="AW1139" s="122">
        <v>853</v>
      </c>
    </row>
    <row r="1140" spans="49:49" ht="15" customHeight="1">
      <c r="AW1140" s="122">
        <v>854</v>
      </c>
    </row>
    <row r="1141" spans="49:49" ht="15" customHeight="1">
      <c r="AW1141" s="122">
        <v>855</v>
      </c>
    </row>
    <row r="1142" spans="49:49" ht="15" customHeight="1">
      <c r="AW1142" s="122">
        <v>856</v>
      </c>
    </row>
    <row r="1143" spans="49:49" ht="15" customHeight="1">
      <c r="AW1143" s="122">
        <v>857</v>
      </c>
    </row>
    <row r="1144" spans="49:49" ht="15" customHeight="1">
      <c r="AW1144" s="122">
        <v>858</v>
      </c>
    </row>
    <row r="1145" spans="49:49" ht="15" customHeight="1">
      <c r="AW1145" s="122">
        <v>859</v>
      </c>
    </row>
    <row r="1146" spans="49:49" ht="15" customHeight="1">
      <c r="AW1146" s="122">
        <v>860</v>
      </c>
    </row>
    <row r="1147" spans="49:49" ht="15" customHeight="1">
      <c r="AW1147" s="122">
        <v>861</v>
      </c>
    </row>
    <row r="1148" spans="49:49" ht="15" customHeight="1">
      <c r="AW1148" s="122">
        <v>862</v>
      </c>
    </row>
    <row r="1149" spans="49:49" ht="15" customHeight="1">
      <c r="AW1149" s="122">
        <v>863</v>
      </c>
    </row>
    <row r="1150" spans="49:49" ht="15" customHeight="1">
      <c r="AW1150" s="122">
        <v>864</v>
      </c>
    </row>
    <row r="1151" spans="49:49" ht="15" customHeight="1">
      <c r="AW1151" s="122">
        <v>865</v>
      </c>
    </row>
    <row r="1152" spans="49:49" ht="15" customHeight="1">
      <c r="AW1152" s="122">
        <v>866</v>
      </c>
    </row>
    <row r="1153" spans="49:49" ht="15" customHeight="1">
      <c r="AW1153" s="122">
        <v>867</v>
      </c>
    </row>
    <row r="1154" spans="49:49" ht="15" customHeight="1">
      <c r="AW1154" s="122">
        <v>868</v>
      </c>
    </row>
    <row r="1155" spans="49:49" ht="15" customHeight="1">
      <c r="AW1155" s="122">
        <v>869</v>
      </c>
    </row>
    <row r="1156" spans="49:49" ht="15" customHeight="1">
      <c r="AW1156" s="122">
        <v>870</v>
      </c>
    </row>
    <row r="1157" spans="49:49" ht="15" customHeight="1">
      <c r="AW1157" s="122">
        <v>871</v>
      </c>
    </row>
    <row r="1158" spans="49:49" ht="15" customHeight="1">
      <c r="AW1158" s="122">
        <v>872</v>
      </c>
    </row>
    <row r="1159" spans="49:49" ht="15" customHeight="1">
      <c r="AW1159" s="122">
        <v>873</v>
      </c>
    </row>
    <row r="1160" spans="49:49" ht="15" customHeight="1">
      <c r="AW1160" s="122">
        <v>874</v>
      </c>
    </row>
    <row r="1161" spans="49:49" ht="15" customHeight="1">
      <c r="AW1161" s="122">
        <v>875</v>
      </c>
    </row>
    <row r="1162" spans="49:49" ht="15" customHeight="1">
      <c r="AW1162" s="122">
        <v>876</v>
      </c>
    </row>
    <row r="1163" spans="49:49" ht="15" customHeight="1">
      <c r="AW1163" s="122">
        <v>877</v>
      </c>
    </row>
    <row r="1164" spans="49:49" ht="15" customHeight="1">
      <c r="AW1164" s="122">
        <v>878</v>
      </c>
    </row>
    <row r="1165" spans="49:49" ht="15" customHeight="1">
      <c r="AW1165" s="122">
        <v>879</v>
      </c>
    </row>
    <row r="1166" spans="49:49" ht="15" customHeight="1">
      <c r="AW1166" s="122">
        <v>880</v>
      </c>
    </row>
    <row r="1167" spans="49:49" ht="15" customHeight="1">
      <c r="AW1167" s="122">
        <v>881</v>
      </c>
    </row>
    <row r="1168" spans="49:49" ht="15" customHeight="1">
      <c r="AW1168" s="122">
        <v>882</v>
      </c>
    </row>
    <row r="1169" spans="49:49" ht="15" customHeight="1">
      <c r="AW1169" s="122">
        <v>883</v>
      </c>
    </row>
    <row r="1170" spans="49:49" ht="15" customHeight="1">
      <c r="AW1170" s="122">
        <v>884</v>
      </c>
    </row>
    <row r="1171" spans="49:49" ht="15" customHeight="1">
      <c r="AW1171" s="122">
        <v>885</v>
      </c>
    </row>
    <row r="1172" spans="49:49" ht="15" customHeight="1">
      <c r="AW1172" s="122">
        <v>886</v>
      </c>
    </row>
    <row r="1173" spans="49:49" ht="15" customHeight="1">
      <c r="AW1173" s="122">
        <v>887</v>
      </c>
    </row>
    <row r="1174" spans="49:49" ht="15" customHeight="1">
      <c r="AW1174" s="122">
        <v>888</v>
      </c>
    </row>
    <row r="1175" spans="49:49" ht="15" customHeight="1">
      <c r="AW1175" s="122">
        <v>889</v>
      </c>
    </row>
    <row r="1176" spans="49:49" ht="15" customHeight="1">
      <c r="AW1176" s="122">
        <v>890</v>
      </c>
    </row>
    <row r="1177" spans="49:49" ht="15" customHeight="1">
      <c r="AW1177" s="122">
        <v>891</v>
      </c>
    </row>
    <row r="1178" spans="49:49" ht="15" customHeight="1">
      <c r="AW1178" s="122">
        <v>892</v>
      </c>
    </row>
    <row r="1179" spans="49:49" ht="15" customHeight="1">
      <c r="AW1179" s="122">
        <v>893</v>
      </c>
    </row>
    <row r="1180" spans="49:49" ht="15" customHeight="1">
      <c r="AW1180" s="122">
        <v>894</v>
      </c>
    </row>
    <row r="1181" spans="49:49" ht="15" customHeight="1">
      <c r="AW1181" s="122">
        <v>895</v>
      </c>
    </row>
    <row r="1182" spans="49:49" ht="15" customHeight="1">
      <c r="AW1182" s="122">
        <v>896</v>
      </c>
    </row>
    <row r="1183" spans="49:49" ht="15" customHeight="1">
      <c r="AW1183" s="122">
        <v>897</v>
      </c>
    </row>
    <row r="1184" spans="49:49" ht="15" customHeight="1">
      <c r="AW1184" s="122">
        <v>898</v>
      </c>
    </row>
    <row r="1185" spans="49:49" ht="15" customHeight="1">
      <c r="AW1185" s="122">
        <v>899</v>
      </c>
    </row>
    <row r="1186" spans="49:49" ht="15" customHeight="1">
      <c r="AW1186" s="122">
        <v>900</v>
      </c>
    </row>
    <row r="1187" spans="49:49" ht="15" customHeight="1">
      <c r="AW1187" s="122">
        <v>901</v>
      </c>
    </row>
    <row r="1188" spans="49:49" ht="15" customHeight="1">
      <c r="AW1188" s="122">
        <v>902</v>
      </c>
    </row>
    <row r="1189" spans="49:49" ht="15" customHeight="1">
      <c r="AW1189" s="122">
        <v>903</v>
      </c>
    </row>
    <row r="1190" spans="49:49" ht="15" customHeight="1">
      <c r="AW1190" s="122">
        <v>904</v>
      </c>
    </row>
    <row r="1191" spans="49:49" ht="15" customHeight="1">
      <c r="AW1191" s="122">
        <v>905</v>
      </c>
    </row>
    <row r="1192" spans="49:49" ht="15" customHeight="1">
      <c r="AW1192" s="122">
        <v>906</v>
      </c>
    </row>
    <row r="1193" spans="49:49" ht="15" customHeight="1">
      <c r="AW1193" s="122">
        <v>907</v>
      </c>
    </row>
    <row r="1194" spans="49:49" ht="15" customHeight="1">
      <c r="AW1194" s="122">
        <v>908</v>
      </c>
    </row>
    <row r="1195" spans="49:49" ht="15" customHeight="1">
      <c r="AW1195" s="122">
        <v>909</v>
      </c>
    </row>
    <row r="1196" spans="49:49" ht="15" customHeight="1">
      <c r="AW1196" s="122">
        <v>910</v>
      </c>
    </row>
    <row r="1197" spans="49:49" ht="15" customHeight="1">
      <c r="AW1197" s="122">
        <v>911</v>
      </c>
    </row>
    <row r="1198" spans="49:49" ht="15" customHeight="1">
      <c r="AW1198" s="122">
        <v>912</v>
      </c>
    </row>
    <row r="1199" spans="49:49" ht="15" customHeight="1">
      <c r="AW1199" s="122">
        <v>913</v>
      </c>
    </row>
    <row r="1200" spans="49:49" ht="15" customHeight="1">
      <c r="AW1200" s="122">
        <v>914</v>
      </c>
    </row>
    <row r="1201" spans="49:49" ht="15" customHeight="1">
      <c r="AW1201" s="122">
        <v>915</v>
      </c>
    </row>
    <row r="1202" spans="49:49" ht="15" customHeight="1">
      <c r="AW1202" s="122">
        <v>916</v>
      </c>
    </row>
    <row r="1203" spans="49:49" ht="15" customHeight="1">
      <c r="AW1203" s="122">
        <v>917</v>
      </c>
    </row>
    <row r="1204" spans="49:49" ht="15" customHeight="1">
      <c r="AW1204" s="122">
        <v>918</v>
      </c>
    </row>
    <row r="1205" spans="49:49" ht="15" customHeight="1">
      <c r="AW1205" s="122">
        <v>919</v>
      </c>
    </row>
    <row r="1206" spans="49:49" ht="15" customHeight="1">
      <c r="AW1206" s="122">
        <v>920</v>
      </c>
    </row>
    <row r="1207" spans="49:49" ht="15" customHeight="1">
      <c r="AW1207" s="122">
        <v>921</v>
      </c>
    </row>
    <row r="1208" spans="49:49" ht="15" customHeight="1">
      <c r="AW1208" s="122">
        <v>922</v>
      </c>
    </row>
    <row r="1209" spans="49:49" ht="15" customHeight="1">
      <c r="AW1209" s="122">
        <v>923</v>
      </c>
    </row>
    <row r="1210" spans="49:49" ht="15" customHeight="1">
      <c r="AW1210" s="122">
        <v>924</v>
      </c>
    </row>
    <row r="1211" spans="49:49" ht="15" customHeight="1">
      <c r="AW1211" s="122">
        <v>925</v>
      </c>
    </row>
    <row r="1212" spans="49:49" ht="15" customHeight="1">
      <c r="AW1212" s="122">
        <v>926</v>
      </c>
    </row>
    <row r="1213" spans="49:49" ht="15" customHeight="1">
      <c r="AW1213" s="122">
        <v>927</v>
      </c>
    </row>
    <row r="1214" spans="49:49" ht="15" customHeight="1">
      <c r="AW1214" s="122">
        <v>928</v>
      </c>
    </row>
    <row r="1215" spans="49:49" ht="15" customHeight="1">
      <c r="AW1215" s="122">
        <v>929</v>
      </c>
    </row>
    <row r="1216" spans="49:49" ht="15" customHeight="1">
      <c r="AW1216" s="122">
        <v>930</v>
      </c>
    </row>
    <row r="1217" spans="49:49" ht="15" customHeight="1">
      <c r="AW1217" s="122">
        <v>931</v>
      </c>
    </row>
    <row r="1218" spans="49:49" ht="15" customHeight="1">
      <c r="AW1218" s="122">
        <v>932</v>
      </c>
    </row>
    <row r="1219" spans="49:49" ht="15" customHeight="1">
      <c r="AW1219" s="122">
        <v>933</v>
      </c>
    </row>
    <row r="1220" spans="49:49" ht="15" customHeight="1">
      <c r="AW1220" s="122">
        <v>934</v>
      </c>
    </row>
    <row r="1221" spans="49:49" ht="15" customHeight="1">
      <c r="AW1221" s="122">
        <v>935</v>
      </c>
    </row>
    <row r="1222" spans="49:49" ht="15" customHeight="1">
      <c r="AW1222" s="122">
        <v>936</v>
      </c>
    </row>
    <row r="1223" spans="49:49" ht="15" customHeight="1">
      <c r="AW1223" s="122">
        <v>937</v>
      </c>
    </row>
    <row r="1224" spans="49:49" ht="15" customHeight="1">
      <c r="AW1224" s="122">
        <v>938</v>
      </c>
    </row>
    <row r="1225" spans="49:49" ht="15" customHeight="1">
      <c r="AW1225" s="122">
        <v>939</v>
      </c>
    </row>
    <row r="1226" spans="49:49" ht="15" customHeight="1">
      <c r="AW1226" s="122">
        <v>940</v>
      </c>
    </row>
    <row r="1227" spans="49:49" ht="15" customHeight="1">
      <c r="AW1227" s="122">
        <v>941</v>
      </c>
    </row>
    <row r="1228" spans="49:49" ht="15" customHeight="1">
      <c r="AW1228" s="122">
        <v>942</v>
      </c>
    </row>
    <row r="1229" spans="49:49" ht="15" customHeight="1">
      <c r="AW1229" s="122">
        <v>943</v>
      </c>
    </row>
    <row r="1230" spans="49:49" ht="15" customHeight="1">
      <c r="AW1230" s="122">
        <v>944</v>
      </c>
    </row>
    <row r="1231" spans="49:49" ht="15" customHeight="1">
      <c r="AW1231" s="122">
        <v>945</v>
      </c>
    </row>
    <row r="1232" spans="49:49" ht="15" customHeight="1">
      <c r="AW1232" s="122">
        <v>946</v>
      </c>
    </row>
    <row r="1233" spans="49:49" ht="15" customHeight="1">
      <c r="AW1233" s="122">
        <v>947</v>
      </c>
    </row>
    <row r="1234" spans="49:49" ht="15" customHeight="1">
      <c r="AW1234" s="122">
        <v>948</v>
      </c>
    </row>
    <row r="1235" spans="49:49" ht="15" customHeight="1">
      <c r="AW1235" s="122">
        <v>949</v>
      </c>
    </row>
    <row r="1236" spans="49:49" ht="15" customHeight="1">
      <c r="AW1236" s="122">
        <v>950</v>
      </c>
    </row>
    <row r="1237" spans="49:49" ht="15" customHeight="1">
      <c r="AW1237" s="122">
        <v>951</v>
      </c>
    </row>
    <row r="1238" spans="49:49" ht="15" customHeight="1">
      <c r="AW1238" s="122">
        <v>952</v>
      </c>
    </row>
    <row r="1239" spans="49:49" ht="15" customHeight="1">
      <c r="AW1239" s="122">
        <v>953</v>
      </c>
    </row>
    <row r="1240" spans="49:49" ht="15" customHeight="1">
      <c r="AW1240" s="122">
        <v>954</v>
      </c>
    </row>
    <row r="1241" spans="49:49" ht="15" customHeight="1">
      <c r="AW1241" s="122">
        <v>955</v>
      </c>
    </row>
    <row r="1242" spans="49:49" ht="15" customHeight="1">
      <c r="AW1242" s="122">
        <v>956</v>
      </c>
    </row>
    <row r="1243" spans="49:49" ht="15" customHeight="1">
      <c r="AW1243" s="122">
        <v>957</v>
      </c>
    </row>
    <row r="1244" spans="49:49" ht="15" customHeight="1">
      <c r="AW1244" s="122">
        <v>958</v>
      </c>
    </row>
    <row r="1245" spans="49:49" ht="15" customHeight="1">
      <c r="AW1245" s="122">
        <v>959</v>
      </c>
    </row>
    <row r="1246" spans="49:49" ht="15" customHeight="1">
      <c r="AW1246" s="122">
        <v>960</v>
      </c>
    </row>
    <row r="1247" spans="49:49" ht="15" customHeight="1">
      <c r="AW1247" s="122">
        <v>961</v>
      </c>
    </row>
    <row r="1248" spans="49:49" ht="15" customHeight="1">
      <c r="AW1248" s="122">
        <v>962</v>
      </c>
    </row>
    <row r="1249" spans="49:49" ht="15" customHeight="1">
      <c r="AW1249" s="122">
        <v>963</v>
      </c>
    </row>
    <row r="1250" spans="49:49" ht="15" customHeight="1">
      <c r="AW1250" s="122">
        <v>964</v>
      </c>
    </row>
    <row r="1251" spans="49:49" ht="15" customHeight="1">
      <c r="AW1251" s="122">
        <v>965</v>
      </c>
    </row>
    <row r="1252" spans="49:49" ht="15" customHeight="1">
      <c r="AW1252" s="122">
        <v>966</v>
      </c>
    </row>
    <row r="1253" spans="49:49" ht="15" customHeight="1">
      <c r="AW1253" s="122">
        <v>967</v>
      </c>
    </row>
    <row r="1254" spans="49:49" ht="15" customHeight="1">
      <c r="AW1254" s="122">
        <v>968</v>
      </c>
    </row>
    <row r="1255" spans="49:49" ht="15" customHeight="1">
      <c r="AW1255" s="122">
        <v>969</v>
      </c>
    </row>
    <row r="1256" spans="49:49" ht="15" customHeight="1">
      <c r="AW1256" s="122">
        <v>970</v>
      </c>
    </row>
    <row r="1257" spans="49:49" ht="15" customHeight="1">
      <c r="AW1257" s="122">
        <v>971</v>
      </c>
    </row>
    <row r="1258" spans="49:49" ht="15" customHeight="1">
      <c r="AW1258" s="122">
        <v>972</v>
      </c>
    </row>
    <row r="1259" spans="49:49" ht="15" customHeight="1">
      <c r="AW1259" s="122">
        <v>973</v>
      </c>
    </row>
    <row r="1260" spans="49:49" ht="15" customHeight="1">
      <c r="AW1260" s="122">
        <v>974</v>
      </c>
    </row>
    <row r="1261" spans="49:49" ht="15" customHeight="1">
      <c r="AW1261" s="122">
        <v>975</v>
      </c>
    </row>
    <row r="1262" spans="49:49" ht="15" customHeight="1">
      <c r="AW1262" s="122">
        <v>976</v>
      </c>
    </row>
    <row r="1263" spans="49:49" ht="15" customHeight="1">
      <c r="AW1263" s="122">
        <v>977</v>
      </c>
    </row>
    <row r="1264" spans="49:49" ht="15" customHeight="1">
      <c r="AW1264" s="122">
        <v>978</v>
      </c>
    </row>
    <row r="1265" spans="49:49" ht="15" customHeight="1">
      <c r="AW1265" s="122">
        <v>979</v>
      </c>
    </row>
    <row r="1266" spans="49:49" ht="15" customHeight="1">
      <c r="AW1266" s="122">
        <v>980</v>
      </c>
    </row>
    <row r="1267" spans="49:49" ht="15" customHeight="1">
      <c r="AW1267" s="122">
        <v>981</v>
      </c>
    </row>
    <row r="1268" spans="49:49" ht="15" customHeight="1">
      <c r="AW1268" s="122">
        <v>982</v>
      </c>
    </row>
    <row r="1269" spans="49:49" ht="15" customHeight="1">
      <c r="AW1269" s="122">
        <v>983</v>
      </c>
    </row>
    <row r="1270" spans="49:49" ht="15" customHeight="1">
      <c r="AW1270" s="122">
        <v>984</v>
      </c>
    </row>
    <row r="1271" spans="49:49" ht="15" customHeight="1">
      <c r="AW1271" s="122">
        <v>985</v>
      </c>
    </row>
    <row r="1272" spans="49:49" ht="15" customHeight="1">
      <c r="AW1272" s="122">
        <v>986</v>
      </c>
    </row>
    <row r="1273" spans="49:49" ht="15" customHeight="1">
      <c r="AW1273" s="122">
        <v>987</v>
      </c>
    </row>
    <row r="1274" spans="49:49" ht="15" customHeight="1">
      <c r="AW1274" s="122">
        <v>988</v>
      </c>
    </row>
    <row r="1275" spans="49:49" ht="15" customHeight="1">
      <c r="AW1275" s="122">
        <v>989</v>
      </c>
    </row>
    <row r="1276" spans="49:49" ht="15" customHeight="1">
      <c r="AW1276" s="122">
        <v>990</v>
      </c>
    </row>
    <row r="1277" spans="49:49" ht="15" customHeight="1">
      <c r="AW1277" s="122">
        <v>991</v>
      </c>
    </row>
    <row r="1278" spans="49:49" ht="15" customHeight="1">
      <c r="AW1278" s="122">
        <v>992</v>
      </c>
    </row>
    <row r="1279" spans="49:49" ht="15" customHeight="1">
      <c r="AW1279" s="122">
        <v>993</v>
      </c>
    </row>
    <row r="1280" spans="49:49" ht="15" customHeight="1">
      <c r="AW1280" s="122">
        <v>994</v>
      </c>
    </row>
    <row r="1281" spans="49:49" ht="15" customHeight="1">
      <c r="AW1281" s="122">
        <v>995</v>
      </c>
    </row>
    <row r="1282" spans="49:49" ht="15" customHeight="1">
      <c r="AW1282" s="122">
        <v>996</v>
      </c>
    </row>
    <row r="1283" spans="49:49" ht="15" customHeight="1">
      <c r="AW1283" s="122">
        <v>997</v>
      </c>
    </row>
    <row r="1284" spans="49:49" ht="15" customHeight="1">
      <c r="AW1284" s="122">
        <v>998</v>
      </c>
    </row>
    <row r="1285" spans="49:49" ht="15" customHeight="1">
      <c r="AW1285" s="122">
        <v>999</v>
      </c>
    </row>
    <row r="1286" spans="49:49" ht="15" customHeight="1">
      <c r="AW1286" s="122">
        <v>1000</v>
      </c>
    </row>
    <row r="1287" spans="49:49" ht="15" customHeight="1">
      <c r="AW1287" s="122">
        <v>1001</v>
      </c>
    </row>
    <row r="1288" spans="49:49" ht="15" customHeight="1">
      <c r="AW1288" s="122">
        <v>1002</v>
      </c>
    </row>
    <row r="1289" spans="49:49" ht="15" customHeight="1">
      <c r="AW1289" s="122">
        <v>1003</v>
      </c>
    </row>
    <row r="1290" spans="49:49" ht="15" customHeight="1">
      <c r="AW1290" s="122">
        <v>1004</v>
      </c>
    </row>
    <row r="1291" spans="49:49" ht="15" customHeight="1">
      <c r="AW1291" s="122">
        <v>1005</v>
      </c>
    </row>
    <row r="1292" spans="49:49" ht="15" customHeight="1">
      <c r="AW1292" s="122">
        <v>1006</v>
      </c>
    </row>
    <row r="1293" spans="49:49" ht="15" customHeight="1">
      <c r="AW1293" s="122">
        <v>1007</v>
      </c>
    </row>
    <row r="1294" spans="49:49" ht="15" customHeight="1">
      <c r="AW1294" s="122">
        <v>1008</v>
      </c>
    </row>
    <row r="1295" spans="49:49" ht="15" customHeight="1">
      <c r="AW1295" s="122">
        <v>1009</v>
      </c>
    </row>
    <row r="1296" spans="49:49" ht="15" customHeight="1">
      <c r="AW1296" s="122">
        <v>1010</v>
      </c>
    </row>
    <row r="1297" spans="49:49" ht="15" customHeight="1">
      <c r="AW1297" s="122">
        <v>1011</v>
      </c>
    </row>
    <row r="1298" spans="49:49" ht="15" customHeight="1">
      <c r="AW1298" s="122">
        <v>1012</v>
      </c>
    </row>
    <row r="1299" spans="49:49" ht="15" customHeight="1">
      <c r="AW1299" s="122">
        <v>1013</v>
      </c>
    </row>
    <row r="1300" spans="49:49" ht="15" customHeight="1">
      <c r="AW1300" s="122">
        <v>1014</v>
      </c>
    </row>
    <row r="1301" spans="49:49" ht="15" customHeight="1">
      <c r="AW1301" s="122">
        <v>1015</v>
      </c>
    </row>
    <row r="1302" spans="49:49" ht="15" customHeight="1">
      <c r="AW1302" s="122">
        <v>1016</v>
      </c>
    </row>
    <row r="1303" spans="49:49" ht="15" customHeight="1">
      <c r="AW1303" s="122">
        <v>1017</v>
      </c>
    </row>
    <row r="1304" spans="49:49" ht="15" customHeight="1">
      <c r="AW1304" s="122">
        <v>1018</v>
      </c>
    </row>
    <row r="1305" spans="49:49" ht="15" customHeight="1">
      <c r="AW1305" s="122">
        <v>1019</v>
      </c>
    </row>
    <row r="1306" spans="49:49" ht="15" customHeight="1">
      <c r="AW1306" s="122">
        <v>1020</v>
      </c>
    </row>
    <row r="1307" spans="49:49" ht="15" customHeight="1">
      <c r="AW1307" s="122">
        <v>1021</v>
      </c>
    </row>
    <row r="1308" spans="49:49" ht="15" customHeight="1">
      <c r="AW1308" s="122">
        <v>1022</v>
      </c>
    </row>
    <row r="1309" spans="49:49" ht="15" customHeight="1">
      <c r="AW1309" s="122">
        <v>1023</v>
      </c>
    </row>
    <row r="1310" spans="49:49" ht="15" customHeight="1">
      <c r="AW1310" s="122">
        <v>1024</v>
      </c>
    </row>
    <row r="1311" spans="49:49" ht="15" customHeight="1">
      <c r="AW1311" s="122">
        <v>1025</v>
      </c>
    </row>
    <row r="1312" spans="49:49" ht="15" customHeight="1">
      <c r="AW1312" s="122">
        <v>1026</v>
      </c>
    </row>
    <row r="1313" spans="49:49" ht="15" customHeight="1">
      <c r="AW1313" s="122">
        <v>1027</v>
      </c>
    </row>
    <row r="1314" spans="49:49" ht="15" customHeight="1">
      <c r="AW1314" s="122">
        <v>1028</v>
      </c>
    </row>
    <row r="1315" spans="49:49" ht="15" customHeight="1">
      <c r="AW1315" s="122">
        <v>1029</v>
      </c>
    </row>
    <row r="1316" spans="49:49" ht="15" customHeight="1">
      <c r="AW1316" s="122">
        <v>1030</v>
      </c>
    </row>
    <row r="1317" spans="49:49" ht="15" customHeight="1">
      <c r="AW1317" s="122">
        <v>1031</v>
      </c>
    </row>
    <row r="1318" spans="49:49" ht="15" customHeight="1">
      <c r="AW1318" s="122">
        <v>1032</v>
      </c>
    </row>
    <row r="1319" spans="49:49" ht="15" customHeight="1">
      <c r="AW1319" s="122">
        <v>1033</v>
      </c>
    </row>
    <row r="1320" spans="49:49" ht="15" customHeight="1">
      <c r="AW1320" s="122">
        <v>1034</v>
      </c>
    </row>
    <row r="1321" spans="49:49" ht="15" customHeight="1">
      <c r="AW1321" s="122">
        <v>1035</v>
      </c>
    </row>
    <row r="1322" spans="49:49" ht="15" customHeight="1">
      <c r="AW1322" s="122">
        <v>1036</v>
      </c>
    </row>
    <row r="1323" spans="49:49" ht="15" customHeight="1">
      <c r="AW1323" s="122">
        <v>1037</v>
      </c>
    </row>
    <row r="1324" spans="49:49" ht="15" customHeight="1">
      <c r="AW1324" s="122">
        <v>1038</v>
      </c>
    </row>
    <row r="1325" spans="49:49" ht="15" customHeight="1">
      <c r="AW1325" s="122">
        <v>1039</v>
      </c>
    </row>
    <row r="1326" spans="49:49" ht="15" customHeight="1">
      <c r="AW1326" s="122">
        <v>1040</v>
      </c>
    </row>
    <row r="1327" spans="49:49" ht="15" customHeight="1">
      <c r="AW1327" s="122">
        <v>1041</v>
      </c>
    </row>
    <row r="1328" spans="49:49" ht="15" customHeight="1">
      <c r="AW1328" s="122">
        <v>1042</v>
      </c>
    </row>
    <row r="1329" spans="49:49" ht="15" customHeight="1">
      <c r="AW1329" s="122">
        <v>1043</v>
      </c>
    </row>
    <row r="1330" spans="49:49" ht="15" customHeight="1">
      <c r="AW1330" s="122">
        <v>1044</v>
      </c>
    </row>
    <row r="1331" spans="49:49" ht="15" customHeight="1">
      <c r="AW1331" s="122">
        <v>1045</v>
      </c>
    </row>
    <row r="1332" spans="49:49" ht="15" customHeight="1">
      <c r="AW1332" s="122">
        <v>1046</v>
      </c>
    </row>
    <row r="1333" spans="49:49" ht="15" customHeight="1">
      <c r="AW1333" s="122">
        <v>1047</v>
      </c>
    </row>
    <row r="1334" spans="49:49" ht="15" customHeight="1">
      <c r="AW1334" s="122">
        <v>1048</v>
      </c>
    </row>
    <row r="1335" spans="49:49" ht="15" customHeight="1">
      <c r="AW1335" s="122">
        <v>1049</v>
      </c>
    </row>
    <row r="1336" spans="49:49" ht="15" customHeight="1">
      <c r="AW1336" s="122">
        <v>1050</v>
      </c>
    </row>
    <row r="1337" spans="49:49" ht="15" customHeight="1">
      <c r="AW1337" s="122">
        <v>1051</v>
      </c>
    </row>
    <row r="1338" spans="49:49" ht="15" customHeight="1">
      <c r="AW1338" s="122">
        <v>1052</v>
      </c>
    </row>
    <row r="1339" spans="49:49" ht="15" customHeight="1">
      <c r="AW1339" s="122">
        <v>1053</v>
      </c>
    </row>
    <row r="1340" spans="49:49" ht="15" customHeight="1">
      <c r="AW1340" s="122">
        <v>1054</v>
      </c>
    </row>
    <row r="1341" spans="49:49" ht="15" customHeight="1">
      <c r="AW1341" s="122">
        <v>1055</v>
      </c>
    </row>
    <row r="1342" spans="49:49" ht="15" customHeight="1">
      <c r="AW1342" s="122">
        <v>1056</v>
      </c>
    </row>
    <row r="1343" spans="49:49" ht="15" customHeight="1">
      <c r="AW1343" s="122">
        <v>1057</v>
      </c>
    </row>
    <row r="1344" spans="49:49" ht="15" customHeight="1">
      <c r="AW1344" s="122">
        <v>1058</v>
      </c>
    </row>
    <row r="1345" spans="49:49" ht="15" customHeight="1">
      <c r="AW1345" s="122">
        <v>1059</v>
      </c>
    </row>
    <row r="1346" spans="49:49" ht="15" customHeight="1">
      <c r="AW1346" s="122">
        <v>1060</v>
      </c>
    </row>
    <row r="1347" spans="49:49" ht="15" customHeight="1">
      <c r="AW1347" s="122">
        <v>1061</v>
      </c>
    </row>
    <row r="1348" spans="49:49" ht="15" customHeight="1">
      <c r="AW1348" s="122">
        <v>1062</v>
      </c>
    </row>
    <row r="1349" spans="49:49" ht="15" customHeight="1">
      <c r="AW1349" s="122">
        <v>1063</v>
      </c>
    </row>
    <row r="1350" spans="49:49" ht="15" customHeight="1">
      <c r="AW1350" s="122">
        <v>1064</v>
      </c>
    </row>
    <row r="1351" spans="49:49" ht="15" customHeight="1">
      <c r="AW1351" s="122">
        <v>1065</v>
      </c>
    </row>
    <row r="1352" spans="49:49" ht="15" customHeight="1">
      <c r="AW1352" s="122">
        <v>1066</v>
      </c>
    </row>
    <row r="1353" spans="49:49" ht="15" customHeight="1">
      <c r="AW1353" s="122">
        <v>1067</v>
      </c>
    </row>
    <row r="1354" spans="49:49" ht="15" customHeight="1">
      <c r="AW1354" s="122">
        <v>1068</v>
      </c>
    </row>
    <row r="1355" spans="49:49" ht="15" customHeight="1">
      <c r="AW1355" s="122">
        <v>1069</v>
      </c>
    </row>
    <row r="1356" spans="49:49" ht="15" customHeight="1">
      <c r="AW1356" s="122">
        <v>1070</v>
      </c>
    </row>
    <row r="1357" spans="49:49" ht="15" customHeight="1">
      <c r="AW1357" s="122">
        <v>1071</v>
      </c>
    </row>
    <row r="1358" spans="49:49" ht="15" customHeight="1">
      <c r="AW1358" s="122">
        <v>1072</v>
      </c>
    </row>
    <row r="1359" spans="49:49" ht="15" customHeight="1">
      <c r="AW1359" s="122">
        <v>1073</v>
      </c>
    </row>
    <row r="1360" spans="49:49" ht="15" customHeight="1">
      <c r="AW1360" s="122">
        <v>1074</v>
      </c>
    </row>
    <row r="1361" spans="49:49" ht="15" customHeight="1">
      <c r="AW1361" s="122">
        <v>1075</v>
      </c>
    </row>
    <row r="1362" spans="49:49" ht="15" customHeight="1">
      <c r="AW1362" s="122">
        <v>1076</v>
      </c>
    </row>
    <row r="1363" spans="49:49" ht="15" customHeight="1">
      <c r="AW1363" s="122">
        <v>1077</v>
      </c>
    </row>
    <row r="1364" spans="49:49" ht="15" customHeight="1">
      <c r="AW1364" s="122">
        <v>1078</v>
      </c>
    </row>
    <row r="1365" spans="49:49" ht="15" customHeight="1">
      <c r="AW1365" s="122">
        <v>1079</v>
      </c>
    </row>
    <row r="1366" spans="49:49" ht="15" customHeight="1">
      <c r="AW1366" s="122">
        <v>1080</v>
      </c>
    </row>
    <row r="1367" spans="49:49" ht="15" customHeight="1">
      <c r="AW1367" s="122">
        <v>1081</v>
      </c>
    </row>
    <row r="1368" spans="49:49" ht="15" customHeight="1">
      <c r="AW1368" s="122">
        <v>1082</v>
      </c>
    </row>
    <row r="1369" spans="49:49" ht="15" customHeight="1">
      <c r="AW1369" s="122">
        <v>1083</v>
      </c>
    </row>
    <row r="1370" spans="49:49" ht="15" customHeight="1">
      <c r="AW1370" s="122">
        <v>1084</v>
      </c>
    </row>
    <row r="1371" spans="49:49" ht="15" customHeight="1">
      <c r="AW1371" s="122">
        <v>1085</v>
      </c>
    </row>
    <row r="1372" spans="49:49" ht="15" customHeight="1">
      <c r="AW1372" s="122">
        <v>1086</v>
      </c>
    </row>
    <row r="1373" spans="49:49" ht="15" customHeight="1">
      <c r="AW1373" s="122">
        <v>1087</v>
      </c>
    </row>
    <row r="1374" spans="49:49" ht="15" customHeight="1">
      <c r="AW1374" s="122">
        <v>1088</v>
      </c>
    </row>
    <row r="1375" spans="49:49" ht="15" customHeight="1">
      <c r="AW1375" s="122">
        <v>1089</v>
      </c>
    </row>
    <row r="1376" spans="49:49" ht="15" customHeight="1">
      <c r="AW1376" s="122">
        <v>1090</v>
      </c>
    </row>
    <row r="1377" spans="49:49" ht="15" customHeight="1">
      <c r="AW1377" s="122">
        <v>1091</v>
      </c>
    </row>
    <row r="1378" spans="49:49" ht="15" customHeight="1">
      <c r="AW1378" s="122">
        <v>1092</v>
      </c>
    </row>
    <row r="1379" spans="49:49" ht="15" customHeight="1">
      <c r="AW1379" s="122">
        <v>1093</v>
      </c>
    </row>
    <row r="1380" spans="49:49" ht="15" customHeight="1">
      <c r="AW1380" s="122">
        <v>1094</v>
      </c>
    </row>
    <row r="1381" spans="49:49" ht="15" customHeight="1">
      <c r="AW1381" s="122">
        <v>1095</v>
      </c>
    </row>
    <row r="1382" spans="49:49" ht="15" customHeight="1">
      <c r="AW1382" s="122">
        <v>1096</v>
      </c>
    </row>
    <row r="1383" spans="49:49" ht="15" customHeight="1">
      <c r="AW1383" s="122">
        <v>1097</v>
      </c>
    </row>
    <row r="1384" spans="49:49" ht="15" customHeight="1">
      <c r="AW1384" s="122">
        <v>1098</v>
      </c>
    </row>
    <row r="1385" spans="49:49" ht="15" customHeight="1">
      <c r="AW1385" s="122">
        <v>1099</v>
      </c>
    </row>
    <row r="1386" spans="49:49" ht="15" customHeight="1">
      <c r="AW1386" s="122">
        <v>1100</v>
      </c>
    </row>
    <row r="1387" spans="49:49" ht="15" customHeight="1">
      <c r="AW1387" s="122">
        <v>1101</v>
      </c>
    </row>
    <row r="1388" spans="49:49" ht="15" customHeight="1">
      <c r="AW1388" s="122">
        <v>1102</v>
      </c>
    </row>
    <row r="1389" spans="49:49" ht="15" customHeight="1">
      <c r="AW1389" s="122">
        <v>1103</v>
      </c>
    </row>
    <row r="1390" spans="49:49" ht="15" customHeight="1">
      <c r="AW1390" s="122">
        <v>1104</v>
      </c>
    </row>
    <row r="1391" spans="49:49" ht="15" customHeight="1">
      <c r="AW1391" s="122">
        <v>1105</v>
      </c>
    </row>
    <row r="1392" spans="49:49" ht="15" customHeight="1">
      <c r="AW1392" s="122">
        <v>1106</v>
      </c>
    </row>
    <row r="1393" spans="49:49" ht="15" customHeight="1">
      <c r="AW1393" s="122">
        <v>1107</v>
      </c>
    </row>
    <row r="1394" spans="49:49" ht="15" customHeight="1">
      <c r="AW1394" s="122">
        <v>1108</v>
      </c>
    </row>
    <row r="1395" spans="49:49" ht="15" customHeight="1">
      <c r="AW1395" s="122">
        <v>1109</v>
      </c>
    </row>
    <row r="1396" spans="49:49" ht="15" customHeight="1">
      <c r="AW1396" s="122">
        <v>1110</v>
      </c>
    </row>
    <row r="1397" spans="49:49" ht="15" customHeight="1">
      <c r="AW1397" s="122">
        <v>1111</v>
      </c>
    </row>
    <row r="1398" spans="49:49" ht="15" customHeight="1">
      <c r="AW1398" s="122">
        <v>1112</v>
      </c>
    </row>
    <row r="1399" spans="49:49" ht="15" customHeight="1">
      <c r="AW1399" s="122">
        <v>1113</v>
      </c>
    </row>
    <row r="1400" spans="49:49" ht="15" customHeight="1">
      <c r="AW1400" s="122">
        <v>1114</v>
      </c>
    </row>
    <row r="1401" spans="49:49" ht="15" customHeight="1">
      <c r="AW1401" s="122">
        <v>1115</v>
      </c>
    </row>
    <row r="1402" spans="49:49" ht="15" customHeight="1">
      <c r="AW1402" s="122">
        <v>1116</v>
      </c>
    </row>
    <row r="1403" spans="49:49" ht="15" customHeight="1">
      <c r="AW1403" s="122">
        <v>1117</v>
      </c>
    </row>
    <row r="1404" spans="49:49" ht="15" customHeight="1">
      <c r="AW1404" s="122">
        <v>1118</v>
      </c>
    </row>
    <row r="1405" spans="49:49" ht="15" customHeight="1">
      <c r="AW1405" s="122">
        <v>1119</v>
      </c>
    </row>
    <row r="1406" spans="49:49" ht="15" customHeight="1">
      <c r="AW1406" s="122">
        <v>1120</v>
      </c>
    </row>
    <row r="1407" spans="49:49" ht="15" customHeight="1">
      <c r="AW1407" s="122">
        <v>1121</v>
      </c>
    </row>
    <row r="1408" spans="49:49" ht="15" customHeight="1">
      <c r="AW1408" s="122">
        <v>1122</v>
      </c>
    </row>
    <row r="1409" spans="49:49" ht="15" customHeight="1">
      <c r="AW1409" s="122">
        <v>1123</v>
      </c>
    </row>
    <row r="1410" spans="49:49" ht="15" customHeight="1">
      <c r="AW1410" s="122">
        <v>1124</v>
      </c>
    </row>
    <row r="1411" spans="49:49" ht="15" customHeight="1">
      <c r="AW1411" s="122">
        <v>1125</v>
      </c>
    </row>
    <row r="1412" spans="49:49" ht="15" customHeight="1">
      <c r="AW1412" s="122">
        <v>1126</v>
      </c>
    </row>
    <row r="1413" spans="49:49" ht="15" customHeight="1">
      <c r="AW1413" s="122">
        <v>1127</v>
      </c>
    </row>
    <row r="1414" spans="49:49" ht="15" customHeight="1">
      <c r="AW1414" s="122">
        <v>1128</v>
      </c>
    </row>
    <row r="1415" spans="49:49" ht="15" customHeight="1">
      <c r="AW1415" s="122">
        <v>1129</v>
      </c>
    </row>
    <row r="1416" spans="49:49" ht="15" customHeight="1">
      <c r="AW1416" s="122">
        <v>1130</v>
      </c>
    </row>
    <row r="1417" spans="49:49" ht="15" customHeight="1">
      <c r="AW1417" s="122">
        <v>1131</v>
      </c>
    </row>
    <row r="1418" spans="49:49" ht="15" customHeight="1">
      <c r="AW1418" s="122">
        <v>1132</v>
      </c>
    </row>
    <row r="1419" spans="49:49" ht="15" customHeight="1">
      <c r="AW1419" s="122">
        <v>1133</v>
      </c>
    </row>
    <row r="1420" spans="49:49" ht="15" customHeight="1">
      <c r="AW1420" s="122">
        <v>1134</v>
      </c>
    </row>
    <row r="1421" spans="49:49" ht="15" customHeight="1">
      <c r="AW1421" s="122">
        <v>1135</v>
      </c>
    </row>
    <row r="1422" spans="49:49" ht="15" customHeight="1">
      <c r="AW1422" s="122">
        <v>1136</v>
      </c>
    </row>
    <row r="1423" spans="49:49" ht="15" customHeight="1">
      <c r="AW1423" s="122">
        <v>1137</v>
      </c>
    </row>
    <row r="1424" spans="49:49" ht="15" customHeight="1">
      <c r="AW1424" s="122">
        <v>1138</v>
      </c>
    </row>
    <row r="1425" spans="49:49" ht="15" customHeight="1">
      <c r="AW1425" s="122">
        <v>1139</v>
      </c>
    </row>
    <row r="1426" spans="49:49" ht="15" customHeight="1">
      <c r="AW1426" s="122">
        <v>1140</v>
      </c>
    </row>
    <row r="1427" spans="49:49" ht="15" customHeight="1">
      <c r="AW1427" s="122">
        <v>1141</v>
      </c>
    </row>
    <row r="1428" spans="49:49" ht="15" customHeight="1">
      <c r="AW1428" s="122">
        <v>1142</v>
      </c>
    </row>
    <row r="1429" spans="49:49" ht="15" customHeight="1">
      <c r="AW1429" s="122">
        <v>1143</v>
      </c>
    </row>
    <row r="1430" spans="49:49" ht="15" customHeight="1">
      <c r="AW1430" s="122">
        <v>1144</v>
      </c>
    </row>
    <row r="1431" spans="49:49" ht="15" customHeight="1">
      <c r="AW1431" s="122">
        <v>1145</v>
      </c>
    </row>
    <row r="1432" spans="49:49" ht="15" customHeight="1">
      <c r="AW1432" s="122">
        <v>1146</v>
      </c>
    </row>
    <row r="1433" spans="49:49" ht="15" customHeight="1">
      <c r="AW1433" s="122">
        <v>1147</v>
      </c>
    </row>
    <row r="1434" spans="49:49" ht="15" customHeight="1">
      <c r="AW1434" s="122">
        <v>1148</v>
      </c>
    </row>
    <row r="1435" spans="49:49" ht="15" customHeight="1">
      <c r="AW1435" s="122">
        <v>1149</v>
      </c>
    </row>
    <row r="1436" spans="49:49" ht="15" customHeight="1">
      <c r="AW1436" s="122">
        <v>1150</v>
      </c>
    </row>
    <row r="1437" spans="49:49" ht="15" customHeight="1">
      <c r="AW1437" s="122">
        <v>1151</v>
      </c>
    </row>
    <row r="1438" spans="49:49" ht="15" customHeight="1">
      <c r="AW1438" s="122">
        <v>1152</v>
      </c>
    </row>
    <row r="1439" spans="49:49" ht="15" customHeight="1">
      <c r="AW1439" s="122">
        <v>1153</v>
      </c>
    </row>
    <row r="1440" spans="49:49" ht="15" customHeight="1">
      <c r="AW1440" s="122">
        <v>1154</v>
      </c>
    </row>
    <row r="1441" spans="49:49" ht="15" customHeight="1">
      <c r="AW1441" s="122">
        <v>1155</v>
      </c>
    </row>
    <row r="1442" spans="49:49" ht="15" customHeight="1">
      <c r="AW1442" s="122">
        <v>1156</v>
      </c>
    </row>
    <row r="1443" spans="49:49" ht="15" customHeight="1">
      <c r="AW1443" s="122">
        <v>1157</v>
      </c>
    </row>
    <row r="1444" spans="49:49" ht="15" customHeight="1">
      <c r="AW1444" s="122">
        <v>1158</v>
      </c>
    </row>
    <row r="1445" spans="49:49" ht="15" customHeight="1">
      <c r="AW1445" s="122">
        <v>1159</v>
      </c>
    </row>
    <row r="1446" spans="49:49" ht="15" customHeight="1">
      <c r="AW1446" s="122">
        <v>1160</v>
      </c>
    </row>
    <row r="1447" spans="49:49" ht="15" customHeight="1">
      <c r="AW1447" s="122">
        <v>1161</v>
      </c>
    </row>
    <row r="1448" spans="49:49" ht="15" customHeight="1">
      <c r="AW1448" s="122">
        <v>1162</v>
      </c>
    </row>
    <row r="1449" spans="49:49" ht="15" customHeight="1">
      <c r="AW1449" s="122">
        <v>1163</v>
      </c>
    </row>
    <row r="1450" spans="49:49" ht="15" customHeight="1">
      <c r="AW1450" s="122">
        <v>1164</v>
      </c>
    </row>
    <row r="1451" spans="49:49" ht="15" customHeight="1">
      <c r="AW1451" s="122">
        <v>1165</v>
      </c>
    </row>
    <row r="1452" spans="49:49" ht="15" customHeight="1">
      <c r="AW1452" s="122">
        <v>1166</v>
      </c>
    </row>
    <row r="1453" spans="49:49" ht="15" customHeight="1">
      <c r="AW1453" s="122">
        <v>1167</v>
      </c>
    </row>
    <row r="1454" spans="49:49" ht="15" customHeight="1">
      <c r="AW1454" s="122">
        <v>1168</v>
      </c>
    </row>
    <row r="1455" spans="49:49" ht="15" customHeight="1">
      <c r="AW1455" s="122">
        <v>1169</v>
      </c>
    </row>
    <row r="1456" spans="49:49" ht="15" customHeight="1">
      <c r="AW1456" s="122">
        <v>1170</v>
      </c>
    </row>
    <row r="1457" spans="49:49" ht="15" customHeight="1">
      <c r="AW1457" s="122">
        <v>1171</v>
      </c>
    </row>
    <row r="1458" spans="49:49" ht="15" customHeight="1">
      <c r="AW1458" s="122">
        <v>1172</v>
      </c>
    </row>
    <row r="1459" spans="49:49" ht="15" customHeight="1">
      <c r="AW1459" s="122">
        <v>1173</v>
      </c>
    </row>
    <row r="1460" spans="49:49" ht="15" customHeight="1">
      <c r="AW1460" s="122">
        <v>1174</v>
      </c>
    </row>
    <row r="1461" spans="49:49" ht="15" customHeight="1">
      <c r="AW1461" s="122">
        <v>1175</v>
      </c>
    </row>
    <row r="1462" spans="49:49" ht="15" customHeight="1">
      <c r="AW1462" s="122">
        <v>1176</v>
      </c>
    </row>
    <row r="1463" spans="49:49" ht="15" customHeight="1">
      <c r="AW1463" s="122">
        <v>1177</v>
      </c>
    </row>
    <row r="1464" spans="49:49" ht="15" customHeight="1">
      <c r="AW1464" s="122">
        <v>1178</v>
      </c>
    </row>
    <row r="1465" spans="49:49" ht="15" customHeight="1">
      <c r="AW1465" s="122">
        <v>1179</v>
      </c>
    </row>
    <row r="1466" spans="49:49" ht="15" customHeight="1">
      <c r="AW1466" s="122">
        <v>1180</v>
      </c>
    </row>
    <row r="1467" spans="49:49" ht="15" customHeight="1">
      <c r="AW1467" s="122">
        <v>1181</v>
      </c>
    </row>
    <row r="1468" spans="49:49" ht="15" customHeight="1">
      <c r="AW1468" s="122">
        <v>1182</v>
      </c>
    </row>
    <row r="1469" spans="49:49" ht="15" customHeight="1">
      <c r="AW1469" s="122">
        <v>1183</v>
      </c>
    </row>
    <row r="1470" spans="49:49" ht="15" customHeight="1">
      <c r="AW1470" s="122">
        <v>1184</v>
      </c>
    </row>
    <row r="1471" spans="49:49" ht="15" customHeight="1">
      <c r="AW1471" s="122">
        <v>1185</v>
      </c>
    </row>
    <row r="1472" spans="49:49" ht="15" customHeight="1">
      <c r="AW1472" s="122">
        <v>1186</v>
      </c>
    </row>
    <row r="1473" spans="49:49" ht="15" customHeight="1">
      <c r="AW1473" s="122">
        <v>1187</v>
      </c>
    </row>
    <row r="1474" spans="49:49" ht="15" customHeight="1">
      <c r="AW1474" s="122">
        <v>1188</v>
      </c>
    </row>
    <row r="1475" spans="49:49" ht="15" customHeight="1">
      <c r="AW1475" s="122">
        <v>1189</v>
      </c>
    </row>
    <row r="1476" spans="49:49" ht="15" customHeight="1">
      <c r="AW1476" s="122">
        <v>1190</v>
      </c>
    </row>
    <row r="1477" spans="49:49" ht="15" customHeight="1">
      <c r="AW1477" s="122">
        <v>1191</v>
      </c>
    </row>
    <row r="1478" spans="49:49" ht="15" customHeight="1">
      <c r="AW1478" s="122">
        <v>1192</v>
      </c>
    </row>
    <row r="1479" spans="49:49" ht="15" customHeight="1">
      <c r="AW1479" s="122">
        <v>1193</v>
      </c>
    </row>
    <row r="1480" spans="49:49" ht="15" customHeight="1">
      <c r="AW1480" s="122">
        <v>1194</v>
      </c>
    </row>
    <row r="1481" spans="49:49" ht="15" customHeight="1">
      <c r="AW1481" s="122">
        <v>1195</v>
      </c>
    </row>
    <row r="1482" spans="49:49" ht="15" customHeight="1">
      <c r="AW1482" s="122">
        <v>1196</v>
      </c>
    </row>
    <row r="1483" spans="49:49" ht="15" customHeight="1">
      <c r="AW1483" s="122">
        <v>1197</v>
      </c>
    </row>
    <row r="1484" spans="49:49" ht="15" customHeight="1">
      <c r="AW1484" s="122">
        <v>1198</v>
      </c>
    </row>
    <row r="1485" spans="49:49" ht="15" customHeight="1">
      <c r="AW1485" s="122">
        <v>1199</v>
      </c>
    </row>
    <row r="1486" spans="49:49" ht="15" customHeight="1">
      <c r="AW1486" s="122">
        <v>1200</v>
      </c>
    </row>
    <row r="1487" spans="49:49" ht="15" customHeight="1">
      <c r="AW1487" s="122">
        <v>1201</v>
      </c>
    </row>
    <row r="1488" spans="49:49" ht="15" customHeight="1">
      <c r="AW1488" s="122">
        <v>1202</v>
      </c>
    </row>
    <row r="1489" spans="49:49" ht="15" customHeight="1">
      <c r="AW1489" s="122">
        <v>1203</v>
      </c>
    </row>
    <row r="1490" spans="49:49" ht="15" customHeight="1">
      <c r="AW1490" s="122">
        <v>1204</v>
      </c>
    </row>
    <row r="1491" spans="49:49" ht="15" customHeight="1">
      <c r="AW1491" s="122">
        <v>1205</v>
      </c>
    </row>
    <row r="1492" spans="49:49" ht="15" customHeight="1">
      <c r="AW1492" s="122">
        <v>1206</v>
      </c>
    </row>
    <row r="1493" spans="49:49" ht="15" customHeight="1">
      <c r="AW1493" s="122">
        <v>1207</v>
      </c>
    </row>
    <row r="1494" spans="49:49" ht="15" customHeight="1">
      <c r="AW1494" s="122">
        <v>1208</v>
      </c>
    </row>
    <row r="1495" spans="49:49" ht="15" customHeight="1">
      <c r="AW1495" s="122">
        <v>1209</v>
      </c>
    </row>
    <row r="1496" spans="49:49" ht="15" customHeight="1">
      <c r="AW1496" s="122">
        <v>1210</v>
      </c>
    </row>
    <row r="1497" spans="49:49" ht="15" customHeight="1">
      <c r="AW1497" s="122">
        <v>1211</v>
      </c>
    </row>
    <row r="1498" spans="49:49" ht="15" customHeight="1">
      <c r="AW1498" s="122">
        <v>1212</v>
      </c>
    </row>
    <row r="1499" spans="49:49" ht="15" customHeight="1">
      <c r="AW1499" s="122">
        <v>1213</v>
      </c>
    </row>
    <row r="1500" spans="49:49" ht="15" customHeight="1">
      <c r="AW1500" s="122">
        <v>1214</v>
      </c>
    </row>
    <row r="1501" spans="49:49" ht="15" customHeight="1">
      <c r="AW1501" s="122">
        <v>1215</v>
      </c>
    </row>
    <row r="1502" spans="49:49" ht="15" customHeight="1">
      <c r="AW1502" s="122">
        <v>1216</v>
      </c>
    </row>
    <row r="1503" spans="49:49" ht="15" customHeight="1">
      <c r="AW1503" s="122">
        <v>1217</v>
      </c>
    </row>
    <row r="1504" spans="49:49" ht="15" customHeight="1">
      <c r="AW1504" s="122">
        <v>1218</v>
      </c>
    </row>
    <row r="1505" spans="49:49" ht="15" customHeight="1">
      <c r="AW1505" s="122">
        <v>1219</v>
      </c>
    </row>
    <row r="1506" spans="49:49" ht="15" customHeight="1">
      <c r="AW1506" s="122">
        <v>1220</v>
      </c>
    </row>
    <row r="1507" spans="49:49" ht="15" customHeight="1">
      <c r="AW1507" s="122">
        <v>1221</v>
      </c>
    </row>
    <row r="1508" spans="49:49" ht="15" customHeight="1">
      <c r="AW1508" s="122">
        <v>1222</v>
      </c>
    </row>
    <row r="1509" spans="49:49" ht="15" customHeight="1">
      <c r="AW1509" s="122">
        <v>1223</v>
      </c>
    </row>
    <row r="1510" spans="49:49" ht="15" customHeight="1">
      <c r="AW1510" s="122">
        <v>1224</v>
      </c>
    </row>
    <row r="1511" spans="49:49" ht="15" customHeight="1">
      <c r="AW1511" s="122">
        <v>1225</v>
      </c>
    </row>
    <row r="1512" spans="49:49" ht="15" customHeight="1">
      <c r="AW1512" s="122">
        <v>1226</v>
      </c>
    </row>
    <row r="1513" spans="49:49" ht="15" customHeight="1">
      <c r="AW1513" s="122">
        <v>1227</v>
      </c>
    </row>
    <row r="1514" spans="49:49" ht="15" customHeight="1">
      <c r="AW1514" s="122">
        <v>1228</v>
      </c>
    </row>
    <row r="1515" spans="49:49" ht="15" customHeight="1">
      <c r="AW1515" s="122">
        <v>1229</v>
      </c>
    </row>
    <row r="1516" spans="49:49" ht="15" customHeight="1">
      <c r="AW1516" s="122">
        <v>1230</v>
      </c>
    </row>
    <row r="1517" spans="49:49" ht="15" customHeight="1">
      <c r="AW1517" s="122">
        <v>1231</v>
      </c>
    </row>
    <row r="1518" spans="49:49" ht="15" customHeight="1">
      <c r="AW1518" s="122">
        <v>1232</v>
      </c>
    </row>
    <row r="1519" spans="49:49" ht="15" customHeight="1">
      <c r="AW1519" s="122">
        <v>1233</v>
      </c>
    </row>
    <row r="1520" spans="49:49" ht="15" customHeight="1">
      <c r="AW1520" s="122">
        <v>1234</v>
      </c>
    </row>
    <row r="1521" spans="49:49" ht="15" customHeight="1">
      <c r="AW1521" s="122">
        <v>1235</v>
      </c>
    </row>
    <row r="1522" spans="49:49" ht="15" customHeight="1">
      <c r="AW1522" s="122">
        <v>1236</v>
      </c>
    </row>
    <row r="1523" spans="49:49" ht="15" customHeight="1">
      <c r="AW1523" s="122">
        <v>1237</v>
      </c>
    </row>
    <row r="1524" spans="49:49" ht="15" customHeight="1">
      <c r="AW1524" s="122">
        <v>1238</v>
      </c>
    </row>
    <row r="1525" spans="49:49" ht="15" customHeight="1">
      <c r="AW1525" s="122">
        <v>1239</v>
      </c>
    </row>
    <row r="1526" spans="49:49" ht="15" customHeight="1">
      <c r="AW1526" s="122">
        <v>1240</v>
      </c>
    </row>
    <row r="1527" spans="49:49" ht="15" customHeight="1">
      <c r="AW1527" s="122">
        <v>1241</v>
      </c>
    </row>
    <row r="1528" spans="49:49" ht="15" customHeight="1">
      <c r="AW1528" s="122">
        <v>1242</v>
      </c>
    </row>
    <row r="1529" spans="49:49" ht="15" customHeight="1">
      <c r="AW1529" s="122">
        <v>1243</v>
      </c>
    </row>
    <row r="1530" spans="49:49" ht="15" customHeight="1">
      <c r="AW1530" s="122">
        <v>1244</v>
      </c>
    </row>
    <row r="1531" spans="49:49" ht="15" customHeight="1">
      <c r="AW1531" s="122">
        <v>1245</v>
      </c>
    </row>
    <row r="1532" spans="49:49" ht="15" customHeight="1">
      <c r="AW1532" s="122">
        <v>1246</v>
      </c>
    </row>
    <row r="1533" spans="49:49" ht="15" customHeight="1">
      <c r="AW1533" s="122">
        <v>1247</v>
      </c>
    </row>
    <row r="1534" spans="49:49" ht="15" customHeight="1">
      <c r="AW1534" s="122">
        <v>1248</v>
      </c>
    </row>
    <row r="1535" spans="49:49" ht="15" customHeight="1">
      <c r="AW1535" s="122">
        <v>1249</v>
      </c>
    </row>
    <row r="1536" spans="49:49" ht="15" customHeight="1">
      <c r="AW1536" s="122">
        <v>1250</v>
      </c>
    </row>
    <row r="1537" spans="49:49" ht="15" customHeight="1">
      <c r="AW1537" s="122">
        <v>1251</v>
      </c>
    </row>
    <row r="1538" spans="49:49" ht="15" customHeight="1">
      <c r="AW1538" s="122">
        <v>1252</v>
      </c>
    </row>
    <row r="1539" spans="49:49" ht="15" customHeight="1">
      <c r="AW1539" s="122">
        <v>1253</v>
      </c>
    </row>
    <row r="1540" spans="49:49" ht="15" customHeight="1">
      <c r="AW1540" s="122">
        <v>1254</v>
      </c>
    </row>
    <row r="1541" spans="49:49" ht="15" customHeight="1">
      <c r="AW1541" s="122">
        <v>1255</v>
      </c>
    </row>
    <row r="1542" spans="49:49" ht="15" customHeight="1">
      <c r="AW1542" s="122">
        <v>1256</v>
      </c>
    </row>
    <row r="1543" spans="49:49" ht="15" customHeight="1">
      <c r="AW1543" s="122">
        <v>1257</v>
      </c>
    </row>
    <row r="1544" spans="49:49" ht="15" customHeight="1">
      <c r="AW1544" s="122">
        <v>1258</v>
      </c>
    </row>
    <row r="1545" spans="49:49" ht="15" customHeight="1">
      <c r="AW1545" s="122">
        <v>1259</v>
      </c>
    </row>
    <row r="1546" spans="49:49" ht="15" customHeight="1">
      <c r="AW1546" s="122">
        <v>1260</v>
      </c>
    </row>
    <row r="1547" spans="49:49" ht="15" customHeight="1">
      <c r="AW1547" s="122">
        <v>1261</v>
      </c>
    </row>
    <row r="1548" spans="49:49" ht="15" customHeight="1">
      <c r="AW1548" s="122">
        <v>1262</v>
      </c>
    </row>
    <row r="1549" spans="49:49" ht="15" customHeight="1">
      <c r="AW1549" s="122">
        <v>1263</v>
      </c>
    </row>
    <row r="1550" spans="49:49" ht="15" customHeight="1">
      <c r="AW1550" s="122">
        <v>1264</v>
      </c>
    </row>
    <row r="1551" spans="49:49" ht="15" customHeight="1">
      <c r="AW1551" s="122">
        <v>1265</v>
      </c>
    </row>
    <row r="1552" spans="49:49" ht="15" customHeight="1">
      <c r="AW1552" s="122">
        <v>1266</v>
      </c>
    </row>
    <row r="1553" spans="49:49" ht="15" customHeight="1">
      <c r="AW1553" s="122">
        <v>1267</v>
      </c>
    </row>
    <row r="1554" spans="49:49" ht="15" customHeight="1">
      <c r="AW1554" s="122">
        <v>1268</v>
      </c>
    </row>
    <row r="1555" spans="49:49" ht="15" customHeight="1">
      <c r="AW1555" s="122">
        <v>1269</v>
      </c>
    </row>
    <row r="1556" spans="49:49" ht="15" customHeight="1">
      <c r="AW1556" s="122">
        <v>1270</v>
      </c>
    </row>
    <row r="1557" spans="49:49" ht="15" customHeight="1">
      <c r="AW1557" s="122">
        <v>1271</v>
      </c>
    </row>
    <row r="1558" spans="49:49" ht="15" customHeight="1">
      <c r="AW1558" s="122">
        <v>1272</v>
      </c>
    </row>
    <row r="1559" spans="49:49" ht="15" customHeight="1">
      <c r="AW1559" s="122">
        <v>1273</v>
      </c>
    </row>
    <row r="1560" spans="49:49" ht="15" customHeight="1">
      <c r="AW1560" s="122">
        <v>1274</v>
      </c>
    </row>
    <row r="1561" spans="49:49" ht="15" customHeight="1">
      <c r="AW1561" s="122">
        <v>1275</v>
      </c>
    </row>
    <row r="1562" spans="49:49" ht="15" customHeight="1">
      <c r="AW1562" s="122">
        <v>1276</v>
      </c>
    </row>
    <row r="1563" spans="49:49" ht="15" customHeight="1">
      <c r="AW1563" s="122">
        <v>1277</v>
      </c>
    </row>
    <row r="1564" spans="49:49" ht="15" customHeight="1">
      <c r="AW1564" s="122">
        <v>1278</v>
      </c>
    </row>
    <row r="1565" spans="49:49" ht="15" customHeight="1">
      <c r="AW1565" s="122">
        <v>1279</v>
      </c>
    </row>
    <row r="1566" spans="49:49" ht="15" customHeight="1">
      <c r="AW1566" s="122">
        <v>1280</v>
      </c>
    </row>
    <row r="1567" spans="49:49" ht="15" customHeight="1">
      <c r="AW1567" s="122">
        <v>1281</v>
      </c>
    </row>
    <row r="1568" spans="49:49" ht="15" customHeight="1">
      <c r="AW1568" s="122">
        <v>1282</v>
      </c>
    </row>
    <row r="1569" spans="49:49" ht="15" customHeight="1">
      <c r="AW1569" s="122">
        <v>1283</v>
      </c>
    </row>
    <row r="1570" spans="49:49" ht="15" customHeight="1">
      <c r="AW1570" s="122">
        <v>1284</v>
      </c>
    </row>
    <row r="1571" spans="49:49" ht="15" customHeight="1">
      <c r="AW1571" s="122">
        <v>1285</v>
      </c>
    </row>
    <row r="1572" spans="49:49" ht="15" customHeight="1">
      <c r="AW1572" s="122">
        <v>1286</v>
      </c>
    </row>
    <row r="1573" spans="49:49" ht="15" customHeight="1">
      <c r="AW1573" s="122">
        <v>1287</v>
      </c>
    </row>
    <row r="1574" spans="49:49" ht="15" customHeight="1">
      <c r="AW1574" s="122">
        <v>1288</v>
      </c>
    </row>
    <row r="1575" spans="49:49" ht="15" customHeight="1">
      <c r="AW1575" s="122">
        <v>1289</v>
      </c>
    </row>
    <row r="1576" spans="49:49" ht="15" customHeight="1">
      <c r="AW1576" s="122">
        <v>1290</v>
      </c>
    </row>
    <row r="1577" spans="49:49" ht="15" customHeight="1">
      <c r="AW1577" s="122">
        <v>1291</v>
      </c>
    </row>
    <row r="1578" spans="49:49" ht="15" customHeight="1">
      <c r="AW1578" s="122">
        <v>1292</v>
      </c>
    </row>
    <row r="1579" spans="49:49" ht="15" customHeight="1">
      <c r="AW1579" s="122">
        <v>1293</v>
      </c>
    </row>
    <row r="1580" spans="49:49" ht="15" customHeight="1">
      <c r="AW1580" s="122">
        <v>1294</v>
      </c>
    </row>
    <row r="1581" spans="49:49" ht="15" customHeight="1">
      <c r="AW1581" s="122">
        <v>1295</v>
      </c>
    </row>
    <row r="1582" spans="49:49" ht="15" customHeight="1">
      <c r="AW1582" s="122">
        <v>1296</v>
      </c>
    </row>
    <row r="1583" spans="49:49" ht="15" customHeight="1">
      <c r="AW1583" s="122">
        <v>1297</v>
      </c>
    </row>
    <row r="1584" spans="49:49" ht="15" customHeight="1">
      <c r="AW1584" s="122">
        <v>1298</v>
      </c>
    </row>
    <row r="1585" spans="49:49" ht="15" customHeight="1">
      <c r="AW1585" s="122">
        <v>1299</v>
      </c>
    </row>
    <row r="1586" spans="49:49" ht="15" customHeight="1">
      <c r="AW1586" s="122">
        <v>1300</v>
      </c>
    </row>
    <row r="1587" spans="49:49" ht="15" customHeight="1">
      <c r="AW1587" s="122">
        <v>1301</v>
      </c>
    </row>
    <row r="1588" spans="49:49" ht="15" customHeight="1">
      <c r="AW1588" s="122">
        <v>1302</v>
      </c>
    </row>
    <row r="1589" spans="49:49" ht="15" customHeight="1">
      <c r="AW1589" s="122">
        <v>1303</v>
      </c>
    </row>
    <row r="1590" spans="49:49" ht="15" customHeight="1">
      <c r="AW1590" s="122">
        <v>1304</v>
      </c>
    </row>
    <row r="1591" spans="49:49" ht="15" customHeight="1">
      <c r="AW1591" s="122">
        <v>1305</v>
      </c>
    </row>
    <row r="1592" spans="49:49" ht="15" customHeight="1">
      <c r="AW1592" s="122">
        <v>1306</v>
      </c>
    </row>
    <row r="1593" spans="49:49" ht="15" customHeight="1">
      <c r="AW1593" s="122">
        <v>1307</v>
      </c>
    </row>
    <row r="1594" spans="49:49" ht="15" customHeight="1">
      <c r="AW1594" s="122">
        <v>1308</v>
      </c>
    </row>
    <row r="1595" spans="49:49" ht="15" customHeight="1">
      <c r="AW1595" s="122">
        <v>1309</v>
      </c>
    </row>
    <row r="1596" spans="49:49" ht="15" customHeight="1">
      <c r="AW1596" s="122">
        <v>1310</v>
      </c>
    </row>
    <row r="1597" spans="49:49" ht="15" customHeight="1">
      <c r="AW1597" s="122">
        <v>1311</v>
      </c>
    </row>
    <row r="1598" spans="49:49" ht="15" customHeight="1">
      <c r="AW1598" s="122">
        <v>1312</v>
      </c>
    </row>
    <row r="1599" spans="49:49" ht="15" customHeight="1">
      <c r="AW1599" s="122">
        <v>1313</v>
      </c>
    </row>
    <row r="1600" spans="49:49" ht="15" customHeight="1">
      <c r="AW1600" s="122">
        <v>1314</v>
      </c>
    </row>
    <row r="1601" spans="49:49" ht="15" customHeight="1">
      <c r="AW1601" s="122">
        <v>1315</v>
      </c>
    </row>
    <row r="1602" spans="49:49" ht="15" customHeight="1">
      <c r="AW1602" s="122">
        <v>1316</v>
      </c>
    </row>
    <row r="1603" spans="49:49" ht="15" customHeight="1">
      <c r="AW1603" s="122">
        <v>1317</v>
      </c>
    </row>
    <row r="1604" spans="49:49" ht="15" customHeight="1">
      <c r="AW1604" s="122">
        <v>1318</v>
      </c>
    </row>
    <row r="1605" spans="49:49" ht="15" customHeight="1">
      <c r="AW1605" s="122">
        <v>1319</v>
      </c>
    </row>
    <row r="1606" spans="49:49" ht="15" customHeight="1">
      <c r="AW1606" s="122">
        <v>1320</v>
      </c>
    </row>
    <row r="1607" spans="49:49" ht="15" customHeight="1">
      <c r="AW1607" s="122">
        <v>1321</v>
      </c>
    </row>
    <row r="1608" spans="49:49" ht="15" customHeight="1">
      <c r="AW1608" s="122">
        <v>1322</v>
      </c>
    </row>
    <row r="1609" spans="49:49" ht="15" customHeight="1">
      <c r="AW1609" s="122">
        <v>1323</v>
      </c>
    </row>
    <row r="1610" spans="49:49" ht="15" customHeight="1">
      <c r="AW1610" s="122">
        <v>1324</v>
      </c>
    </row>
    <row r="1611" spans="49:49" ht="15" customHeight="1">
      <c r="AW1611" s="122">
        <v>1325</v>
      </c>
    </row>
    <row r="1612" spans="49:49" ht="15" customHeight="1">
      <c r="AW1612" s="122">
        <v>1326</v>
      </c>
    </row>
    <row r="1613" spans="49:49" ht="15" customHeight="1">
      <c r="AW1613" s="122">
        <v>1327</v>
      </c>
    </row>
    <row r="1614" spans="49:49" ht="15" customHeight="1">
      <c r="AW1614" s="122">
        <v>1328</v>
      </c>
    </row>
    <row r="1615" spans="49:49" ht="15" customHeight="1">
      <c r="AW1615" s="122">
        <v>1329</v>
      </c>
    </row>
    <row r="1616" spans="49:49" ht="15" customHeight="1">
      <c r="AW1616" s="122">
        <v>1330</v>
      </c>
    </row>
    <row r="1617" spans="49:49" ht="15" customHeight="1">
      <c r="AW1617" s="122">
        <v>1331</v>
      </c>
    </row>
    <row r="1618" spans="49:49" ht="15" customHeight="1">
      <c r="AW1618" s="122">
        <v>1332</v>
      </c>
    </row>
    <row r="1619" spans="49:49" ht="15" customHeight="1">
      <c r="AW1619" s="122">
        <v>1333</v>
      </c>
    </row>
    <row r="1620" spans="49:49" ht="15" customHeight="1">
      <c r="AW1620" s="122">
        <v>1334</v>
      </c>
    </row>
    <row r="1621" spans="49:49" ht="15" customHeight="1">
      <c r="AW1621" s="122">
        <v>1335</v>
      </c>
    </row>
    <row r="1622" spans="49:49" ht="15" customHeight="1">
      <c r="AW1622" s="122">
        <v>1336</v>
      </c>
    </row>
    <row r="1623" spans="49:49" ht="15" customHeight="1">
      <c r="AW1623" s="122">
        <v>1337</v>
      </c>
    </row>
    <row r="1624" spans="49:49" ht="15" customHeight="1">
      <c r="AW1624" s="122">
        <v>1338</v>
      </c>
    </row>
    <row r="1625" spans="49:49" ht="15" customHeight="1">
      <c r="AW1625" s="122">
        <v>1339</v>
      </c>
    </row>
    <row r="1626" spans="49:49" ht="15" customHeight="1">
      <c r="AW1626" s="122">
        <v>1340</v>
      </c>
    </row>
    <row r="1627" spans="49:49" ht="15" customHeight="1">
      <c r="AW1627" s="122">
        <v>1341</v>
      </c>
    </row>
    <row r="1628" spans="49:49" ht="15" customHeight="1">
      <c r="AW1628" s="122">
        <v>1342</v>
      </c>
    </row>
    <row r="1629" spans="49:49" ht="15" customHeight="1">
      <c r="AW1629" s="122">
        <v>1343</v>
      </c>
    </row>
    <row r="1630" spans="49:49" ht="15" customHeight="1">
      <c r="AW1630" s="122">
        <v>1344</v>
      </c>
    </row>
    <row r="1631" spans="49:49" ht="15" customHeight="1">
      <c r="AW1631" s="122">
        <v>1345</v>
      </c>
    </row>
    <row r="1632" spans="49:49" ht="15" customHeight="1">
      <c r="AW1632" s="122">
        <v>1346</v>
      </c>
    </row>
    <row r="1633" spans="49:49" ht="15" customHeight="1">
      <c r="AW1633" s="122">
        <v>1347</v>
      </c>
    </row>
    <row r="1634" spans="49:49" ht="15" customHeight="1">
      <c r="AW1634" s="122">
        <v>1348</v>
      </c>
    </row>
    <row r="1635" spans="49:49" ht="15" customHeight="1">
      <c r="AW1635" s="122">
        <v>1349</v>
      </c>
    </row>
    <row r="1636" spans="49:49" ht="15" customHeight="1">
      <c r="AW1636" s="122">
        <v>1350</v>
      </c>
    </row>
    <row r="1637" spans="49:49" ht="15" customHeight="1">
      <c r="AW1637" s="122">
        <v>1351</v>
      </c>
    </row>
    <row r="1638" spans="49:49" ht="15" customHeight="1">
      <c r="AW1638" s="122">
        <v>1352</v>
      </c>
    </row>
    <row r="1639" spans="49:49" ht="15" customHeight="1">
      <c r="AW1639" s="122">
        <v>1353</v>
      </c>
    </row>
    <row r="1640" spans="49:49" ht="15" customHeight="1">
      <c r="AW1640" s="122">
        <v>1354</v>
      </c>
    </row>
    <row r="1641" spans="49:49" ht="15" customHeight="1">
      <c r="AW1641" s="122">
        <v>1355</v>
      </c>
    </row>
    <row r="1642" spans="49:49" ht="15" customHeight="1">
      <c r="AW1642" s="122">
        <v>1356</v>
      </c>
    </row>
    <row r="1643" spans="49:49" ht="15" customHeight="1">
      <c r="AW1643" s="122">
        <v>1357</v>
      </c>
    </row>
    <row r="1644" spans="49:49" ht="15" customHeight="1">
      <c r="AW1644" s="122">
        <v>1358</v>
      </c>
    </row>
    <row r="1645" spans="49:49" ht="15" customHeight="1">
      <c r="AW1645" s="122">
        <v>1359</v>
      </c>
    </row>
    <row r="1646" spans="49:49" ht="15" customHeight="1">
      <c r="AW1646" s="122">
        <v>1360</v>
      </c>
    </row>
    <row r="1647" spans="49:49" ht="15" customHeight="1">
      <c r="AW1647" s="122">
        <v>1361</v>
      </c>
    </row>
    <row r="1648" spans="49:49" ht="15" customHeight="1">
      <c r="AW1648" s="122">
        <v>1362</v>
      </c>
    </row>
    <row r="1649" spans="49:49" ht="15" customHeight="1">
      <c r="AW1649" s="122">
        <v>1363</v>
      </c>
    </row>
    <row r="1650" spans="49:49" ht="15" customHeight="1">
      <c r="AW1650" s="122">
        <v>1364</v>
      </c>
    </row>
    <row r="1651" spans="49:49" ht="15" customHeight="1">
      <c r="AW1651" s="122">
        <v>1365</v>
      </c>
    </row>
    <row r="1652" spans="49:49" ht="15" customHeight="1">
      <c r="AW1652" s="122">
        <v>1366</v>
      </c>
    </row>
    <row r="1653" spans="49:49" ht="15" customHeight="1">
      <c r="AW1653" s="122">
        <v>1367</v>
      </c>
    </row>
    <row r="1654" spans="49:49" ht="15" customHeight="1">
      <c r="AW1654" s="122">
        <v>1368</v>
      </c>
    </row>
    <row r="1655" spans="49:49" ht="15" customHeight="1">
      <c r="AW1655" s="122">
        <v>1369</v>
      </c>
    </row>
    <row r="1656" spans="49:49" ht="15" customHeight="1">
      <c r="AW1656" s="122">
        <v>1370</v>
      </c>
    </row>
    <row r="1657" spans="49:49" ht="15" customHeight="1">
      <c r="AW1657" s="122">
        <v>1371</v>
      </c>
    </row>
    <row r="1658" spans="49:49" ht="15" customHeight="1">
      <c r="AW1658" s="122">
        <v>1372</v>
      </c>
    </row>
    <row r="1659" spans="49:49" ht="15" customHeight="1">
      <c r="AW1659" s="122">
        <v>1373</v>
      </c>
    </row>
    <row r="1660" spans="49:49" ht="15" customHeight="1">
      <c r="AW1660" s="122">
        <v>1374</v>
      </c>
    </row>
    <row r="1661" spans="49:49" ht="15" customHeight="1">
      <c r="AW1661" s="122">
        <v>1375</v>
      </c>
    </row>
    <row r="1662" spans="49:49" ht="15" customHeight="1">
      <c r="AW1662" s="122">
        <v>1376</v>
      </c>
    </row>
    <row r="1663" spans="49:49" ht="15" customHeight="1">
      <c r="AW1663" s="122">
        <v>1377</v>
      </c>
    </row>
    <row r="1664" spans="49:49" ht="15" customHeight="1">
      <c r="AW1664" s="122">
        <v>1378</v>
      </c>
    </row>
    <row r="1665" spans="49:49" ht="15" customHeight="1">
      <c r="AW1665" s="122">
        <v>1379</v>
      </c>
    </row>
    <row r="1666" spans="49:49" ht="15" customHeight="1">
      <c r="AW1666" s="122">
        <v>1380</v>
      </c>
    </row>
    <row r="1667" spans="49:49" ht="15" customHeight="1">
      <c r="AW1667" s="122">
        <v>1381</v>
      </c>
    </row>
    <row r="1668" spans="49:49" ht="15" customHeight="1">
      <c r="AW1668" s="122">
        <v>1382</v>
      </c>
    </row>
    <row r="1669" spans="49:49" ht="15" customHeight="1">
      <c r="AW1669" s="122">
        <v>1383</v>
      </c>
    </row>
    <row r="1670" spans="49:49" ht="15" customHeight="1">
      <c r="AW1670" s="122">
        <v>1384</v>
      </c>
    </row>
    <row r="1671" spans="49:49" ht="15" customHeight="1">
      <c r="AW1671" s="122">
        <v>1385</v>
      </c>
    </row>
    <row r="1672" spans="49:49" ht="15" customHeight="1">
      <c r="AW1672" s="122">
        <v>1386</v>
      </c>
    </row>
    <row r="1673" spans="49:49" ht="15" customHeight="1">
      <c r="AW1673" s="122">
        <v>1387</v>
      </c>
    </row>
    <row r="1674" spans="49:49" ht="15" customHeight="1">
      <c r="AW1674" s="122">
        <v>1388</v>
      </c>
    </row>
    <row r="1675" spans="49:49" ht="15" customHeight="1">
      <c r="AW1675" s="122">
        <v>1389</v>
      </c>
    </row>
    <row r="1676" spans="49:49" ht="15" customHeight="1">
      <c r="AW1676" s="122">
        <v>1390</v>
      </c>
    </row>
    <row r="1677" spans="49:49" ht="15" customHeight="1">
      <c r="AW1677" s="122">
        <v>1391</v>
      </c>
    </row>
    <row r="1678" spans="49:49" ht="15" customHeight="1">
      <c r="AW1678" s="122">
        <v>1392</v>
      </c>
    </row>
    <row r="1679" spans="49:49" ht="15" customHeight="1">
      <c r="AW1679" s="122">
        <v>1393</v>
      </c>
    </row>
    <row r="1680" spans="49:49" ht="15" customHeight="1">
      <c r="AW1680" s="122">
        <v>1394</v>
      </c>
    </row>
    <row r="1681" spans="49:49" ht="15" customHeight="1">
      <c r="AW1681" s="122">
        <v>1395</v>
      </c>
    </row>
    <row r="1682" spans="49:49" ht="15" customHeight="1">
      <c r="AW1682" s="122">
        <v>1396</v>
      </c>
    </row>
    <row r="1683" spans="49:49" ht="15" customHeight="1">
      <c r="AW1683" s="122">
        <v>1397</v>
      </c>
    </row>
    <row r="1684" spans="49:49" ht="15" customHeight="1">
      <c r="AW1684" s="122">
        <v>1398</v>
      </c>
    </row>
    <row r="1685" spans="49:49" ht="15" customHeight="1">
      <c r="AW1685" s="122">
        <v>1399</v>
      </c>
    </row>
    <row r="1686" spans="49:49" ht="15" customHeight="1">
      <c r="AW1686" s="122">
        <v>1400</v>
      </c>
    </row>
    <row r="1687" spans="49:49" ht="15" customHeight="1">
      <c r="AW1687" s="122">
        <v>1401</v>
      </c>
    </row>
    <row r="1688" spans="49:49" ht="15" customHeight="1">
      <c r="AW1688" s="122">
        <v>1402</v>
      </c>
    </row>
    <row r="1689" spans="49:49" ht="15" customHeight="1">
      <c r="AW1689" s="122">
        <v>1403</v>
      </c>
    </row>
    <row r="1690" spans="49:49" ht="15" customHeight="1">
      <c r="AW1690" s="122">
        <v>1404</v>
      </c>
    </row>
    <row r="1691" spans="49:49" ht="15" customHeight="1">
      <c r="AW1691" s="122">
        <v>1405</v>
      </c>
    </row>
    <row r="1692" spans="49:49" ht="15" customHeight="1">
      <c r="AW1692" s="122">
        <v>1406</v>
      </c>
    </row>
    <row r="1693" spans="49:49" ht="15" customHeight="1">
      <c r="AW1693" s="122">
        <v>1407</v>
      </c>
    </row>
    <row r="1694" spans="49:49" ht="15" customHeight="1">
      <c r="AW1694" s="122">
        <v>1408</v>
      </c>
    </row>
    <row r="1695" spans="49:49" ht="15" customHeight="1">
      <c r="AW1695" s="122">
        <v>1409</v>
      </c>
    </row>
    <row r="1696" spans="49:49" ht="15" customHeight="1">
      <c r="AW1696" s="122">
        <v>1410</v>
      </c>
    </row>
    <row r="1697" spans="49:49" ht="15" customHeight="1">
      <c r="AW1697" s="122">
        <v>1411</v>
      </c>
    </row>
    <row r="1698" spans="49:49" ht="15" customHeight="1">
      <c r="AW1698" s="122">
        <v>1412</v>
      </c>
    </row>
    <row r="1699" spans="49:49" ht="15" customHeight="1">
      <c r="AW1699" s="122">
        <v>1413</v>
      </c>
    </row>
    <row r="1700" spans="49:49" ht="15" customHeight="1">
      <c r="AW1700" s="122">
        <v>1414</v>
      </c>
    </row>
    <row r="1701" spans="49:49" ht="15" customHeight="1">
      <c r="AW1701" s="122">
        <v>1415</v>
      </c>
    </row>
    <row r="1702" spans="49:49" ht="15" customHeight="1">
      <c r="AW1702" s="122">
        <v>1416</v>
      </c>
    </row>
    <row r="1703" spans="49:49" ht="15" customHeight="1">
      <c r="AW1703" s="122">
        <v>1417</v>
      </c>
    </row>
    <row r="1704" spans="49:49" ht="15" customHeight="1">
      <c r="AW1704" s="122">
        <v>1418</v>
      </c>
    </row>
    <row r="1705" spans="49:49" ht="15" customHeight="1">
      <c r="AW1705" s="122">
        <v>1419</v>
      </c>
    </row>
    <row r="1706" spans="49:49" ht="15" customHeight="1">
      <c r="AW1706" s="122">
        <v>1420</v>
      </c>
    </row>
    <row r="1707" spans="49:49" ht="15" customHeight="1">
      <c r="AW1707" s="122">
        <v>1421</v>
      </c>
    </row>
    <row r="1708" spans="49:49" ht="15" customHeight="1">
      <c r="AW1708" s="122">
        <v>1422</v>
      </c>
    </row>
    <row r="1709" spans="49:49" ht="15" customHeight="1">
      <c r="AW1709" s="122">
        <v>1423</v>
      </c>
    </row>
    <row r="1710" spans="49:49" ht="15" customHeight="1">
      <c r="AW1710" s="122">
        <v>1424</v>
      </c>
    </row>
    <row r="1711" spans="49:49" ht="15" customHeight="1">
      <c r="AW1711" s="122">
        <v>1425</v>
      </c>
    </row>
    <row r="1712" spans="49:49" ht="15" customHeight="1">
      <c r="AW1712" s="122">
        <v>1426</v>
      </c>
    </row>
    <row r="1713" spans="49:49" ht="15" customHeight="1">
      <c r="AW1713" s="122">
        <v>1427</v>
      </c>
    </row>
    <row r="1714" spans="49:49" ht="15" customHeight="1">
      <c r="AW1714" s="122">
        <v>1428</v>
      </c>
    </row>
    <row r="1715" spans="49:49" ht="15" customHeight="1">
      <c r="AW1715" s="122">
        <v>1429</v>
      </c>
    </row>
    <row r="1716" spans="49:49" ht="15" customHeight="1">
      <c r="AW1716" s="122">
        <v>1430</v>
      </c>
    </row>
    <row r="1717" spans="49:49" ht="15" customHeight="1">
      <c r="AW1717" s="122">
        <v>1431</v>
      </c>
    </row>
    <row r="1718" spans="49:49" ht="15" customHeight="1">
      <c r="AW1718" s="122">
        <v>1432</v>
      </c>
    </row>
    <row r="1719" spans="49:49" ht="15" customHeight="1">
      <c r="AW1719" s="122">
        <v>1433</v>
      </c>
    </row>
    <row r="1720" spans="49:49" ht="15" customHeight="1">
      <c r="AW1720" s="122">
        <v>1434</v>
      </c>
    </row>
    <row r="1721" spans="49:49" ht="15" customHeight="1">
      <c r="AW1721" s="122">
        <v>1435</v>
      </c>
    </row>
    <row r="1722" spans="49:49" ht="15" customHeight="1">
      <c r="AW1722" s="122">
        <v>1436</v>
      </c>
    </row>
    <row r="1723" spans="49:49" ht="15" customHeight="1">
      <c r="AW1723" s="122">
        <v>1437</v>
      </c>
    </row>
    <row r="1724" spans="49:49" ht="15" customHeight="1">
      <c r="AW1724" s="122">
        <v>1438</v>
      </c>
    </row>
    <row r="1725" spans="49:49" ht="15" customHeight="1">
      <c r="AW1725" s="122">
        <v>1439</v>
      </c>
    </row>
    <row r="1726" spans="49:49" ht="15" customHeight="1">
      <c r="AW1726" s="122">
        <v>1440</v>
      </c>
    </row>
    <row r="1727" spans="49:49" ht="15" customHeight="1">
      <c r="AW1727" s="122">
        <v>1441</v>
      </c>
    </row>
    <row r="1728" spans="49:49" ht="15" customHeight="1">
      <c r="AW1728" s="122">
        <v>1442</v>
      </c>
    </row>
    <row r="1729" spans="49:49" ht="15" customHeight="1">
      <c r="AW1729" s="122">
        <v>1443</v>
      </c>
    </row>
    <row r="1730" spans="49:49" ht="15" customHeight="1">
      <c r="AW1730" s="122">
        <v>1444</v>
      </c>
    </row>
    <row r="1731" spans="49:49" ht="15" customHeight="1">
      <c r="AW1731" s="122">
        <v>1445</v>
      </c>
    </row>
    <row r="1732" spans="49:49" ht="15" customHeight="1">
      <c r="AW1732" s="122">
        <v>1446</v>
      </c>
    </row>
    <row r="1733" spans="49:49" ht="15" customHeight="1">
      <c r="AW1733" s="122">
        <v>1447</v>
      </c>
    </row>
    <row r="1734" spans="49:49" ht="15" customHeight="1">
      <c r="AW1734" s="122">
        <v>1448</v>
      </c>
    </row>
    <row r="1735" spans="49:49" ht="15" customHeight="1">
      <c r="AW1735" s="122">
        <v>1449</v>
      </c>
    </row>
    <row r="1736" spans="49:49" ht="15" customHeight="1">
      <c r="AW1736" s="122">
        <v>1450</v>
      </c>
    </row>
    <row r="1737" spans="49:49" ht="15" customHeight="1">
      <c r="AW1737" s="122">
        <v>1451</v>
      </c>
    </row>
    <row r="1738" spans="49:49" ht="15" customHeight="1">
      <c r="AW1738" s="122">
        <v>1452</v>
      </c>
    </row>
    <row r="1739" spans="49:49" ht="15" customHeight="1">
      <c r="AW1739" s="122">
        <v>1453</v>
      </c>
    </row>
    <row r="1740" spans="49:49" ht="15" customHeight="1">
      <c r="AW1740" s="122">
        <v>1454</v>
      </c>
    </row>
    <row r="1741" spans="49:49" ht="15" customHeight="1">
      <c r="AW1741" s="122">
        <v>1455</v>
      </c>
    </row>
    <row r="1742" spans="49:49" ht="15" customHeight="1">
      <c r="AW1742" s="122">
        <v>1456</v>
      </c>
    </row>
    <row r="1743" spans="49:49" ht="15" customHeight="1">
      <c r="AW1743" s="122">
        <v>1457</v>
      </c>
    </row>
    <row r="1744" spans="49:49" ht="15" customHeight="1">
      <c r="AW1744" s="122">
        <v>1458</v>
      </c>
    </row>
    <row r="1745" spans="49:49" ht="15" customHeight="1">
      <c r="AW1745" s="122">
        <v>1459</v>
      </c>
    </row>
    <row r="1746" spans="49:49" ht="15" customHeight="1">
      <c r="AW1746" s="122">
        <v>1460</v>
      </c>
    </row>
    <row r="1747" spans="49:49" ht="15" customHeight="1">
      <c r="AW1747" s="122">
        <v>1461</v>
      </c>
    </row>
    <row r="1748" spans="49:49" ht="15" customHeight="1">
      <c r="AW1748" s="122">
        <v>1462</v>
      </c>
    </row>
    <row r="1749" spans="49:49" ht="15" customHeight="1">
      <c r="AW1749" s="122">
        <v>1463</v>
      </c>
    </row>
    <row r="1750" spans="49:49" ht="15" customHeight="1">
      <c r="AW1750" s="122">
        <v>1464</v>
      </c>
    </row>
    <row r="1751" spans="49:49" ht="15" customHeight="1">
      <c r="AW1751" s="122">
        <v>1465</v>
      </c>
    </row>
    <row r="1752" spans="49:49" ht="15" customHeight="1">
      <c r="AW1752" s="122">
        <v>1466</v>
      </c>
    </row>
    <row r="1753" spans="49:49" ht="15" customHeight="1">
      <c r="AW1753" s="122">
        <v>1467</v>
      </c>
    </row>
    <row r="1754" spans="49:49" ht="15" customHeight="1">
      <c r="AW1754" s="122">
        <v>1468</v>
      </c>
    </row>
    <row r="1755" spans="49:49" ht="15" customHeight="1">
      <c r="AW1755" s="122">
        <v>1469</v>
      </c>
    </row>
    <row r="1756" spans="49:49" ht="15" customHeight="1">
      <c r="AW1756" s="122">
        <v>1470</v>
      </c>
    </row>
    <row r="1757" spans="49:49" ht="15" customHeight="1">
      <c r="AW1757" s="122">
        <v>1471</v>
      </c>
    </row>
    <row r="1758" spans="49:49" ht="15" customHeight="1">
      <c r="AW1758" s="122">
        <v>1472</v>
      </c>
    </row>
    <row r="1759" spans="49:49" ht="15" customHeight="1">
      <c r="AW1759" s="122">
        <v>1473</v>
      </c>
    </row>
    <row r="1760" spans="49:49" ht="15" customHeight="1">
      <c r="AW1760" s="122">
        <v>1474</v>
      </c>
    </row>
    <row r="1761" spans="49:49" ht="15" customHeight="1">
      <c r="AW1761" s="122">
        <v>1475</v>
      </c>
    </row>
    <row r="1762" spans="49:49" ht="15" customHeight="1">
      <c r="AW1762" s="122">
        <v>1476</v>
      </c>
    </row>
    <row r="1763" spans="49:49" ht="15" customHeight="1">
      <c r="AW1763" s="122">
        <v>1477</v>
      </c>
    </row>
    <row r="1764" spans="49:49" ht="15" customHeight="1">
      <c r="AW1764" s="122">
        <v>1478</v>
      </c>
    </row>
    <row r="1765" spans="49:49" ht="15" customHeight="1">
      <c r="AW1765" s="122">
        <v>1479</v>
      </c>
    </row>
    <row r="1766" spans="49:49" ht="15" customHeight="1">
      <c r="AW1766" s="122">
        <v>1480</v>
      </c>
    </row>
    <row r="1767" spans="49:49" ht="15" customHeight="1">
      <c r="AW1767" s="122">
        <v>1481</v>
      </c>
    </row>
    <row r="1768" spans="49:49" ht="15" customHeight="1">
      <c r="AW1768" s="122">
        <v>1482</v>
      </c>
    </row>
    <row r="1769" spans="49:49" ht="15" customHeight="1">
      <c r="AW1769" s="122">
        <v>1483</v>
      </c>
    </row>
    <row r="1770" spans="49:49" ht="15" customHeight="1">
      <c r="AW1770" s="122">
        <v>1484</v>
      </c>
    </row>
    <row r="1771" spans="49:49" ht="15" customHeight="1">
      <c r="AW1771" s="122">
        <v>1485</v>
      </c>
    </row>
    <row r="1772" spans="49:49" ht="15" customHeight="1">
      <c r="AW1772" s="122">
        <v>1486</v>
      </c>
    </row>
    <row r="1773" spans="49:49" ht="15" customHeight="1">
      <c r="AW1773" s="122">
        <v>1487</v>
      </c>
    </row>
    <row r="1774" spans="49:49" ht="15" customHeight="1">
      <c r="AW1774" s="122">
        <v>1488</v>
      </c>
    </row>
    <row r="1775" spans="49:49" ht="15" customHeight="1">
      <c r="AW1775" s="122">
        <v>1489</v>
      </c>
    </row>
    <row r="1776" spans="49:49" ht="15" customHeight="1">
      <c r="AW1776" s="122">
        <v>1490</v>
      </c>
    </row>
    <row r="1777" spans="49:49" ht="15" customHeight="1">
      <c r="AW1777" s="122">
        <v>1491</v>
      </c>
    </row>
    <row r="1778" spans="49:49" ht="15" customHeight="1">
      <c r="AW1778" s="122">
        <v>1492</v>
      </c>
    </row>
  </sheetData>
  <mergeCells count="16">
    <mergeCell ref="C288:J289"/>
    <mergeCell ref="B283:C283"/>
    <mergeCell ref="D282:N282"/>
    <mergeCell ref="D283:N283"/>
    <mergeCell ref="B279:C279"/>
    <mergeCell ref="D279:N279"/>
    <mergeCell ref="B280:C280"/>
    <mergeCell ref="D280:O280"/>
    <mergeCell ref="B281:C281"/>
    <mergeCell ref="D281:O281"/>
    <mergeCell ref="B276:C276"/>
    <mergeCell ref="D276:O276"/>
    <mergeCell ref="B277:C277"/>
    <mergeCell ref="D277:N277"/>
    <mergeCell ref="B278:C278"/>
    <mergeCell ref="D278:N278"/>
  </mergeCells>
  <conditionalFormatting sqref="AP301:AR303 AS299:AT303 AR294:AT294 AS293:AT293 AR291:AT292 AP291:AQ294">
    <cfRule type="colorScale" priority="2">
      <colorScale>
        <cfvo type="formula" val="$Q$213*0.5"/>
        <cfvo type="num" val="$Q$213"/>
        <cfvo type="formula" val="$Q$213*2"/>
        <color rgb="FFF8696B"/>
        <color rgb="FFFCFCFF"/>
        <color rgb="FF63BE7B"/>
      </colorScale>
    </cfRule>
  </conditionalFormatting>
  <conditionalFormatting sqref="AP295:AT295">
    <cfRule type="colorScale" priority="1">
      <colorScale>
        <cfvo type="formula" val="$Q$213*0.5"/>
        <cfvo type="num" val="$Q$213"/>
        <cfvo type="formula" val="$Q$213*2"/>
        <color rgb="FFF8696B"/>
        <color rgb="FFFCFCFF"/>
        <color rgb="FF63BE7B"/>
      </colorScale>
    </cfRule>
  </conditionalFormatting>
  <conditionalFormatting sqref="AP304:AT305">
    <cfRule type="colorScale" priority="3">
      <colorScale>
        <cfvo type="formula" val="$Q$213*0.5"/>
        <cfvo type="num" val="$Q$213"/>
        <cfvo type="formula" val="$Q$213*2"/>
        <color rgb="FFF8696B"/>
        <color rgb="FFFCFCFF"/>
        <color rgb="FF63BE7B"/>
      </colorScale>
    </cfRule>
  </conditionalFormatting>
  <pageMargins left="0.7" right="0.7" top="0.75" bottom="0.75" header="0.3" footer="0.3"/>
  <pageSetup paperSize="9" orientation="portrait" r:id="rId1"/>
  <ignoredErrors>
    <ignoredError sqref="AS290" evalError="1"/>
  </ignoredError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249977111117893"/>
  </sheetPr>
  <dimension ref="A2:T395"/>
  <sheetViews>
    <sheetView showGridLines="0" zoomScale="59" zoomScaleNormal="74" workbookViewId="0">
      <selection activeCell="I17" sqref="I17"/>
    </sheetView>
  </sheetViews>
  <sheetFormatPr defaultRowHeight="14.1"/>
  <cols>
    <col min="1" max="1" width="2.375" customWidth="1"/>
    <col min="2" max="2" width="18.125" customWidth="1"/>
    <col min="3" max="3" width="25.125" bestFit="1" customWidth="1"/>
    <col min="6" max="6" width="13.125" customWidth="1"/>
    <col min="7" max="7" width="17.5" style="22" bestFit="1" customWidth="1"/>
    <col min="8" max="11" width="11.125" style="22" bestFit="1" customWidth="1"/>
    <col min="12" max="17" width="10.625" style="22" customWidth="1"/>
    <col min="18" max="18" width="21.625" style="6" customWidth="1"/>
  </cols>
  <sheetData>
    <row r="2" spans="1:18" s="37" customFormat="1" ht="20.100000000000001" customHeight="1">
      <c r="B2" s="36" t="s">
        <v>559</v>
      </c>
      <c r="G2" s="214"/>
      <c r="H2" s="214"/>
      <c r="I2" s="214"/>
      <c r="J2" s="214"/>
      <c r="K2" s="214"/>
      <c r="L2" s="214"/>
      <c r="M2" s="214"/>
      <c r="N2" s="214"/>
      <c r="O2" s="214"/>
      <c r="P2" s="214"/>
      <c r="Q2" s="214"/>
      <c r="R2" s="38"/>
    </row>
    <row r="3" spans="1:18" ht="14.45">
      <c r="B3" s="85" t="s">
        <v>560</v>
      </c>
      <c r="Q3" s="251"/>
    </row>
    <row r="4" spans="1:18" ht="15.6">
      <c r="A4" t="s">
        <v>424</v>
      </c>
      <c r="B4" s="215" t="s">
        <v>272</v>
      </c>
      <c r="C4" s="52"/>
      <c r="D4" s="52"/>
      <c r="E4" s="52"/>
      <c r="F4" s="52"/>
      <c r="G4" s="216">
        <v>2014</v>
      </c>
      <c r="H4" s="216">
        <f>+G4+1</f>
        <v>2015</v>
      </c>
      <c r="I4" s="216">
        <f t="shared" ref="I4:M4" si="0">+H4+1</f>
        <v>2016</v>
      </c>
      <c r="J4" s="216">
        <f t="shared" si="0"/>
        <v>2017</v>
      </c>
      <c r="K4" s="216">
        <f t="shared" si="0"/>
        <v>2018</v>
      </c>
      <c r="L4" s="216">
        <f t="shared" si="0"/>
        <v>2019</v>
      </c>
      <c r="M4" s="216">
        <f t="shared" si="0"/>
        <v>2020</v>
      </c>
      <c r="N4" s="216">
        <f>+M4+1</f>
        <v>2021</v>
      </c>
      <c r="O4" s="216">
        <f>+N4+1</f>
        <v>2022</v>
      </c>
      <c r="P4" s="216">
        <f t="shared" ref="P4" si="1">+O4+1</f>
        <v>2023</v>
      </c>
      <c r="Q4" s="216">
        <f>+P4+1</f>
        <v>2024</v>
      </c>
      <c r="R4" s="54" t="str">
        <f>"CAGR "&amp;$G$4&amp;" - "&amp;$Q$4</f>
        <v>CAGR 2014 - 2024</v>
      </c>
    </row>
    <row r="5" spans="1:18" ht="3.95" customHeight="1">
      <c r="B5" s="49"/>
      <c r="C5" s="49"/>
      <c r="D5" s="49"/>
      <c r="E5" s="49"/>
      <c r="F5" s="49"/>
      <c r="G5" s="217"/>
      <c r="H5" s="217"/>
      <c r="I5" s="217"/>
      <c r="J5" s="217"/>
      <c r="K5" s="217"/>
      <c r="L5" s="217"/>
      <c r="M5" s="217"/>
      <c r="N5" s="217"/>
      <c r="O5" s="217"/>
      <c r="P5" s="217"/>
      <c r="Q5" s="217"/>
      <c r="R5" s="56"/>
    </row>
    <row r="6" spans="1:18">
      <c r="B6" s="1" t="s">
        <v>456</v>
      </c>
      <c r="G6" s="218">
        <f>IS!C6</f>
        <v>55870</v>
      </c>
      <c r="H6" s="218">
        <f>IS!D6</f>
        <v>55355</v>
      </c>
      <c r="I6" s="218">
        <f>IS!E6</f>
        <v>59387</v>
      </c>
      <c r="J6" s="218">
        <f>IS!F6</f>
        <v>62761</v>
      </c>
      <c r="K6" s="218">
        <f>IS!G6</f>
        <v>70848</v>
      </c>
      <c r="L6" s="218">
        <f>IS!H6</f>
        <v>67906</v>
      </c>
      <c r="M6" s="218">
        <f>IS!I6</f>
        <v>72900</v>
      </c>
      <c r="N6" s="218">
        <f>IS!J6</f>
        <v>74718</v>
      </c>
      <c r="O6" s="218">
        <f>IS!K6</f>
        <v>63054</v>
      </c>
      <c r="P6" s="218">
        <f>IS!L6</f>
        <v>54228</v>
      </c>
      <c r="Q6" s="218">
        <f>IS!M6</f>
        <v>53101</v>
      </c>
      <c r="R6" s="60">
        <f t="shared" ref="R6:R26" si="2">IFERROR((Q6/G6)^(1/COUNT($G$4:$Q$4))-1,"")</f>
        <v>-4.6104122706178696E-3</v>
      </c>
    </row>
    <row r="7" spans="1:18">
      <c r="B7" t="s">
        <v>281</v>
      </c>
      <c r="G7" s="218">
        <f>IS!C8</f>
        <v>20261</v>
      </c>
      <c r="H7" s="218">
        <f>IS!D8</f>
        <v>20676</v>
      </c>
      <c r="I7" s="218">
        <f>IS!E8</f>
        <v>23154</v>
      </c>
      <c r="J7" s="218">
        <f>IS!F8</f>
        <v>23663</v>
      </c>
      <c r="K7" s="218">
        <f>IS!G8</f>
        <v>27111</v>
      </c>
      <c r="L7" s="218">
        <f>IS!H8</f>
        <v>29825</v>
      </c>
      <c r="M7" s="218">
        <f>IS!I8</f>
        <v>30812</v>
      </c>
      <c r="N7" s="218">
        <f>IS!J8</f>
        <v>32898</v>
      </c>
      <c r="O7" s="218">
        <f>IS!K8</f>
        <v>36188</v>
      </c>
      <c r="P7" s="218">
        <f>IS!L8</f>
        <v>32517</v>
      </c>
      <c r="Q7" s="218">
        <f>IS!M8</f>
        <v>35756</v>
      </c>
      <c r="R7" s="60">
        <f t="shared" si="2"/>
        <v>5.2994703098938167E-2</v>
      </c>
    </row>
    <row r="8" spans="1:18">
      <c r="B8" s="1" t="s">
        <v>282</v>
      </c>
      <c r="G8" s="219">
        <f>G6-G7</f>
        <v>35609</v>
      </c>
      <c r="H8" s="219">
        <f t="shared" ref="H8:Q8" si="3">H6-H7</f>
        <v>34679</v>
      </c>
      <c r="I8" s="219">
        <f t="shared" si="3"/>
        <v>36233</v>
      </c>
      <c r="J8" s="219">
        <f t="shared" si="3"/>
        <v>39098</v>
      </c>
      <c r="K8" s="219">
        <f t="shared" si="3"/>
        <v>43737</v>
      </c>
      <c r="L8" s="219">
        <f t="shared" si="3"/>
        <v>38081</v>
      </c>
      <c r="M8" s="219">
        <f t="shared" si="3"/>
        <v>42088</v>
      </c>
      <c r="N8" s="219">
        <f t="shared" si="3"/>
        <v>41820</v>
      </c>
      <c r="O8" s="219">
        <f t="shared" si="3"/>
        <v>26866</v>
      </c>
      <c r="P8" s="219">
        <f t="shared" si="3"/>
        <v>21711</v>
      </c>
      <c r="Q8" s="219">
        <f t="shared" si="3"/>
        <v>17345</v>
      </c>
      <c r="R8" s="63">
        <f t="shared" si="2"/>
        <v>-6.329827374858521E-2</v>
      </c>
    </row>
    <row r="9" spans="1:18">
      <c r="B9" t="s">
        <v>459</v>
      </c>
      <c r="G9" s="218">
        <f>IS!C13</f>
        <v>8136</v>
      </c>
      <c r="H9" s="218">
        <f>IS!D13</f>
        <v>7930</v>
      </c>
      <c r="I9" s="218">
        <f>IS!E13</f>
        <v>8377</v>
      </c>
      <c r="J9" s="218">
        <f>IS!F13</f>
        <v>7452</v>
      </c>
      <c r="K9" s="218">
        <f>IS!G13</f>
        <v>6950</v>
      </c>
      <c r="L9" s="218">
        <f>IS!H13</f>
        <v>6350</v>
      </c>
      <c r="M9" s="218">
        <f>IS!I13</f>
        <v>6180</v>
      </c>
      <c r="N9" s="218">
        <f>IS!J13</f>
        <v>6543</v>
      </c>
      <c r="O9" s="218">
        <f>IS!K13</f>
        <v>7002</v>
      </c>
      <c r="P9" s="218">
        <f>IS!L13</f>
        <v>5634</v>
      </c>
      <c r="Q9" s="218">
        <f>IS!M13</f>
        <v>5507</v>
      </c>
      <c r="R9" s="60">
        <f t="shared" si="2"/>
        <v>-3.4857844538430882E-2</v>
      </c>
    </row>
    <row r="10" spans="1:18">
      <c r="B10" t="s">
        <v>291</v>
      </c>
      <c r="G10" s="218">
        <f>IS!C14</f>
        <v>11537</v>
      </c>
      <c r="H10" s="218">
        <f>IS!D14</f>
        <v>12128</v>
      </c>
      <c r="I10" s="218">
        <f>IS!E14</f>
        <v>12685</v>
      </c>
      <c r="J10" s="218">
        <f>IS!F14</f>
        <v>13035</v>
      </c>
      <c r="K10" s="218">
        <f>IS!G14</f>
        <v>13543</v>
      </c>
      <c r="L10" s="218">
        <f>IS!H14</f>
        <v>13362</v>
      </c>
      <c r="M10" s="218">
        <f>IS!I14</f>
        <v>13556</v>
      </c>
      <c r="N10" s="218">
        <f>IS!J14</f>
        <v>15190</v>
      </c>
      <c r="O10" s="218">
        <f>IS!K14</f>
        <v>17528</v>
      </c>
      <c r="P10" s="218">
        <f>IS!L14</f>
        <v>16046</v>
      </c>
      <c r="Q10" s="218">
        <f>IS!M14</f>
        <v>16546</v>
      </c>
      <c r="R10" s="60">
        <f t="shared" si="2"/>
        <v>3.332366398726494E-2</v>
      </c>
    </row>
    <row r="11" spans="1:18">
      <c r="B11" t="s">
        <v>460</v>
      </c>
      <c r="G11" s="218">
        <f>IS!C15</f>
        <v>294</v>
      </c>
      <c r="H11" s="218">
        <f>IS!D15</f>
        <v>253</v>
      </c>
      <c r="I11" s="218">
        <f>IS!E15</f>
        <v>194</v>
      </c>
      <c r="J11" s="218">
        <f>IS!F15</f>
        <v>451</v>
      </c>
      <c r="K11" s="218">
        <f>IS!G15</f>
        <v>0</v>
      </c>
      <c r="L11" s="218">
        <f>IS!H15</f>
        <v>-4659</v>
      </c>
      <c r="M11" s="218">
        <f>IS!I15</f>
        <v>-587</v>
      </c>
      <c r="N11" s="218">
        <f>IS!J15</f>
        <v>-626</v>
      </c>
      <c r="O11" s="218">
        <f>IS!K15</f>
        <v>962</v>
      </c>
      <c r="P11" s="218">
        <f>IS!L15</f>
        <v>153</v>
      </c>
      <c r="Q11" s="218">
        <f>IS!M15</f>
        <v>716</v>
      </c>
      <c r="R11" s="60">
        <f t="shared" si="2"/>
        <v>8.4282218332173864E-2</v>
      </c>
    </row>
    <row r="12" spans="1:18">
      <c r="B12" s="1" t="s">
        <v>224</v>
      </c>
      <c r="G12" s="220">
        <f>+G8-G9-G10-G11+CS!E8</f>
        <v>24191</v>
      </c>
      <c r="H12" s="220">
        <f>+H8-H9-H10-H11+CS!F8</f>
        <v>23079</v>
      </c>
      <c r="I12" s="220">
        <f>+I8-I9-I10-I11+CS!G8</f>
        <v>22767</v>
      </c>
      <c r="J12" s="220">
        <f>+J8-J9-J10-J11+CS!H8</f>
        <v>26289</v>
      </c>
      <c r="K12" s="220">
        <f>+K8-K9-K10-K11+CS!I8</f>
        <v>32329</v>
      </c>
      <c r="L12" s="220">
        <f>+L8-L9-L10-L11+CS!J8</f>
        <v>33854</v>
      </c>
      <c r="M12" s="220">
        <f>+M8-M9-M10-M11+CS!K8</f>
        <v>35178</v>
      </c>
      <c r="N12" s="220">
        <f>+N8-N9-N10-N11+CS!L8</f>
        <v>32505</v>
      </c>
      <c r="O12" s="220">
        <f>+O8-O9-O10-O11+CS!M8</f>
        <v>14409</v>
      </c>
      <c r="P12" s="220">
        <f>+P8-P9-P10-P11+CS!N8</f>
        <v>9480</v>
      </c>
      <c r="Q12" s="220">
        <f>+Q8-Q9-Q10-Q11+CS!O8</f>
        <v>5955</v>
      </c>
      <c r="R12" s="63">
        <f t="shared" si="2"/>
        <v>-0.11964651892516398</v>
      </c>
    </row>
    <row r="13" spans="1:18">
      <c r="B13" t="s">
        <v>461</v>
      </c>
      <c r="G13" s="234">
        <f>+SUM(G14:G15)</f>
        <v>8549</v>
      </c>
      <c r="H13" s="234">
        <f t="shared" ref="H13:Q13" si="4">+SUM(H14:H15)</f>
        <v>8711</v>
      </c>
      <c r="I13" s="234">
        <f t="shared" si="4"/>
        <v>7790</v>
      </c>
      <c r="J13" s="234">
        <f t="shared" si="4"/>
        <v>8129</v>
      </c>
      <c r="K13" s="234">
        <f t="shared" si="4"/>
        <v>9085</v>
      </c>
      <c r="L13" s="234">
        <f t="shared" si="4"/>
        <v>10826</v>
      </c>
      <c r="M13" s="234">
        <f t="shared" si="4"/>
        <v>12239</v>
      </c>
      <c r="N13" s="234">
        <f t="shared" si="4"/>
        <v>11792</v>
      </c>
      <c r="O13" s="234">
        <f t="shared" si="4"/>
        <v>13035</v>
      </c>
      <c r="P13" s="234">
        <f t="shared" si="4"/>
        <v>9602</v>
      </c>
      <c r="Q13" s="234">
        <f t="shared" si="4"/>
        <v>11379</v>
      </c>
      <c r="R13" s="60">
        <f t="shared" si="2"/>
        <v>2.633677167835824E-2</v>
      </c>
    </row>
    <row r="14" spans="1:18" ht="14.45">
      <c r="B14" s="254" t="s">
        <v>463</v>
      </c>
      <c r="G14" s="255">
        <f>IS!C78</f>
        <v>7380</v>
      </c>
      <c r="H14" s="255">
        <f>IS!D78</f>
        <v>7821</v>
      </c>
      <c r="I14" s="255">
        <f>IS!E78</f>
        <v>6266</v>
      </c>
      <c r="J14" s="255">
        <f>IS!F78</f>
        <v>6752</v>
      </c>
      <c r="K14" s="255">
        <f>IS!G78</f>
        <v>7520</v>
      </c>
      <c r="L14" s="255">
        <f>IS!H78</f>
        <v>9204</v>
      </c>
      <c r="M14" s="255">
        <f>IS!I78</f>
        <v>10482</v>
      </c>
      <c r="N14" s="255">
        <f>IS!J78</f>
        <v>9953</v>
      </c>
      <c r="O14" s="255">
        <f>IS!K78</f>
        <v>11128</v>
      </c>
      <c r="P14" s="255">
        <f>IS!L78</f>
        <v>7847</v>
      </c>
      <c r="Q14" s="255">
        <f>IS!M78</f>
        <v>9951</v>
      </c>
      <c r="R14" s="60">
        <f t="shared" si="2"/>
        <v>2.7545217416779622E-2</v>
      </c>
    </row>
    <row r="15" spans="1:18" ht="14.45">
      <c r="B15" s="254" t="s">
        <v>465</v>
      </c>
      <c r="G15" s="271">
        <f>CS!E8-IS!C78</f>
        <v>1169</v>
      </c>
      <c r="H15" s="271">
        <f>CS!F8-IS!D78</f>
        <v>890</v>
      </c>
      <c r="I15" s="271">
        <f>CS!G8-IS!E78</f>
        <v>1524</v>
      </c>
      <c r="J15" s="271">
        <f>CS!H8-IS!F78</f>
        <v>1377</v>
      </c>
      <c r="K15" s="271">
        <f>CS!I8-IS!G78</f>
        <v>1565</v>
      </c>
      <c r="L15" s="271">
        <f>CS!J8-IS!H78</f>
        <v>1622</v>
      </c>
      <c r="M15" s="271">
        <f>CS!K8-IS!I78</f>
        <v>1757</v>
      </c>
      <c r="N15" s="271">
        <f>CS!L8-IS!J78</f>
        <v>1839</v>
      </c>
      <c r="O15" s="271">
        <f>CS!M8-IS!K78</f>
        <v>1907</v>
      </c>
      <c r="P15" s="271">
        <f>CS!N8-IS!L78</f>
        <v>1755</v>
      </c>
      <c r="Q15" s="271">
        <f>CS!O8-IS!M78</f>
        <v>1428</v>
      </c>
      <c r="R15" s="60">
        <f t="shared" si="2"/>
        <v>1.8359795338901419E-2</v>
      </c>
    </row>
    <row r="16" spans="1:18">
      <c r="B16" s="1" t="s">
        <v>283</v>
      </c>
      <c r="G16" s="220">
        <f>+G12-G13</f>
        <v>15642</v>
      </c>
      <c r="H16" s="220">
        <f>+H12-H13</f>
        <v>14368</v>
      </c>
      <c r="I16" s="220">
        <f t="shared" ref="I16:O16" si="5">+I12-I13</f>
        <v>14977</v>
      </c>
      <c r="J16" s="220">
        <f t="shared" si="5"/>
        <v>18160</v>
      </c>
      <c r="K16" s="220">
        <f t="shared" si="5"/>
        <v>23244</v>
      </c>
      <c r="L16" s="220">
        <f t="shared" si="5"/>
        <v>23028</v>
      </c>
      <c r="M16" s="220">
        <f t="shared" si="5"/>
        <v>22939</v>
      </c>
      <c r="N16" s="220">
        <f t="shared" si="5"/>
        <v>20713</v>
      </c>
      <c r="O16" s="220">
        <f t="shared" si="5"/>
        <v>1374</v>
      </c>
      <c r="P16" s="220">
        <f>+P12-P13</f>
        <v>-122</v>
      </c>
      <c r="Q16" s="220">
        <f>+Q12-Q13</f>
        <v>-5424</v>
      </c>
      <c r="R16" s="63">
        <f t="shared" si="2"/>
        <v>-1.9082058793722587</v>
      </c>
    </row>
    <row r="17" spans="1:18">
      <c r="B17" t="s">
        <v>284</v>
      </c>
      <c r="G17" s="234">
        <f>+G18-G19</f>
        <v>51</v>
      </c>
      <c r="H17" s="234">
        <f t="shared" ref="H17:Q17" si="6">+H18-H19</f>
        <v>213</v>
      </c>
      <c r="I17" s="234">
        <f t="shared" si="6"/>
        <v>511</v>
      </c>
      <c r="J17" s="234">
        <f t="shared" si="6"/>
        <v>205</v>
      </c>
      <c r="K17" s="234">
        <f t="shared" si="6"/>
        <v>30</v>
      </c>
      <c r="L17" s="234">
        <f t="shared" si="6"/>
        <v>6</v>
      </c>
      <c r="M17" s="234">
        <f t="shared" si="6"/>
        <v>357</v>
      </c>
      <c r="N17" s="234">
        <f t="shared" si="6"/>
        <v>453</v>
      </c>
      <c r="O17" s="234">
        <f t="shared" si="6"/>
        <v>-93</v>
      </c>
      <c r="P17" s="234">
        <f t="shared" si="6"/>
        <v>-457</v>
      </c>
      <c r="Q17" s="234">
        <f t="shared" si="6"/>
        <v>-211</v>
      </c>
      <c r="R17" s="60">
        <f t="shared" si="2"/>
        <v>-2.1377969169874973</v>
      </c>
    </row>
    <row r="18" spans="1:18" ht="14.45">
      <c r="B18" s="254" t="s">
        <v>468</v>
      </c>
      <c r="C18" s="85"/>
      <c r="D18" s="85"/>
      <c r="E18" s="85"/>
      <c r="G18" s="255">
        <f>IS!C19</f>
        <v>192</v>
      </c>
      <c r="H18" s="255">
        <f>IS!D19</f>
        <v>337</v>
      </c>
      <c r="I18" s="255">
        <f>IS!E19</f>
        <v>733</v>
      </c>
      <c r="J18" s="255">
        <f>IS!F19</f>
        <v>646</v>
      </c>
      <c r="K18" s="255">
        <f>IS!G19</f>
        <v>468</v>
      </c>
      <c r="L18" s="255">
        <f>IS!H19</f>
        <v>489</v>
      </c>
      <c r="M18" s="255">
        <f>IS!I19</f>
        <v>629</v>
      </c>
      <c r="N18" s="255">
        <f>IS!J19</f>
        <v>597</v>
      </c>
      <c r="O18" s="255">
        <f>IS!K19</f>
        <v>496</v>
      </c>
      <c r="P18" s="255">
        <f>IS!L19</f>
        <v>878</v>
      </c>
      <c r="Q18" s="255">
        <f>IS!M19</f>
        <v>1034</v>
      </c>
      <c r="R18" s="60">
        <f t="shared" si="2"/>
        <v>0.16539857503931632</v>
      </c>
    </row>
    <row r="19" spans="1:18" ht="14.45">
      <c r="B19" s="254" t="s">
        <v>470</v>
      </c>
      <c r="C19" s="85"/>
      <c r="D19" s="85"/>
      <c r="E19" s="85"/>
      <c r="G19" s="255">
        <f>IS!C20</f>
        <v>141</v>
      </c>
      <c r="H19" s="255">
        <f>IS!D20</f>
        <v>124</v>
      </c>
      <c r="I19" s="255">
        <f>IS!E20</f>
        <v>222</v>
      </c>
      <c r="J19" s="255">
        <f>IS!F20</f>
        <v>441</v>
      </c>
      <c r="K19" s="255">
        <f>IS!G20</f>
        <v>438</v>
      </c>
      <c r="L19" s="255">
        <f>IS!H20</f>
        <v>483</v>
      </c>
      <c r="M19" s="255">
        <f>IS!I20</f>
        <v>272</v>
      </c>
      <c r="N19" s="255">
        <f>IS!J20</f>
        <v>144</v>
      </c>
      <c r="O19" s="255">
        <f>IS!K20</f>
        <v>589</v>
      </c>
      <c r="P19" s="255">
        <f>IS!L20</f>
        <v>1335</v>
      </c>
      <c r="Q19" s="255">
        <f>IS!M20</f>
        <v>1245</v>
      </c>
      <c r="R19" s="60">
        <f t="shared" si="2"/>
        <v>0.21897690161282291</v>
      </c>
    </row>
    <row r="20" spans="1:18">
      <c r="B20" t="s">
        <v>472</v>
      </c>
      <c r="G20" s="218">
        <f>IS!C21</f>
        <v>0</v>
      </c>
      <c r="H20" s="218">
        <f>IS!D21</f>
        <v>0</v>
      </c>
      <c r="I20" s="218">
        <f>IS!E21</f>
        <v>0</v>
      </c>
      <c r="J20" s="218">
        <f>IS!F21</f>
        <v>0</v>
      </c>
      <c r="K20" s="218">
        <f>IS!G21</f>
        <v>0</v>
      </c>
      <c r="L20" s="218">
        <f>IS!H21</f>
        <v>0</v>
      </c>
      <c r="M20" s="218">
        <f>IS!I21</f>
        <v>0</v>
      </c>
      <c r="N20" s="218">
        <f>IS!J21</f>
        <v>0</v>
      </c>
      <c r="O20" s="218">
        <f>IS!K21</f>
        <v>0</v>
      </c>
      <c r="P20" s="218">
        <f>IS!L21</f>
        <v>0</v>
      </c>
      <c r="Q20" s="218">
        <f>IS!M21</f>
        <v>0</v>
      </c>
      <c r="R20" s="60" t="str">
        <f t="shared" si="2"/>
        <v/>
      </c>
    </row>
    <row r="21" spans="1:18">
      <c r="B21" t="s">
        <v>473</v>
      </c>
      <c r="G21" s="218">
        <f>IS!C23</f>
        <v>-985</v>
      </c>
      <c r="H21" s="218">
        <f>IS!D23</f>
        <v>-203</v>
      </c>
      <c r="I21" s="218">
        <f>IS!E23</f>
        <v>698</v>
      </c>
      <c r="J21" s="218">
        <f>IS!F23</f>
        <v>144</v>
      </c>
      <c r="K21" s="218">
        <f>IS!G23</f>
        <v>338</v>
      </c>
      <c r="L21" s="218">
        <f>IS!H23</f>
        <v>-319</v>
      </c>
      <c r="M21" s="218">
        <f>IS!I23</f>
        <v>147</v>
      </c>
      <c r="N21" s="218">
        <f>IS!J23</f>
        <v>29</v>
      </c>
      <c r="O21" s="218">
        <f>IS!K23</f>
        <v>-1073</v>
      </c>
      <c r="P21" s="218">
        <f>IS!L23</f>
        <v>-172</v>
      </c>
      <c r="Q21" s="218">
        <f>IS!M23</f>
        <v>227</v>
      </c>
      <c r="R21" s="60">
        <f t="shared" si="2"/>
        <v>-1.8750917760201391</v>
      </c>
    </row>
    <row r="22" spans="1:18">
      <c r="B22" s="1" t="s">
        <v>285</v>
      </c>
      <c r="D22" s="1"/>
      <c r="E22" s="1"/>
      <c r="G22" s="486">
        <f>+G16-G17-G20-G21-IS!D45</f>
        <v>16576</v>
      </c>
      <c r="H22" s="486">
        <f>+H16-H17-H20-H21-IS!E45</f>
        <v>14358</v>
      </c>
      <c r="I22" s="486">
        <f>+I16-I17-I20-I21-IS!F45</f>
        <v>13768</v>
      </c>
      <c r="J22" s="486">
        <f>+J16-J17-J20-J21-IS!G45</f>
        <v>17811</v>
      </c>
      <c r="K22" s="486">
        <f>+K16-K17-K20-K21-IS!H45</f>
        <v>22876</v>
      </c>
      <c r="L22" s="486">
        <f>+L16-L17-L20-L21-IS!I45</f>
        <v>23341</v>
      </c>
      <c r="M22" s="486">
        <f>+M16-M17-M20-M21-IS!J45</f>
        <v>22435</v>
      </c>
      <c r="N22" s="486">
        <f>+N16-N17-N20-N21-IS!K45</f>
        <v>20228</v>
      </c>
      <c r="O22" s="486">
        <f>+O16-O17-O20-O21-IS!L45</f>
        <v>2554</v>
      </c>
      <c r="P22" s="486">
        <f>+P16-P17-P20-P21-IS!M45</f>
        <v>984</v>
      </c>
      <c r="Q22" s="486">
        <f>+Q16-Q17-Q20-Q21-IS!N45</f>
        <v>-4963</v>
      </c>
      <c r="R22" s="63">
        <f t="shared" si="2"/>
        <v>-1.8961643949631293</v>
      </c>
    </row>
    <row r="23" spans="1:18">
      <c r="B23" t="s">
        <v>286</v>
      </c>
      <c r="G23" s="218">
        <f>IS!C36</f>
        <v>4097</v>
      </c>
      <c r="H23" s="218">
        <f>IS!D36</f>
        <v>2792</v>
      </c>
      <c r="I23" s="218">
        <f>IS!E36</f>
        <v>2620</v>
      </c>
      <c r="J23" s="218">
        <f>IS!F36</f>
        <v>10751</v>
      </c>
      <c r="K23" s="218">
        <f>IS!G36</f>
        <v>2264</v>
      </c>
      <c r="L23" s="218">
        <f>IS!H36</f>
        <v>3010</v>
      </c>
      <c r="M23" s="218">
        <f>IS!I36</f>
        <v>4179</v>
      </c>
      <c r="N23" s="218">
        <f>IS!J36</f>
        <v>1835</v>
      </c>
      <c r="O23" s="218">
        <f>IS!K36</f>
        <v>-249</v>
      </c>
      <c r="P23" s="218">
        <f>IS!L36</f>
        <v>-913</v>
      </c>
      <c r="Q23" s="218">
        <f>IS!M36</f>
        <v>8023</v>
      </c>
      <c r="R23" s="60">
        <f t="shared" si="2"/>
        <v>6.3001094431430982E-2</v>
      </c>
    </row>
    <row r="24" spans="1:18">
      <c r="B24" s="1" t="s">
        <v>287</v>
      </c>
      <c r="G24" s="220">
        <f>+G22-G23</f>
        <v>12479</v>
      </c>
      <c r="H24" s="220">
        <f t="shared" ref="H24:Q24" si="7">+H22-H23</f>
        <v>11566</v>
      </c>
      <c r="I24" s="220">
        <f t="shared" si="7"/>
        <v>11148</v>
      </c>
      <c r="J24" s="220">
        <f t="shared" si="7"/>
        <v>7060</v>
      </c>
      <c r="K24" s="220">
        <f t="shared" si="7"/>
        <v>20612</v>
      </c>
      <c r="L24" s="220">
        <f t="shared" si="7"/>
        <v>20331</v>
      </c>
      <c r="M24" s="220">
        <f t="shared" si="7"/>
        <v>18256</v>
      </c>
      <c r="N24" s="220">
        <f t="shared" si="7"/>
        <v>18393</v>
      </c>
      <c r="O24" s="220">
        <f t="shared" si="7"/>
        <v>2803</v>
      </c>
      <c r="P24" s="220">
        <f t="shared" si="7"/>
        <v>1897</v>
      </c>
      <c r="Q24" s="220">
        <f t="shared" si="7"/>
        <v>-12986</v>
      </c>
      <c r="R24" s="63">
        <f t="shared" si="2"/>
        <v>-2.0036269818703496</v>
      </c>
    </row>
    <row r="25" spans="1:18">
      <c r="B25" s="1" t="s">
        <v>288</v>
      </c>
      <c r="G25" s="221">
        <f>IS!C56</f>
        <v>2.39</v>
      </c>
      <c r="H25" s="221">
        <f>IS!D56</f>
        <v>2.41</v>
      </c>
      <c r="I25" s="221">
        <f>IS!E56</f>
        <v>2.1800000000000002</v>
      </c>
      <c r="J25" s="221">
        <f>IS!F56</f>
        <v>2.04</v>
      </c>
      <c r="K25" s="221">
        <f>IS!G56</f>
        <v>4.57</v>
      </c>
      <c r="L25" s="221">
        <f>IS!H56</f>
        <v>4.7699999999999996</v>
      </c>
      <c r="M25" s="221">
        <f>IS!I56</f>
        <v>4.9800000000000004</v>
      </c>
      <c r="N25" s="221">
        <f>IS!J56</f>
        <v>4.8899999999999997</v>
      </c>
      <c r="O25" s="221">
        <f>IS!K56</f>
        <v>1.95</v>
      </c>
      <c r="P25" s="221">
        <f>IS!L56</f>
        <v>0.4</v>
      </c>
      <c r="Q25" s="221">
        <f>IS!M56</f>
        <v>-4.38</v>
      </c>
      <c r="R25" s="63">
        <f t="shared" si="2"/>
        <v>-2.0566131687007259</v>
      </c>
    </row>
    <row r="26" spans="1:18">
      <c r="B26" s="1" t="s">
        <v>561</v>
      </c>
      <c r="G26" s="221">
        <f>IS!C61</f>
        <v>2.31</v>
      </c>
      <c r="H26" s="221">
        <f>IS!D61</f>
        <v>2.33</v>
      </c>
      <c r="I26" s="221">
        <f>IS!E61</f>
        <v>2.12</v>
      </c>
      <c r="J26" s="221">
        <f>IS!F61</f>
        <v>1.99</v>
      </c>
      <c r="K26" s="221">
        <f>IS!G61</f>
        <v>4.4800000000000004</v>
      </c>
      <c r="L26" s="221">
        <f>IS!H61</f>
        <v>4.71</v>
      </c>
      <c r="M26" s="221">
        <f>IS!I61</f>
        <v>4.9400000000000004</v>
      </c>
      <c r="N26" s="221">
        <f>IS!J61</f>
        <v>4.8600000000000003</v>
      </c>
      <c r="O26" s="221">
        <f>IS!K61</f>
        <v>1.94</v>
      </c>
      <c r="P26" s="221">
        <f>IS!L61</f>
        <v>0.4</v>
      </c>
      <c r="Q26" s="221">
        <f>IS!M61</f>
        <v>-4.38</v>
      </c>
      <c r="R26" s="63">
        <f t="shared" si="2"/>
        <v>-2.0598885334175625</v>
      </c>
    </row>
    <row r="27" spans="1:18">
      <c r="B27" t="s">
        <v>562</v>
      </c>
      <c r="G27" s="218">
        <f>IS!C55</f>
        <v>4901</v>
      </c>
      <c r="H27" s="218">
        <f>IS!D55</f>
        <v>4742</v>
      </c>
      <c r="I27" s="218">
        <f>IS!E55</f>
        <v>4730</v>
      </c>
      <c r="J27" s="218">
        <f>IS!F55</f>
        <v>4701</v>
      </c>
      <c r="K27" s="218">
        <f>IS!G55</f>
        <v>4611</v>
      </c>
      <c r="L27" s="218">
        <f>IS!H55</f>
        <v>4417</v>
      </c>
      <c r="M27" s="218">
        <f>IS!I55</f>
        <v>4199</v>
      </c>
      <c r="N27" s="218">
        <f>IS!J55</f>
        <v>4059</v>
      </c>
      <c r="O27" s="218">
        <f>IS!K55</f>
        <v>4108</v>
      </c>
      <c r="P27" s="218">
        <f>IS!L55</f>
        <v>4190</v>
      </c>
      <c r="Q27" s="218">
        <f>IS!M55</f>
        <v>4280</v>
      </c>
      <c r="R27" s="60" t="s">
        <v>563</v>
      </c>
    </row>
    <row r="28" spans="1:18">
      <c r="B28" t="s">
        <v>564</v>
      </c>
      <c r="G28" s="218">
        <f>IS!C60</f>
        <v>5056</v>
      </c>
      <c r="H28" s="218">
        <f>IS!D60</f>
        <v>4894</v>
      </c>
      <c r="I28" s="218">
        <f>IS!E60</f>
        <v>4875</v>
      </c>
      <c r="J28" s="218">
        <f>IS!F60</f>
        <v>4835</v>
      </c>
      <c r="K28" s="218">
        <f>IS!G60</f>
        <v>4701</v>
      </c>
      <c r="L28" s="218">
        <f>IS!H60</f>
        <v>4473</v>
      </c>
      <c r="M28" s="218">
        <f>IS!I60</f>
        <v>4232</v>
      </c>
      <c r="N28" s="218">
        <f>IS!J60</f>
        <v>4090</v>
      </c>
      <c r="O28" s="218">
        <f>IS!K60</f>
        <v>4123</v>
      </c>
      <c r="P28" s="218">
        <f>IS!L60</f>
        <v>4212</v>
      </c>
      <c r="Q28" s="218">
        <f>IS!M60</f>
        <v>4280</v>
      </c>
      <c r="R28" s="60">
        <f>IFERROR((Q28/G28)^(1/COUNT($G$4:$Q$4))-1,"")</f>
        <v>-1.503336687758261E-2</v>
      </c>
    </row>
    <row r="29" spans="1:18" ht="3.95" customHeight="1"/>
    <row r="30" spans="1:18" ht="15.6">
      <c r="A30" t="s">
        <v>424</v>
      </c>
      <c r="B30" s="48" t="s">
        <v>292</v>
      </c>
      <c r="C30" s="52"/>
      <c r="D30" s="52"/>
      <c r="E30" s="52"/>
      <c r="F30" s="52"/>
      <c r="G30" s="216">
        <v>2014</v>
      </c>
      <c r="H30" s="216">
        <f>+G30+1</f>
        <v>2015</v>
      </c>
      <c r="I30" s="216">
        <f t="shared" ref="I30:M30" si="8">+H30+1</f>
        <v>2016</v>
      </c>
      <c r="J30" s="216">
        <f t="shared" si="8"/>
        <v>2017</v>
      </c>
      <c r="K30" s="216">
        <f t="shared" si="8"/>
        <v>2018</v>
      </c>
      <c r="L30" s="216">
        <f t="shared" si="8"/>
        <v>2019</v>
      </c>
      <c r="M30" s="216">
        <f t="shared" si="8"/>
        <v>2020</v>
      </c>
      <c r="N30" s="216">
        <f>+M30+1</f>
        <v>2021</v>
      </c>
      <c r="O30" s="216">
        <f>+N30+1</f>
        <v>2022</v>
      </c>
      <c r="P30" s="216">
        <f t="shared" ref="P30" si="9">+O30+1</f>
        <v>2023</v>
      </c>
      <c r="Q30" s="216">
        <f>+P30+1</f>
        <v>2024</v>
      </c>
      <c r="R30" s="54" t="str">
        <f>"CAGR "&amp;$G$4&amp;" - "&amp;$Q$4</f>
        <v>CAGR 2014 - 2024</v>
      </c>
    </row>
    <row r="31" spans="1:18" s="88" customFormat="1" ht="3.95" customHeight="1">
      <c r="B31" s="222"/>
      <c r="C31" s="222"/>
      <c r="D31" s="222"/>
      <c r="E31" s="222"/>
      <c r="F31" s="222"/>
      <c r="G31" s="223"/>
      <c r="H31" s="223"/>
      <c r="I31" s="223"/>
      <c r="J31" s="223"/>
      <c r="K31" s="223"/>
      <c r="L31" s="223"/>
      <c r="M31" s="223"/>
      <c r="N31" s="223"/>
      <c r="O31" s="223"/>
      <c r="P31" s="223"/>
      <c r="Q31" s="223"/>
      <c r="R31" s="56"/>
    </row>
    <row r="32" spans="1:18">
      <c r="B32" t="s">
        <v>476</v>
      </c>
      <c r="G32" s="227">
        <f>+SUM(G33:G34)</f>
        <v>14054</v>
      </c>
      <c r="H32" s="227">
        <f t="shared" ref="H32:Q32" si="10">+SUM(H33:H34)</f>
        <v>25313</v>
      </c>
      <c r="I32" s="227">
        <f t="shared" si="10"/>
        <v>17099</v>
      </c>
      <c r="J32" s="227">
        <f t="shared" si="10"/>
        <v>14002</v>
      </c>
      <c r="K32" s="227">
        <f t="shared" si="10"/>
        <v>11650</v>
      </c>
      <c r="L32" s="227">
        <f t="shared" si="10"/>
        <v>13123</v>
      </c>
      <c r="M32" s="227">
        <f t="shared" si="10"/>
        <v>23895</v>
      </c>
      <c r="N32" s="227">
        <f t="shared" si="10"/>
        <v>28413</v>
      </c>
      <c r="O32" s="227">
        <f t="shared" si="10"/>
        <v>28338</v>
      </c>
      <c r="P32" s="227">
        <f t="shared" si="10"/>
        <v>25034</v>
      </c>
      <c r="Q32" s="227">
        <f t="shared" si="10"/>
        <v>22062</v>
      </c>
      <c r="R32" s="60">
        <f t="shared" ref="R32:R44" si="11">IFERROR((Q32/G32)^(1/COUNT($G$4:$Q$4))-1,"")</f>
        <v>4.1847333757946137E-2</v>
      </c>
    </row>
    <row r="33" spans="2:20" ht="14.45">
      <c r="B33" s="254" t="s">
        <v>293</v>
      </c>
      <c r="C33" s="85"/>
      <c r="D33" s="85"/>
      <c r="E33" s="85"/>
      <c r="G33" s="255">
        <v>2561</v>
      </c>
      <c r="H33" s="255">
        <v>15308</v>
      </c>
      <c r="I33" s="255">
        <v>5560</v>
      </c>
      <c r="J33" s="255">
        <v>3433</v>
      </c>
      <c r="K33" s="255">
        <v>3019</v>
      </c>
      <c r="L33" s="255">
        <v>4194</v>
      </c>
      <c r="M33" s="255">
        <v>5865</v>
      </c>
      <c r="N33" s="255">
        <v>4827</v>
      </c>
      <c r="O33" s="255">
        <v>11144</v>
      </c>
      <c r="P33" s="255">
        <v>7079</v>
      </c>
      <c r="Q33" s="255">
        <v>8249</v>
      </c>
      <c r="R33" s="60">
        <f t="shared" si="11"/>
        <v>0.1121953267654936</v>
      </c>
    </row>
    <row r="34" spans="2:20" ht="14.45">
      <c r="B34" s="254" t="s">
        <v>565</v>
      </c>
      <c r="C34" s="85"/>
      <c r="D34" s="85"/>
      <c r="E34" s="85"/>
      <c r="G34" s="255">
        <v>11493</v>
      </c>
      <c r="H34" s="255">
        <v>10005</v>
      </c>
      <c r="I34" s="255">
        <v>11539</v>
      </c>
      <c r="J34" s="255">
        <v>10569</v>
      </c>
      <c r="K34" s="255">
        <v>8631</v>
      </c>
      <c r="L34" s="255">
        <v>8929</v>
      </c>
      <c r="M34" s="255">
        <v>18030</v>
      </c>
      <c r="N34" s="255">
        <v>23586</v>
      </c>
      <c r="O34" s="255">
        <v>17194</v>
      </c>
      <c r="P34" s="255">
        <v>17955</v>
      </c>
      <c r="Q34" s="255">
        <v>13813</v>
      </c>
      <c r="R34" s="60">
        <f t="shared" si="11"/>
        <v>1.6856126460093934E-2</v>
      </c>
    </row>
    <row r="35" spans="2:20">
      <c r="B35" t="s">
        <v>294</v>
      </c>
      <c r="G35" s="218">
        <v>4427</v>
      </c>
      <c r="H35" s="218">
        <v>4787</v>
      </c>
      <c r="I35" s="218">
        <v>4690</v>
      </c>
      <c r="J35" s="218">
        <v>5607</v>
      </c>
      <c r="K35" s="218">
        <v>6722</v>
      </c>
      <c r="L35" s="218">
        <v>7659</v>
      </c>
      <c r="M35" s="218">
        <v>6782</v>
      </c>
      <c r="N35" s="218">
        <v>9457</v>
      </c>
      <c r="O35" s="218">
        <v>4133</v>
      </c>
      <c r="P35" s="218">
        <v>3402</v>
      </c>
      <c r="Q35" s="218">
        <v>3478</v>
      </c>
      <c r="R35" s="60">
        <f t="shared" si="11"/>
        <v>-2.1694375213438977E-2</v>
      </c>
    </row>
    <row r="36" spans="2:20">
      <c r="B36" t="s">
        <v>478</v>
      </c>
      <c r="G36" s="218">
        <v>4273</v>
      </c>
      <c r="H36" s="218">
        <v>5167</v>
      </c>
      <c r="I36" s="218">
        <v>5553</v>
      </c>
      <c r="J36" s="218">
        <v>6983</v>
      </c>
      <c r="K36" s="218">
        <v>7253</v>
      </c>
      <c r="L36" s="218">
        <v>8744</v>
      </c>
      <c r="M36" s="218">
        <v>8427</v>
      </c>
      <c r="N36" s="218">
        <v>10776</v>
      </c>
      <c r="O36" s="218">
        <v>13224</v>
      </c>
      <c r="P36" s="218">
        <v>11127</v>
      </c>
      <c r="Q36" s="218">
        <v>12198</v>
      </c>
      <c r="R36" s="60">
        <f t="shared" si="11"/>
        <v>0.10005438828102009</v>
      </c>
    </row>
    <row r="37" spans="2:20">
      <c r="B37" s="34" t="s">
        <v>480</v>
      </c>
      <c r="C37" s="34"/>
      <c r="D37" s="34"/>
      <c r="E37" s="34"/>
      <c r="G37" s="224">
        <f>+G38-G32-G35-G36</f>
        <v>4976</v>
      </c>
      <c r="H37" s="224">
        <f t="shared" ref="H37:Q37" si="12">+H38-H32-H35-H36</f>
        <v>5089</v>
      </c>
      <c r="I37" s="224">
        <f t="shared" si="12"/>
        <v>8166</v>
      </c>
      <c r="J37" s="224">
        <f t="shared" si="12"/>
        <v>2908</v>
      </c>
      <c r="K37" s="224">
        <f t="shared" si="12"/>
        <v>3162</v>
      </c>
      <c r="L37" s="224">
        <f t="shared" si="12"/>
        <v>1713</v>
      </c>
      <c r="M37" s="224">
        <f t="shared" si="12"/>
        <v>8145</v>
      </c>
      <c r="N37" s="224">
        <f t="shared" si="12"/>
        <v>9072</v>
      </c>
      <c r="O37" s="224">
        <f t="shared" si="12"/>
        <v>4712</v>
      </c>
      <c r="P37" s="224">
        <f t="shared" si="12"/>
        <v>3706</v>
      </c>
      <c r="Q37" s="224">
        <f t="shared" si="12"/>
        <v>9586</v>
      </c>
      <c r="R37" s="225">
        <f t="shared" si="11"/>
        <v>6.141936009059501E-2</v>
      </c>
      <c r="T37" s="69"/>
    </row>
    <row r="38" spans="2:20" s="1" customFormat="1">
      <c r="B38" s="72" t="s">
        <v>297</v>
      </c>
      <c r="C38" s="72"/>
      <c r="D38" s="72"/>
      <c r="E38" s="72"/>
      <c r="F38" s="623"/>
      <c r="G38" s="252">
        <v>27730</v>
      </c>
      <c r="H38" s="252">
        <v>40356</v>
      </c>
      <c r="I38" s="252">
        <v>35508</v>
      </c>
      <c r="J38" s="252">
        <v>29500</v>
      </c>
      <c r="K38" s="252">
        <v>28787</v>
      </c>
      <c r="L38" s="252">
        <v>31239</v>
      </c>
      <c r="M38" s="252">
        <v>47249</v>
      </c>
      <c r="N38" s="252">
        <v>57718</v>
      </c>
      <c r="O38" s="252">
        <v>50407</v>
      </c>
      <c r="P38" s="252">
        <v>43269</v>
      </c>
      <c r="Q38" s="252">
        <v>47324</v>
      </c>
      <c r="R38" s="226">
        <f t="shared" si="11"/>
        <v>4.9791061331480702E-2</v>
      </c>
    </row>
    <row r="39" spans="2:20">
      <c r="B39" t="s">
        <v>298</v>
      </c>
      <c r="G39" s="253">
        <f t="shared" ref="G39:Q39" si="13">+G40-G41</f>
        <v>33238</v>
      </c>
      <c r="H39" s="253">
        <f t="shared" si="13"/>
        <v>31858</v>
      </c>
      <c r="I39" s="253">
        <f t="shared" si="13"/>
        <v>36171</v>
      </c>
      <c r="J39" s="253">
        <f t="shared" si="13"/>
        <v>41109</v>
      </c>
      <c r="K39" s="253">
        <f t="shared" si="13"/>
        <v>48976</v>
      </c>
      <c r="L39" s="253">
        <f t="shared" si="13"/>
        <v>56014</v>
      </c>
      <c r="M39" s="253">
        <f t="shared" si="13"/>
        <v>57188</v>
      </c>
      <c r="N39" s="253">
        <f t="shared" si="13"/>
        <v>63794</v>
      </c>
      <c r="O39" s="253">
        <f t="shared" si="13"/>
        <v>81347</v>
      </c>
      <c r="P39" s="253">
        <f t="shared" si="13"/>
        <v>97152</v>
      </c>
      <c r="Q39" s="253">
        <f t="shared" si="13"/>
        <v>108376</v>
      </c>
      <c r="R39" s="60">
        <f t="shared" si="11"/>
        <v>0.11343142850005905</v>
      </c>
    </row>
    <row r="40" spans="2:20" ht="14.45">
      <c r="B40" s="254" t="s">
        <v>566</v>
      </c>
      <c r="C40" s="85"/>
      <c r="D40" s="85"/>
      <c r="E40" s="85"/>
      <c r="G40" s="255">
        <v>79709</v>
      </c>
      <c r="H40" s="255">
        <v>83396</v>
      </c>
      <c r="I40" s="255">
        <v>90105</v>
      </c>
      <c r="J40" s="255">
        <v>100395</v>
      </c>
      <c r="K40" s="255">
        <v>114318</v>
      </c>
      <c r="L40" s="255">
        <v>129335</v>
      </c>
      <c r="M40" s="255">
        <v>134833</v>
      </c>
      <c r="N40" s="255">
        <v>149088</v>
      </c>
      <c r="O40" s="255">
        <v>174733</v>
      </c>
      <c r="P40" s="255">
        <v>195162</v>
      </c>
      <c r="Q40" s="255">
        <v>210569</v>
      </c>
      <c r="R40" s="60">
        <f t="shared" si="11"/>
        <v>9.2328765002958946E-2</v>
      </c>
    </row>
    <row r="41" spans="2:20" ht="14.45">
      <c r="B41" s="254" t="s">
        <v>484</v>
      </c>
      <c r="C41" s="85"/>
      <c r="D41" s="85"/>
      <c r="E41" s="85"/>
      <c r="G41" s="255">
        <v>46471</v>
      </c>
      <c r="H41" s="255">
        <v>51538</v>
      </c>
      <c r="I41" s="255">
        <v>53934</v>
      </c>
      <c r="J41" s="255">
        <v>59286</v>
      </c>
      <c r="K41" s="255">
        <v>65342</v>
      </c>
      <c r="L41" s="255">
        <v>73321</v>
      </c>
      <c r="M41" s="255">
        <v>77645</v>
      </c>
      <c r="N41" s="255">
        <v>85294</v>
      </c>
      <c r="O41" s="255">
        <v>93386</v>
      </c>
      <c r="P41" s="255">
        <v>98010</v>
      </c>
      <c r="Q41" s="255">
        <v>102193</v>
      </c>
      <c r="R41" s="60">
        <f t="shared" si="11"/>
        <v>7.4268022134947209E-2</v>
      </c>
    </row>
    <row r="42" spans="2:20">
      <c r="B42" t="s">
        <v>483</v>
      </c>
      <c r="G42" s="284">
        <v>0</v>
      </c>
      <c r="H42" s="284">
        <v>0</v>
      </c>
      <c r="I42" s="284">
        <v>0</v>
      </c>
      <c r="J42" s="284">
        <v>0</v>
      </c>
      <c r="K42" s="284">
        <v>0</v>
      </c>
      <c r="L42" s="284">
        <v>0</v>
      </c>
      <c r="M42" s="284">
        <v>0</v>
      </c>
      <c r="N42" s="284">
        <v>0</v>
      </c>
      <c r="O42" s="284">
        <v>0</v>
      </c>
      <c r="P42" s="284">
        <v>0</v>
      </c>
      <c r="Q42" s="284">
        <v>0</v>
      </c>
      <c r="R42" s="60" t="str">
        <f t="shared" si="11"/>
        <v/>
      </c>
    </row>
    <row r="43" spans="2:20">
      <c r="B43" t="s">
        <v>567</v>
      </c>
      <c r="G43" s="218">
        <v>15307</v>
      </c>
      <c r="H43" s="218">
        <v>15265</v>
      </c>
      <c r="I43" s="218">
        <v>23593</v>
      </c>
      <c r="J43" s="218">
        <v>37134</v>
      </c>
      <c r="K43" s="218">
        <v>36349</v>
      </c>
      <c r="L43" s="218">
        <v>37103</v>
      </c>
      <c r="M43" s="218">
        <v>35997</v>
      </c>
      <c r="N43" s="218">
        <v>34233</v>
      </c>
      <c r="O43" s="218">
        <v>33609</v>
      </c>
      <c r="P43" s="218">
        <v>32180</v>
      </c>
      <c r="Q43" s="218">
        <v>28384</v>
      </c>
      <c r="R43" s="60">
        <f t="shared" si="11"/>
        <v>5.7743389008074741E-2</v>
      </c>
    </row>
    <row r="44" spans="2:20" ht="14.45">
      <c r="B44" s="254" t="s">
        <v>568</v>
      </c>
      <c r="C44" s="85"/>
      <c r="D44" s="85"/>
      <c r="E44" s="85"/>
      <c r="G44" s="255">
        <v>10861</v>
      </c>
      <c r="H44" s="255">
        <v>11332</v>
      </c>
      <c r="I44" s="255">
        <v>14099</v>
      </c>
      <c r="J44" s="255">
        <v>24389</v>
      </c>
      <c r="K44" s="255">
        <v>24513</v>
      </c>
      <c r="L44" s="255">
        <v>26276</v>
      </c>
      <c r="M44" s="255">
        <v>26971</v>
      </c>
      <c r="N44" s="255">
        <v>26963</v>
      </c>
      <c r="O44" s="255">
        <v>27591</v>
      </c>
      <c r="P44" s="255">
        <v>27591</v>
      </c>
      <c r="Q44" s="255">
        <v>24693</v>
      </c>
      <c r="R44" s="60">
        <f t="shared" si="11"/>
        <v>7.7525707341558503E-2</v>
      </c>
    </row>
    <row r="45" spans="2:20" ht="14.45">
      <c r="B45" s="254" t="s">
        <v>485</v>
      </c>
      <c r="C45" s="85"/>
      <c r="D45" s="85"/>
      <c r="E45" s="85"/>
      <c r="G45" s="256">
        <f>+G43-G44</f>
        <v>4446</v>
      </c>
      <c r="H45" s="256">
        <f t="shared" ref="H45:Q45" si="14">+H43-H44</f>
        <v>3933</v>
      </c>
      <c r="I45" s="256">
        <f t="shared" si="14"/>
        <v>9494</v>
      </c>
      <c r="J45" s="256">
        <f t="shared" si="14"/>
        <v>12745</v>
      </c>
      <c r="K45" s="256">
        <f t="shared" si="14"/>
        <v>11836</v>
      </c>
      <c r="L45" s="256">
        <f t="shared" si="14"/>
        <v>10827</v>
      </c>
      <c r="M45" s="256">
        <f t="shared" si="14"/>
        <v>9026</v>
      </c>
      <c r="N45" s="256">
        <f t="shared" si="14"/>
        <v>7270</v>
      </c>
      <c r="O45" s="256">
        <f t="shared" si="14"/>
        <v>6018</v>
      </c>
      <c r="P45" s="256">
        <f t="shared" si="14"/>
        <v>4589</v>
      </c>
      <c r="Q45" s="256">
        <f t="shared" si="14"/>
        <v>3691</v>
      </c>
      <c r="R45" s="60"/>
    </row>
    <row r="46" spans="2:20">
      <c r="B46" s="34" t="s">
        <v>569</v>
      </c>
      <c r="C46" s="34"/>
      <c r="D46" s="34"/>
      <c r="E46" s="34"/>
      <c r="G46" s="224">
        <f>+G47-G39-G42-G43</f>
        <v>15625</v>
      </c>
      <c r="H46" s="224">
        <f t="shared" ref="H46:Q46" si="15">+H47-H39-H42-H43</f>
        <v>15586</v>
      </c>
      <c r="I46" s="224">
        <f t="shared" si="15"/>
        <v>18055</v>
      </c>
      <c r="J46" s="224">
        <f t="shared" si="15"/>
        <v>15506</v>
      </c>
      <c r="K46" s="224">
        <f t="shared" si="15"/>
        <v>13851</v>
      </c>
      <c r="L46" s="224">
        <f t="shared" si="15"/>
        <v>12168</v>
      </c>
      <c r="M46" s="224">
        <f t="shared" si="15"/>
        <v>12657</v>
      </c>
      <c r="N46" s="224">
        <f t="shared" si="15"/>
        <v>12661</v>
      </c>
      <c r="O46" s="224">
        <f t="shared" si="15"/>
        <v>16740</v>
      </c>
      <c r="P46" s="224">
        <f t="shared" si="15"/>
        <v>18971</v>
      </c>
      <c r="Q46" s="224">
        <f t="shared" si="15"/>
        <v>12401</v>
      </c>
      <c r="R46" s="225">
        <f t="shared" ref="R46:R61" si="16">IFERROR((Q46/G46)^(1/COUNT($G$4:$Q$4))-1,"")</f>
        <v>-2.0789499504694664E-2</v>
      </c>
    </row>
    <row r="47" spans="2:20" s="1" customFormat="1" ht="14.45" thickBot="1">
      <c r="B47" s="1" t="s">
        <v>570</v>
      </c>
      <c r="F47" s="622"/>
      <c r="G47" s="228">
        <v>64170</v>
      </c>
      <c r="H47" s="228">
        <v>62709</v>
      </c>
      <c r="I47" s="228">
        <v>77819</v>
      </c>
      <c r="J47" s="228">
        <v>93749</v>
      </c>
      <c r="K47" s="228">
        <v>99176</v>
      </c>
      <c r="L47" s="228">
        <v>105285</v>
      </c>
      <c r="M47" s="228">
        <v>105842</v>
      </c>
      <c r="N47" s="228">
        <v>110688</v>
      </c>
      <c r="O47" s="228">
        <v>131696</v>
      </c>
      <c r="P47" s="228">
        <v>148303</v>
      </c>
      <c r="Q47" s="228">
        <v>149161</v>
      </c>
      <c r="R47" s="229">
        <f t="shared" si="16"/>
        <v>7.969754371036597E-2</v>
      </c>
    </row>
    <row r="48" spans="2:20" s="1" customFormat="1" ht="14.45" thickBot="1">
      <c r="B48" s="230" t="s">
        <v>299</v>
      </c>
      <c r="C48" s="230"/>
      <c r="D48" s="230"/>
      <c r="E48" s="230"/>
      <c r="F48" s="624"/>
      <c r="G48" s="231">
        <f t="shared" ref="G48:Q48" si="17">SUM(G47,G38)</f>
        <v>91900</v>
      </c>
      <c r="H48" s="231">
        <f t="shared" si="17"/>
        <v>103065</v>
      </c>
      <c r="I48" s="231">
        <f t="shared" si="17"/>
        <v>113327</v>
      </c>
      <c r="J48" s="231">
        <f t="shared" si="17"/>
        <v>123249</v>
      </c>
      <c r="K48" s="231">
        <f t="shared" si="17"/>
        <v>127963</v>
      </c>
      <c r="L48" s="231">
        <f t="shared" si="17"/>
        <v>136524</v>
      </c>
      <c r="M48" s="231">
        <f t="shared" si="17"/>
        <v>153091</v>
      </c>
      <c r="N48" s="231">
        <f t="shared" si="17"/>
        <v>168406</v>
      </c>
      <c r="O48" s="231">
        <f t="shared" si="17"/>
        <v>182103</v>
      </c>
      <c r="P48" s="231">
        <f t="shared" si="17"/>
        <v>191572</v>
      </c>
      <c r="Q48" s="231">
        <f t="shared" si="17"/>
        <v>196485</v>
      </c>
      <c r="R48" s="232">
        <f t="shared" si="16"/>
        <v>7.1522420681402687E-2</v>
      </c>
    </row>
    <row r="49" spans="1:18">
      <c r="B49" t="s">
        <v>300</v>
      </c>
      <c r="G49" s="218">
        <v>2748</v>
      </c>
      <c r="H49" s="218">
        <v>2063</v>
      </c>
      <c r="I49" s="218">
        <v>2475</v>
      </c>
      <c r="J49" s="218">
        <v>2928</v>
      </c>
      <c r="K49" s="218">
        <v>3824</v>
      </c>
      <c r="L49" s="218">
        <v>4128</v>
      </c>
      <c r="M49" s="218">
        <v>5581</v>
      </c>
      <c r="N49" s="218">
        <v>5747</v>
      </c>
      <c r="O49" s="218">
        <v>9595</v>
      </c>
      <c r="P49" s="218">
        <v>8578</v>
      </c>
      <c r="Q49" s="218">
        <v>12556</v>
      </c>
      <c r="R49" s="60">
        <f t="shared" si="16"/>
        <v>0.14811386509517677</v>
      </c>
    </row>
    <row r="50" spans="1:18">
      <c r="B50" t="s">
        <v>571</v>
      </c>
      <c r="G50" s="227">
        <f>+SUM(G51:G52)</f>
        <v>508</v>
      </c>
      <c r="H50" s="227">
        <f t="shared" ref="H50:Q50" si="18">+SUM(H51:H52)</f>
        <v>32</v>
      </c>
      <c r="I50" s="227">
        <f t="shared" si="18"/>
        <v>16</v>
      </c>
      <c r="J50" s="227">
        <f t="shared" si="18"/>
        <v>37</v>
      </c>
      <c r="K50" s="227">
        <f t="shared" si="18"/>
        <v>500</v>
      </c>
      <c r="L50" s="227">
        <f t="shared" si="18"/>
        <v>175</v>
      </c>
      <c r="M50" s="227">
        <f t="shared" si="18"/>
        <v>173</v>
      </c>
      <c r="N50" s="227">
        <f t="shared" si="18"/>
        <v>180</v>
      </c>
      <c r="O50" s="227">
        <f t="shared" si="18"/>
        <v>4117</v>
      </c>
      <c r="P50" s="227">
        <f t="shared" si="18"/>
        <v>142</v>
      </c>
      <c r="Q50" s="227">
        <f t="shared" si="18"/>
        <v>181</v>
      </c>
      <c r="R50" s="60">
        <f t="shared" si="16"/>
        <v>-8.9550426923605042E-2</v>
      </c>
    </row>
    <row r="51" spans="1:18" ht="14.45">
      <c r="B51" s="254" t="s">
        <v>572</v>
      </c>
      <c r="G51" s="255">
        <v>508</v>
      </c>
      <c r="H51" s="255">
        <v>32</v>
      </c>
      <c r="I51" s="255">
        <v>16</v>
      </c>
      <c r="J51" s="255">
        <v>37</v>
      </c>
      <c r="K51" s="255">
        <v>500</v>
      </c>
      <c r="L51" s="255">
        <v>0</v>
      </c>
      <c r="M51" s="255">
        <v>0</v>
      </c>
      <c r="N51" s="255">
        <v>0</v>
      </c>
      <c r="O51" s="255">
        <v>3944</v>
      </c>
      <c r="P51" s="255">
        <v>0</v>
      </c>
      <c r="Q51" s="255">
        <v>0</v>
      </c>
      <c r="R51" s="60">
        <f t="shared" si="16"/>
        <v>-1</v>
      </c>
    </row>
    <row r="52" spans="1:18" ht="14.45">
      <c r="B52" s="254" t="s">
        <v>573</v>
      </c>
      <c r="G52" s="255">
        <v>0</v>
      </c>
      <c r="H52" s="255">
        <v>0</v>
      </c>
      <c r="I52" s="255">
        <v>0</v>
      </c>
      <c r="J52" s="255">
        <v>0</v>
      </c>
      <c r="K52" s="255">
        <v>0</v>
      </c>
      <c r="L52" s="255">
        <v>175</v>
      </c>
      <c r="M52" s="255">
        <v>173</v>
      </c>
      <c r="N52" s="255">
        <v>180</v>
      </c>
      <c r="O52" s="255">
        <v>173</v>
      </c>
      <c r="P52" s="255">
        <v>142</v>
      </c>
      <c r="Q52" s="255">
        <v>181</v>
      </c>
      <c r="R52" s="60" t="str">
        <f t="shared" si="16"/>
        <v/>
      </c>
    </row>
    <row r="53" spans="1:18">
      <c r="B53" s="34" t="s">
        <v>489</v>
      </c>
      <c r="C53" s="34"/>
      <c r="D53" s="34"/>
      <c r="E53" s="34"/>
      <c r="G53" s="224">
        <f t="shared" ref="G53:Q53" si="19">+G54-G49-G50</f>
        <v>12755</v>
      </c>
      <c r="H53" s="224">
        <f t="shared" si="19"/>
        <v>13572</v>
      </c>
      <c r="I53" s="224">
        <f t="shared" si="19"/>
        <v>17811</v>
      </c>
      <c r="J53" s="224">
        <f t="shared" si="19"/>
        <v>14456</v>
      </c>
      <c r="K53" s="224">
        <f t="shared" si="19"/>
        <v>12302</v>
      </c>
      <c r="L53" s="224">
        <f t="shared" si="19"/>
        <v>18007</v>
      </c>
      <c r="M53" s="224">
        <f t="shared" si="19"/>
        <v>19000</v>
      </c>
      <c r="N53" s="224">
        <f t="shared" si="19"/>
        <v>21535</v>
      </c>
      <c r="O53" s="224">
        <f t="shared" si="19"/>
        <v>18443</v>
      </c>
      <c r="P53" s="224">
        <f t="shared" si="19"/>
        <v>19333</v>
      </c>
      <c r="Q53" s="224">
        <f t="shared" si="19"/>
        <v>22929</v>
      </c>
      <c r="R53" s="225">
        <f t="shared" si="16"/>
        <v>5.4763197986146483E-2</v>
      </c>
    </row>
    <row r="54" spans="1:18">
      <c r="B54" s="34" t="s">
        <v>301</v>
      </c>
      <c r="C54" s="34"/>
      <c r="D54" s="34"/>
      <c r="E54" s="34"/>
      <c r="F54" s="623"/>
      <c r="G54" s="218">
        <v>16011</v>
      </c>
      <c r="H54" s="218">
        <v>15667</v>
      </c>
      <c r="I54" s="218">
        <v>20302</v>
      </c>
      <c r="J54" s="218">
        <v>17421</v>
      </c>
      <c r="K54" s="218">
        <v>16626</v>
      </c>
      <c r="L54" s="218">
        <v>22310</v>
      </c>
      <c r="M54" s="218">
        <v>24754</v>
      </c>
      <c r="N54" s="218">
        <v>27462</v>
      </c>
      <c r="O54" s="218">
        <v>32155</v>
      </c>
      <c r="P54" s="218">
        <v>28053</v>
      </c>
      <c r="Q54" s="218">
        <v>35666</v>
      </c>
      <c r="R54" s="225">
        <f t="shared" si="16"/>
        <v>7.5527327924999055E-2</v>
      </c>
    </row>
    <row r="55" spans="1:18">
      <c r="B55" t="s">
        <v>574</v>
      </c>
      <c r="G55" s="253">
        <f>+SUM(G56:G57)</f>
        <v>12059</v>
      </c>
      <c r="H55" s="253">
        <f t="shared" ref="H55:Q55" si="20">+SUM(H56:H57)</f>
        <v>20036</v>
      </c>
      <c r="I55" s="253">
        <f t="shared" si="20"/>
        <v>20649</v>
      </c>
      <c r="J55" s="253">
        <f t="shared" si="20"/>
        <v>25037</v>
      </c>
      <c r="K55" s="253">
        <f t="shared" si="20"/>
        <v>25098</v>
      </c>
      <c r="L55" s="253">
        <f t="shared" si="20"/>
        <v>25683</v>
      </c>
      <c r="M55" s="253">
        <f t="shared" si="20"/>
        <v>34251</v>
      </c>
      <c r="N55" s="253">
        <f t="shared" si="20"/>
        <v>33805</v>
      </c>
      <c r="O55" s="253">
        <f t="shared" si="20"/>
        <v>37920</v>
      </c>
      <c r="P55" s="253">
        <f t="shared" si="20"/>
        <v>47267</v>
      </c>
      <c r="Q55" s="253">
        <f t="shared" si="20"/>
        <v>46561</v>
      </c>
      <c r="R55" s="60">
        <f t="shared" si="16"/>
        <v>0.13067389163508247</v>
      </c>
    </row>
    <row r="56" spans="1:18" ht="14.45">
      <c r="B56" s="254" t="s">
        <v>575</v>
      </c>
      <c r="G56" s="255">
        <v>12059</v>
      </c>
      <c r="H56" s="255">
        <v>20036</v>
      </c>
      <c r="I56" s="255">
        <v>20649</v>
      </c>
      <c r="J56" s="255">
        <v>25037</v>
      </c>
      <c r="K56" s="255">
        <v>25098</v>
      </c>
      <c r="L56" s="255">
        <v>25308</v>
      </c>
      <c r="M56" s="255">
        <v>33897</v>
      </c>
      <c r="N56" s="255">
        <v>33510</v>
      </c>
      <c r="O56" s="255">
        <v>37684</v>
      </c>
      <c r="P56" s="255">
        <v>46978</v>
      </c>
      <c r="Q56" s="255">
        <v>46282</v>
      </c>
      <c r="R56" s="60">
        <f t="shared" si="16"/>
        <v>0.13005628439189998</v>
      </c>
    </row>
    <row r="57" spans="1:18" ht="14.45">
      <c r="B57" s="254" t="s">
        <v>576</v>
      </c>
      <c r="G57" s="255">
        <v>0</v>
      </c>
      <c r="H57" s="255">
        <v>0</v>
      </c>
      <c r="I57" s="255">
        <v>0</v>
      </c>
      <c r="J57" s="255">
        <v>0</v>
      </c>
      <c r="K57" s="255">
        <v>0</v>
      </c>
      <c r="L57" s="255">
        <v>375</v>
      </c>
      <c r="M57" s="255">
        <v>354</v>
      </c>
      <c r="N57" s="255">
        <v>295</v>
      </c>
      <c r="O57" s="255">
        <v>236</v>
      </c>
      <c r="P57" s="255">
        <v>289</v>
      </c>
      <c r="Q57" s="255">
        <v>279</v>
      </c>
      <c r="R57" s="60" t="str">
        <f t="shared" si="16"/>
        <v/>
      </c>
    </row>
    <row r="58" spans="1:18">
      <c r="B58" s="34" t="s">
        <v>577</v>
      </c>
      <c r="C58" s="34"/>
      <c r="D58" s="34"/>
      <c r="E58" s="34"/>
      <c r="G58" s="233">
        <f>+G59-G55</f>
        <v>7053</v>
      </c>
      <c r="H58" s="233">
        <f t="shared" ref="H58:Q58" si="21">+H59-H55</f>
        <v>6277</v>
      </c>
      <c r="I58" s="233">
        <f t="shared" si="21"/>
        <v>5268</v>
      </c>
      <c r="J58" s="233">
        <f t="shared" si="21"/>
        <v>10906</v>
      </c>
      <c r="K58" s="233">
        <f t="shared" si="21"/>
        <v>11257</v>
      </c>
      <c r="L58" s="233">
        <f t="shared" si="21"/>
        <v>10872</v>
      </c>
      <c r="M58" s="233">
        <f t="shared" si="21"/>
        <v>13048</v>
      </c>
      <c r="N58" s="233">
        <f t="shared" si="21"/>
        <v>11748</v>
      </c>
      <c r="O58" s="233">
        <f t="shared" si="21"/>
        <v>8742</v>
      </c>
      <c r="P58" s="233">
        <f t="shared" si="21"/>
        <v>6287</v>
      </c>
      <c r="Q58" s="233">
        <f t="shared" si="21"/>
        <v>9226</v>
      </c>
      <c r="R58" s="225">
        <f t="shared" si="16"/>
        <v>2.4716187765627007E-2</v>
      </c>
    </row>
    <row r="59" spans="1:18" s="1" customFormat="1" ht="14.45" thickBot="1">
      <c r="B59" s="1" t="s">
        <v>578</v>
      </c>
      <c r="F59" s="622"/>
      <c r="G59" s="218">
        <v>19112</v>
      </c>
      <c r="H59" s="218">
        <v>26313</v>
      </c>
      <c r="I59" s="218">
        <v>25917</v>
      </c>
      <c r="J59" s="218">
        <v>35943</v>
      </c>
      <c r="K59" s="218">
        <v>36355</v>
      </c>
      <c r="L59" s="218">
        <v>36555</v>
      </c>
      <c r="M59" s="218">
        <v>47299</v>
      </c>
      <c r="N59" s="218">
        <v>45553</v>
      </c>
      <c r="O59" s="218">
        <v>46662</v>
      </c>
      <c r="P59" s="218">
        <v>53554</v>
      </c>
      <c r="Q59" s="218">
        <v>55787</v>
      </c>
      <c r="R59" s="63">
        <f t="shared" si="16"/>
        <v>0.10228361507882866</v>
      </c>
    </row>
    <row r="60" spans="1:18" s="1" customFormat="1" ht="14.45" thickBot="1">
      <c r="B60" s="230" t="s">
        <v>443</v>
      </c>
      <c r="C60" s="230"/>
      <c r="D60" s="230"/>
      <c r="E60" s="230"/>
      <c r="F60" s="624"/>
      <c r="G60" s="231">
        <f t="shared" ref="G60:Q60" si="22">SUM(G59,G54)</f>
        <v>35123</v>
      </c>
      <c r="H60" s="231">
        <f t="shared" si="22"/>
        <v>41980</v>
      </c>
      <c r="I60" s="231">
        <f t="shared" si="22"/>
        <v>46219</v>
      </c>
      <c r="J60" s="231">
        <f t="shared" si="22"/>
        <v>53364</v>
      </c>
      <c r="K60" s="231">
        <f t="shared" si="22"/>
        <v>52981</v>
      </c>
      <c r="L60" s="231">
        <f t="shared" si="22"/>
        <v>58865</v>
      </c>
      <c r="M60" s="231">
        <f t="shared" si="22"/>
        <v>72053</v>
      </c>
      <c r="N60" s="231">
        <f t="shared" si="22"/>
        <v>73015</v>
      </c>
      <c r="O60" s="231">
        <f t="shared" si="22"/>
        <v>78817</v>
      </c>
      <c r="P60" s="231">
        <f t="shared" si="22"/>
        <v>81607</v>
      </c>
      <c r="Q60" s="231">
        <f t="shared" si="22"/>
        <v>91453</v>
      </c>
      <c r="R60" s="232">
        <f t="shared" si="16"/>
        <v>9.089360464148144E-2</v>
      </c>
    </row>
    <row r="61" spans="1:18" s="1" customFormat="1">
      <c r="B61" s="1" t="s">
        <v>304</v>
      </c>
      <c r="F61"/>
      <c r="G61" s="220">
        <f t="shared" ref="G61:Q61" si="23">G48-G60</f>
        <v>56777</v>
      </c>
      <c r="H61" s="220">
        <f t="shared" si="23"/>
        <v>61085</v>
      </c>
      <c r="I61" s="220">
        <f t="shared" si="23"/>
        <v>67108</v>
      </c>
      <c r="J61" s="220">
        <f t="shared" si="23"/>
        <v>69885</v>
      </c>
      <c r="K61" s="220">
        <f t="shared" si="23"/>
        <v>74982</v>
      </c>
      <c r="L61" s="220">
        <f t="shared" si="23"/>
        <v>77659</v>
      </c>
      <c r="M61" s="220">
        <f t="shared" si="23"/>
        <v>81038</v>
      </c>
      <c r="N61" s="220">
        <f t="shared" si="23"/>
        <v>95391</v>
      </c>
      <c r="O61" s="220">
        <f t="shared" si="23"/>
        <v>103286</v>
      </c>
      <c r="P61" s="220">
        <f t="shared" si="23"/>
        <v>109965</v>
      </c>
      <c r="Q61" s="220">
        <f t="shared" si="23"/>
        <v>105032</v>
      </c>
      <c r="R61" s="63">
        <f t="shared" si="16"/>
        <v>5.7514401341390631E-2</v>
      </c>
    </row>
    <row r="62" spans="1:18" ht="14.45">
      <c r="B62" t="s">
        <v>579</v>
      </c>
      <c r="G62" s="255">
        <v>0</v>
      </c>
      <c r="H62" s="255">
        <v>0</v>
      </c>
      <c r="I62" s="255">
        <v>0</v>
      </c>
      <c r="J62" s="255">
        <v>0</v>
      </c>
      <c r="K62" s="255">
        <v>0</v>
      </c>
      <c r="L62" s="255">
        <v>0</v>
      </c>
      <c r="M62" s="255">
        <v>0</v>
      </c>
      <c r="N62" s="255">
        <v>0</v>
      </c>
      <c r="O62" s="255">
        <v>1863</v>
      </c>
      <c r="P62" s="255">
        <v>4375</v>
      </c>
      <c r="Q62" s="255">
        <v>5762</v>
      </c>
      <c r="R62" s="60"/>
    </row>
    <row r="63" spans="1:18" ht="3.95" customHeight="1"/>
    <row r="64" spans="1:18" ht="15.6">
      <c r="A64" t="s">
        <v>424</v>
      </c>
      <c r="B64" s="48" t="s">
        <v>252</v>
      </c>
      <c r="C64" s="52"/>
      <c r="D64" s="52"/>
      <c r="E64" s="52"/>
      <c r="F64" s="52"/>
      <c r="G64" s="216">
        <v>2014</v>
      </c>
      <c r="H64" s="216">
        <f>+G64+1</f>
        <v>2015</v>
      </c>
      <c r="I64" s="216">
        <f t="shared" ref="I64:M64" si="24">+H64+1</f>
        <v>2016</v>
      </c>
      <c r="J64" s="216">
        <f t="shared" si="24"/>
        <v>2017</v>
      </c>
      <c r="K64" s="216">
        <f t="shared" si="24"/>
        <v>2018</v>
      </c>
      <c r="L64" s="216">
        <f t="shared" si="24"/>
        <v>2019</v>
      </c>
      <c r="M64" s="216">
        <f t="shared" si="24"/>
        <v>2020</v>
      </c>
      <c r="N64" s="216">
        <f>+M64+1</f>
        <v>2021</v>
      </c>
      <c r="O64" s="216">
        <f>+N64+1</f>
        <v>2022</v>
      </c>
      <c r="P64" s="216">
        <f t="shared" ref="P64" si="25">+O64+1</f>
        <v>2023</v>
      </c>
      <c r="Q64" s="216">
        <f>+P64+1</f>
        <v>2024</v>
      </c>
      <c r="R64" s="54" t="str">
        <f>"CAGR "&amp;$G$4&amp;" - "&amp;$Q$4</f>
        <v>CAGR 2014 - 2024</v>
      </c>
    </row>
    <row r="65" spans="2:18" ht="3.95" customHeight="1">
      <c r="B65" s="222"/>
      <c r="C65" s="222"/>
      <c r="D65" s="222"/>
      <c r="E65" s="222"/>
      <c r="F65" s="222"/>
      <c r="G65" s="223"/>
      <c r="H65" s="223"/>
      <c r="I65" s="223"/>
      <c r="J65" s="223"/>
      <c r="K65" s="223"/>
      <c r="L65" s="223"/>
      <c r="M65" s="223"/>
      <c r="N65" s="223"/>
      <c r="O65" s="223"/>
      <c r="P65" s="223"/>
      <c r="Q65" s="223"/>
      <c r="R65" s="56"/>
    </row>
    <row r="66" spans="2:18">
      <c r="B66" t="s">
        <v>287</v>
      </c>
      <c r="G66" s="234">
        <f>G24</f>
        <v>12479</v>
      </c>
      <c r="H66" s="234">
        <f t="shared" ref="H66:Q66" si="26">H24</f>
        <v>11566</v>
      </c>
      <c r="I66" s="234">
        <f t="shared" si="26"/>
        <v>11148</v>
      </c>
      <c r="J66" s="234">
        <f t="shared" si="26"/>
        <v>7060</v>
      </c>
      <c r="K66" s="234">
        <f t="shared" si="26"/>
        <v>20612</v>
      </c>
      <c r="L66" s="234">
        <f t="shared" si="26"/>
        <v>20331</v>
      </c>
      <c r="M66" s="234">
        <f t="shared" si="26"/>
        <v>18256</v>
      </c>
      <c r="N66" s="234">
        <f t="shared" si="26"/>
        <v>18393</v>
      </c>
      <c r="O66" s="234">
        <f t="shared" si="26"/>
        <v>2803</v>
      </c>
      <c r="P66" s="234">
        <f t="shared" si="26"/>
        <v>1897</v>
      </c>
      <c r="Q66" s="234">
        <f t="shared" si="26"/>
        <v>-12986</v>
      </c>
      <c r="R66" s="60">
        <f>IFERROR((Q66/G66)^(1/COUNT($G$4:$Q$4))-1,"")</f>
        <v>-2.0036269818703496</v>
      </c>
    </row>
    <row r="67" spans="2:18">
      <c r="B67" t="s">
        <v>580</v>
      </c>
      <c r="G67" s="227">
        <f>+G13</f>
        <v>8549</v>
      </c>
      <c r="H67" s="227">
        <f t="shared" ref="H67:Q67" si="27">+H13</f>
        <v>8711</v>
      </c>
      <c r="I67" s="227">
        <f t="shared" si="27"/>
        <v>7790</v>
      </c>
      <c r="J67" s="227">
        <f t="shared" si="27"/>
        <v>8129</v>
      </c>
      <c r="K67" s="227">
        <f t="shared" si="27"/>
        <v>9085</v>
      </c>
      <c r="L67" s="227">
        <f t="shared" si="27"/>
        <v>10826</v>
      </c>
      <c r="M67" s="227">
        <f t="shared" si="27"/>
        <v>12239</v>
      </c>
      <c r="N67" s="227">
        <f t="shared" si="27"/>
        <v>11792</v>
      </c>
      <c r="O67" s="227">
        <f t="shared" si="27"/>
        <v>13035</v>
      </c>
      <c r="P67" s="227">
        <f t="shared" si="27"/>
        <v>9602</v>
      </c>
      <c r="Q67" s="227">
        <f t="shared" si="27"/>
        <v>11379</v>
      </c>
      <c r="R67" s="60">
        <f>IFERROR((Q67/G67)^(1/COUNT($G$4:$Q$4))-1,"")</f>
        <v>2.633677167835824E-2</v>
      </c>
    </row>
    <row r="68" spans="2:18">
      <c r="B68" t="s">
        <v>497</v>
      </c>
      <c r="G68" s="253">
        <f>+SUM(G69:G72)</f>
        <v>-1490</v>
      </c>
      <c r="H68" s="253">
        <f t="shared" ref="H68:Q68" si="28">+SUM(H69:H72)</f>
        <v>-1756</v>
      </c>
      <c r="I68" s="253">
        <f t="shared" si="28"/>
        <v>2039</v>
      </c>
      <c r="J68" s="253">
        <f t="shared" si="28"/>
        <v>3651</v>
      </c>
      <c r="K68" s="253">
        <f t="shared" si="28"/>
        <v>-2211</v>
      </c>
      <c r="L68" s="253">
        <f t="shared" si="28"/>
        <v>-1877</v>
      </c>
      <c r="M68" s="253">
        <f t="shared" si="28"/>
        <v>2388</v>
      </c>
      <c r="N68" s="253">
        <f t="shared" si="28"/>
        <v>-5332</v>
      </c>
      <c r="O68" s="253">
        <f t="shared" si="28"/>
        <v>-3230</v>
      </c>
      <c r="P68" s="253">
        <f t="shared" si="28"/>
        <v>-2118</v>
      </c>
      <c r="Q68" s="253">
        <f t="shared" si="28"/>
        <v>-1120</v>
      </c>
      <c r="R68" s="60">
        <f>IFERROR((Q68/G68)^(1/COUNT($G$4:$Q$4))-1,"")</f>
        <v>-2.5615965179245914E-2</v>
      </c>
    </row>
    <row r="69" spans="2:18" ht="14.45">
      <c r="B69" s="254" t="s">
        <v>581</v>
      </c>
      <c r="G69" s="218">
        <v>-861</v>
      </c>
      <c r="H69" s="218">
        <v>-355</v>
      </c>
      <c r="I69" s="218">
        <v>65</v>
      </c>
      <c r="J69" s="218">
        <v>-781</v>
      </c>
      <c r="K69" s="218">
        <v>-1714</v>
      </c>
      <c r="L69" s="218">
        <v>-935</v>
      </c>
      <c r="M69" s="218">
        <v>883</v>
      </c>
      <c r="N69" s="218">
        <v>-2674</v>
      </c>
      <c r="O69" s="218">
        <v>5327</v>
      </c>
      <c r="P69" s="218">
        <v>731</v>
      </c>
      <c r="Q69" s="218">
        <v>-75</v>
      </c>
      <c r="R69" s="60"/>
    </row>
    <row r="70" spans="2:18" ht="14.45">
      <c r="B70" s="254" t="s">
        <v>582</v>
      </c>
      <c r="G70" s="218">
        <v>-98</v>
      </c>
      <c r="H70" s="218">
        <v>-764</v>
      </c>
      <c r="I70" s="218">
        <v>119</v>
      </c>
      <c r="J70" s="218">
        <v>-1300</v>
      </c>
      <c r="K70" s="218">
        <v>-214</v>
      </c>
      <c r="L70" s="218">
        <v>-1481</v>
      </c>
      <c r="M70" s="218">
        <v>-687</v>
      </c>
      <c r="N70" s="218">
        <v>-2339</v>
      </c>
      <c r="O70" s="218">
        <v>-2436</v>
      </c>
      <c r="P70" s="218">
        <v>2097</v>
      </c>
      <c r="Q70" s="218">
        <v>-1105</v>
      </c>
      <c r="R70" s="60"/>
    </row>
    <row r="71" spans="2:18" ht="14.45">
      <c r="B71" s="254" t="s">
        <v>583</v>
      </c>
      <c r="G71" s="218">
        <f>CS!E16</f>
        <v>-249</v>
      </c>
      <c r="H71" s="218">
        <f>CS!F16</f>
        <v>-312</v>
      </c>
      <c r="I71" s="218">
        <f>CS!G16</f>
        <v>182</v>
      </c>
      <c r="J71" s="218">
        <f>CS!H16</f>
        <v>191</v>
      </c>
      <c r="K71" s="218">
        <f>CS!I16</f>
        <v>211</v>
      </c>
      <c r="L71" s="218">
        <f>CS!J16</f>
        <v>696</v>
      </c>
      <c r="M71" s="218">
        <f>CS!K16</f>
        <v>405</v>
      </c>
      <c r="N71" s="218">
        <f>CS!L16</f>
        <v>1190</v>
      </c>
      <c r="O71" s="218">
        <f>CS!M16</f>
        <v>-29</v>
      </c>
      <c r="P71" s="218">
        <f>CS!N16</f>
        <v>-801</v>
      </c>
      <c r="Q71" s="218">
        <f>CS!O16</f>
        <v>634</v>
      </c>
      <c r="R71" s="60"/>
    </row>
    <row r="72" spans="2:18" ht="14.45">
      <c r="B72" s="254" t="s">
        <v>584</v>
      </c>
      <c r="G72" s="218">
        <v>-282</v>
      </c>
      <c r="H72" s="218">
        <v>-325</v>
      </c>
      <c r="I72" s="218">
        <v>1673</v>
      </c>
      <c r="J72" s="218">
        <v>5541</v>
      </c>
      <c r="K72" s="218">
        <v>-494</v>
      </c>
      <c r="L72" s="218">
        <v>-157</v>
      </c>
      <c r="M72" s="218">
        <v>1787</v>
      </c>
      <c r="N72" s="218">
        <v>-1509</v>
      </c>
      <c r="O72" s="218">
        <v>-6092</v>
      </c>
      <c r="P72" s="218">
        <v>-4145</v>
      </c>
      <c r="Q72" s="218">
        <v>-574</v>
      </c>
      <c r="R72" s="60"/>
    </row>
    <row r="73" spans="2:18">
      <c r="B73" t="s">
        <v>495</v>
      </c>
      <c r="G73" s="218">
        <v>1026</v>
      </c>
      <c r="H73" s="218">
        <v>1146</v>
      </c>
      <c r="I73" s="218">
        <v>1444</v>
      </c>
      <c r="J73" s="218">
        <v>1358</v>
      </c>
      <c r="K73" s="218">
        <v>1546</v>
      </c>
      <c r="L73" s="218">
        <v>1705</v>
      </c>
      <c r="M73" s="218">
        <v>1854</v>
      </c>
      <c r="N73" s="218">
        <v>2036</v>
      </c>
      <c r="O73" s="218">
        <v>3128</v>
      </c>
      <c r="P73" s="218">
        <v>3229</v>
      </c>
      <c r="Q73" s="218">
        <v>3410</v>
      </c>
      <c r="R73" s="60"/>
    </row>
    <row r="74" spans="2:18">
      <c r="B74" t="s">
        <v>498</v>
      </c>
      <c r="G74" s="253">
        <f>+G75-G66-G67-G68-G73</f>
        <v>-146</v>
      </c>
      <c r="H74" s="253">
        <f t="shared" ref="H74:Q74" si="29">+H75-H66-H67-H68-H73</f>
        <v>-650</v>
      </c>
      <c r="I74" s="253">
        <f t="shared" si="29"/>
        <v>-613</v>
      </c>
      <c r="J74" s="253">
        <f t="shared" si="29"/>
        <v>1912</v>
      </c>
      <c r="K74" s="253">
        <f t="shared" si="29"/>
        <v>400</v>
      </c>
      <c r="L74" s="253">
        <f t="shared" si="29"/>
        <v>2160</v>
      </c>
      <c r="M74" s="253">
        <f t="shared" si="29"/>
        <v>1127</v>
      </c>
      <c r="N74" s="253">
        <f t="shared" si="29"/>
        <v>3102</v>
      </c>
      <c r="O74" s="253">
        <f t="shared" si="29"/>
        <v>-303</v>
      </c>
      <c r="P74" s="253">
        <f t="shared" si="29"/>
        <v>-1139</v>
      </c>
      <c r="Q74" s="253">
        <f t="shared" si="29"/>
        <v>7605</v>
      </c>
      <c r="R74" s="60">
        <f>IFERROR((Q74/G74)^(1/COUNT($G$4:$Q$4))-1,"")</f>
        <v>-2.4324116718185143</v>
      </c>
    </row>
    <row r="75" spans="2:18" s="1" customFormat="1">
      <c r="B75" s="257" t="s">
        <v>306</v>
      </c>
      <c r="C75" s="257"/>
      <c r="D75" s="257"/>
      <c r="E75" s="257"/>
      <c r="F75" s="623"/>
      <c r="G75" s="258">
        <v>20418</v>
      </c>
      <c r="H75" s="258">
        <v>19017</v>
      </c>
      <c r="I75" s="258">
        <v>21808</v>
      </c>
      <c r="J75" s="258">
        <v>22110</v>
      </c>
      <c r="K75" s="258">
        <v>29432</v>
      </c>
      <c r="L75" s="258">
        <v>33145</v>
      </c>
      <c r="M75" s="258">
        <v>35864</v>
      </c>
      <c r="N75" s="258">
        <v>29991</v>
      </c>
      <c r="O75" s="258">
        <v>15433</v>
      </c>
      <c r="P75" s="258">
        <v>11471</v>
      </c>
      <c r="Q75" s="258">
        <v>8288</v>
      </c>
      <c r="R75" s="259">
        <f>IFERROR((Q75/G75)^(1/COUNT($G$4:$Q$4))-1,"")</f>
        <v>-7.8695224947511133E-2</v>
      </c>
    </row>
    <row r="76" spans="2:18">
      <c r="B76" t="s">
        <v>28</v>
      </c>
      <c r="G76" s="227">
        <f>+SUM(G77:G78)</f>
        <v>-10105</v>
      </c>
      <c r="H76" s="227">
        <f t="shared" ref="H76:Q76" si="30">+SUM(H77:H78)</f>
        <v>-7446</v>
      </c>
      <c r="I76" s="227">
        <f t="shared" si="30"/>
        <v>-9625</v>
      </c>
      <c r="J76" s="227">
        <f t="shared" si="30"/>
        <v>-11778</v>
      </c>
      <c r="K76" s="227">
        <f t="shared" si="30"/>
        <v>-15181</v>
      </c>
      <c r="L76" s="227">
        <f t="shared" si="30"/>
        <v>-16213</v>
      </c>
      <c r="M76" s="227">
        <f t="shared" si="30"/>
        <v>-14453</v>
      </c>
      <c r="N76" s="227">
        <f t="shared" si="30"/>
        <v>-20329</v>
      </c>
      <c r="O76" s="227">
        <f t="shared" si="30"/>
        <v>-25050</v>
      </c>
      <c r="P76" s="227">
        <f t="shared" si="30"/>
        <v>-25750</v>
      </c>
      <c r="Q76" s="227">
        <f t="shared" si="30"/>
        <v>-23944</v>
      </c>
      <c r="R76" s="60">
        <f>IFERROR((Q76/G76)^(1/COUNT($G$4:$Q$4))-1,"")</f>
        <v>8.158345462809069E-2</v>
      </c>
    </row>
    <row r="77" spans="2:18" ht="14.45">
      <c r="B77" s="254" t="s">
        <v>500</v>
      </c>
      <c r="G77" s="255">
        <v>-10105</v>
      </c>
      <c r="H77" s="255">
        <v>-7446</v>
      </c>
      <c r="I77" s="255">
        <v>-9625</v>
      </c>
      <c r="J77" s="255">
        <v>-11778</v>
      </c>
      <c r="K77" s="255">
        <v>-15181</v>
      </c>
      <c r="L77" s="255">
        <v>-16213</v>
      </c>
      <c r="M77" s="255">
        <v>-14453</v>
      </c>
      <c r="N77" s="255">
        <v>-20329</v>
      </c>
      <c r="O77" s="255">
        <v>-25050</v>
      </c>
      <c r="P77" s="255">
        <v>-25750</v>
      </c>
      <c r="Q77" s="255">
        <v>-23944</v>
      </c>
      <c r="R77" s="60">
        <f t="shared" ref="R77:R84" si="31">IFERROR((Q77/G77)^(1/COUNT($G$4:$Q$4))-1,"")</f>
        <v>8.158345462809069E-2</v>
      </c>
    </row>
    <row r="78" spans="2:18" ht="14.45">
      <c r="B78" s="254" t="s">
        <v>502</v>
      </c>
      <c r="G78" s="255">
        <v>0</v>
      </c>
      <c r="H78" s="255">
        <v>0</v>
      </c>
      <c r="I78" s="255">
        <v>0</v>
      </c>
      <c r="J78" s="255">
        <v>0</v>
      </c>
      <c r="K78" s="255">
        <v>0</v>
      </c>
      <c r="L78" s="255">
        <v>0</v>
      </c>
      <c r="M78" s="255">
        <v>0</v>
      </c>
      <c r="N78" s="255">
        <v>0</v>
      </c>
      <c r="O78" s="255">
        <v>0</v>
      </c>
      <c r="P78" s="255">
        <v>0</v>
      </c>
      <c r="Q78" s="255">
        <v>0</v>
      </c>
      <c r="R78" s="60" t="str">
        <f t="shared" si="31"/>
        <v/>
      </c>
    </row>
    <row r="79" spans="2:18" ht="14.45">
      <c r="B79" s="85" t="s">
        <v>504</v>
      </c>
      <c r="G79" s="227">
        <f>+SUM(G80:G83)</f>
        <v>6633</v>
      </c>
      <c r="H79" s="227">
        <f t="shared" ref="H79:Q79" si="32">+SUM(H80:H83)</f>
        <v>3244</v>
      </c>
      <c r="I79" s="227">
        <f t="shared" si="32"/>
        <v>-9699</v>
      </c>
      <c r="J79" s="227">
        <f t="shared" si="32"/>
        <v>-7145</v>
      </c>
      <c r="K79" s="227">
        <f t="shared" si="32"/>
        <v>2286</v>
      </c>
      <c r="L79" s="227">
        <f t="shared" si="32"/>
        <v>208</v>
      </c>
      <c r="M79" s="227">
        <f>+SUM(M80:M83)</f>
        <v>190</v>
      </c>
      <c r="N79" s="227">
        <f t="shared" si="32"/>
        <v>-2122</v>
      </c>
      <c r="O79" s="227">
        <f t="shared" si="32"/>
        <v>11030</v>
      </c>
      <c r="P79" s="227">
        <f t="shared" si="32"/>
        <v>73</v>
      </c>
      <c r="Q79" s="227">
        <f t="shared" si="32"/>
        <v>-82</v>
      </c>
      <c r="R79" s="60">
        <f t="shared" si="31"/>
        <v>-1.6707410647048024</v>
      </c>
    </row>
    <row r="80" spans="2:18" ht="14.45">
      <c r="B80" s="254" t="s">
        <v>585</v>
      </c>
      <c r="G80" s="255">
        <f>-934+0</f>
        <v>-934</v>
      </c>
      <c r="H80" s="255">
        <f>-913+0</f>
        <v>-913</v>
      </c>
      <c r="I80" s="255">
        <f>-15470+0</f>
        <v>-15470</v>
      </c>
      <c r="J80" s="255">
        <f>-14449+0</f>
        <v>-14449</v>
      </c>
      <c r="K80" s="255">
        <f>-190+0</f>
        <v>-190</v>
      </c>
      <c r="L80" s="255">
        <f>-1958+0</f>
        <v>-1958</v>
      </c>
      <c r="M80" s="255">
        <f>0+0</f>
        <v>0</v>
      </c>
      <c r="N80" s="255">
        <f>-2090+0</f>
        <v>-2090</v>
      </c>
      <c r="O80" s="255">
        <f>0+0</f>
        <v>0</v>
      </c>
      <c r="P80" s="255">
        <f>0+0</f>
        <v>0</v>
      </c>
      <c r="Q80" s="255">
        <f>-82+0</f>
        <v>-82</v>
      </c>
      <c r="R80" s="60">
        <f t="shared" si="31"/>
        <v>-0.19841137941808562</v>
      </c>
    </row>
    <row r="81" spans="1:18" ht="14.45">
      <c r="B81" s="254" t="s">
        <v>586</v>
      </c>
      <c r="G81" s="255">
        <v>0</v>
      </c>
      <c r="H81" s="255">
        <v>0</v>
      </c>
      <c r="I81" s="255">
        <v>0</v>
      </c>
      <c r="J81" s="255">
        <v>0</v>
      </c>
      <c r="K81" s="255">
        <v>548</v>
      </c>
      <c r="L81" s="255">
        <v>0</v>
      </c>
      <c r="M81" s="255">
        <v>0</v>
      </c>
      <c r="N81" s="255">
        <v>0</v>
      </c>
      <c r="O81" s="255">
        <v>6579</v>
      </c>
      <c r="P81" s="255">
        <v>0</v>
      </c>
      <c r="Q81" s="255">
        <v>0</v>
      </c>
      <c r="R81" s="60" t="str">
        <f t="shared" si="31"/>
        <v/>
      </c>
    </row>
    <row r="82" spans="1:18" ht="14.45">
      <c r="B82" s="254" t="s">
        <v>587</v>
      </c>
      <c r="G82" s="255">
        <v>-1377</v>
      </c>
      <c r="H82" s="255">
        <v>-2011</v>
      </c>
      <c r="I82" s="255">
        <v>-963</v>
      </c>
      <c r="J82" s="255">
        <v>-1619</v>
      </c>
      <c r="K82" s="255">
        <v>-874</v>
      </c>
      <c r="L82" s="255">
        <v>-522</v>
      </c>
      <c r="M82" s="255">
        <v>-720</v>
      </c>
      <c r="N82" s="255">
        <v>-613</v>
      </c>
      <c r="O82" s="255">
        <v>-510</v>
      </c>
      <c r="P82" s="255">
        <v>-399</v>
      </c>
      <c r="Q82" s="255">
        <v>0</v>
      </c>
      <c r="R82" s="60">
        <f t="shared" si="31"/>
        <v>-1</v>
      </c>
    </row>
    <row r="83" spans="1:18" ht="14.45">
      <c r="B83" s="254" t="s">
        <v>588</v>
      </c>
      <c r="G83" s="255">
        <v>8944</v>
      </c>
      <c r="H83" s="255">
        <v>6168</v>
      </c>
      <c r="I83" s="255">
        <v>6734</v>
      </c>
      <c r="J83" s="255">
        <v>8923</v>
      </c>
      <c r="K83" s="255">
        <v>2802</v>
      </c>
      <c r="L83" s="255">
        <v>2688</v>
      </c>
      <c r="M83" s="255">
        <v>910</v>
      </c>
      <c r="N83" s="255">
        <v>581</v>
      </c>
      <c r="O83" s="255">
        <v>4961</v>
      </c>
      <c r="P83" s="255">
        <v>472</v>
      </c>
      <c r="Q83" s="255">
        <v>0</v>
      </c>
      <c r="R83" s="60">
        <f t="shared" si="31"/>
        <v>-1</v>
      </c>
    </row>
    <row r="84" spans="1:18">
      <c r="B84" t="s">
        <v>505</v>
      </c>
      <c r="G84" s="227">
        <f>+G85-G76-G79</f>
        <v>-6433</v>
      </c>
      <c r="H84" s="227">
        <f t="shared" ref="H84:Q84" si="33">+H85-H76-H79</f>
        <v>-3981</v>
      </c>
      <c r="I84" s="227">
        <f t="shared" si="33"/>
        <v>-6493</v>
      </c>
      <c r="J84" s="227">
        <f t="shared" si="33"/>
        <v>3161</v>
      </c>
      <c r="K84" s="227">
        <f t="shared" si="33"/>
        <v>1656</v>
      </c>
      <c r="L84" s="227">
        <f t="shared" si="33"/>
        <v>1600</v>
      </c>
      <c r="M84" s="227">
        <f t="shared" si="33"/>
        <v>-7261</v>
      </c>
      <c r="N84" s="227">
        <f t="shared" si="33"/>
        <v>-2716</v>
      </c>
      <c r="O84" s="227">
        <f t="shared" si="33"/>
        <v>3789</v>
      </c>
      <c r="P84" s="227">
        <f t="shared" si="33"/>
        <v>1636</v>
      </c>
      <c r="Q84" s="227">
        <f t="shared" si="33"/>
        <v>5770</v>
      </c>
      <c r="R84" s="60">
        <f t="shared" si="31"/>
        <v>-1.9901606434552546</v>
      </c>
    </row>
    <row r="85" spans="1:18" s="1" customFormat="1">
      <c r="B85" s="257" t="s">
        <v>307</v>
      </c>
      <c r="C85" s="257"/>
      <c r="D85" s="257"/>
      <c r="E85" s="257"/>
      <c r="F85" s="623"/>
      <c r="G85" s="258">
        <v>-9905</v>
      </c>
      <c r="H85" s="258">
        <v>-8183</v>
      </c>
      <c r="I85" s="258">
        <v>-25817</v>
      </c>
      <c r="J85" s="258">
        <v>-15762</v>
      </c>
      <c r="K85" s="258">
        <v>-11239</v>
      </c>
      <c r="L85" s="258">
        <v>-14405</v>
      </c>
      <c r="M85" s="258">
        <v>-21524</v>
      </c>
      <c r="N85" s="258">
        <v>-25167</v>
      </c>
      <c r="O85" s="258">
        <v>-10231</v>
      </c>
      <c r="P85" s="258">
        <v>-24041</v>
      </c>
      <c r="Q85" s="258">
        <v>-18256</v>
      </c>
      <c r="R85" s="259">
        <f t="shared" ref="R85:R94" si="34">IFERROR((Q85/G85)^(1/COUNT($G$4:$Q$4))-1,"")</f>
        <v>5.7160708617872702E-2</v>
      </c>
    </row>
    <row r="86" spans="1:18">
      <c r="B86" t="s">
        <v>308</v>
      </c>
      <c r="G86" s="218">
        <v>0</v>
      </c>
      <c r="H86" s="218">
        <v>9581</v>
      </c>
      <c r="I86" s="218">
        <v>2734</v>
      </c>
      <c r="J86" s="218">
        <v>7716</v>
      </c>
      <c r="K86" s="218">
        <v>423</v>
      </c>
      <c r="L86" s="218">
        <v>3392</v>
      </c>
      <c r="M86" s="218">
        <v>10247</v>
      </c>
      <c r="N86" s="218">
        <v>4974</v>
      </c>
      <c r="O86" s="218">
        <v>6548</v>
      </c>
      <c r="P86" s="218">
        <v>11391</v>
      </c>
      <c r="Q86" s="218">
        <v>2975</v>
      </c>
      <c r="R86" s="60" t="str">
        <f t="shared" si="34"/>
        <v/>
      </c>
    </row>
    <row r="87" spans="1:18">
      <c r="B87" t="s">
        <v>309</v>
      </c>
      <c r="G87" s="218">
        <v>0</v>
      </c>
      <c r="H87" s="218">
        <v>0</v>
      </c>
      <c r="I87" s="218">
        <v>-1500</v>
      </c>
      <c r="J87" s="218">
        <v>-8080</v>
      </c>
      <c r="K87" s="218">
        <v>-3026</v>
      </c>
      <c r="L87" s="218">
        <v>-2627</v>
      </c>
      <c r="M87" s="218">
        <v>-4525</v>
      </c>
      <c r="N87" s="218">
        <v>-2500</v>
      </c>
      <c r="O87" s="218">
        <v>-5329</v>
      </c>
      <c r="P87" s="218">
        <v>-519</v>
      </c>
      <c r="Q87" s="218">
        <v>-2288</v>
      </c>
      <c r="R87" s="60" t="str">
        <f t="shared" si="34"/>
        <v/>
      </c>
    </row>
    <row r="88" spans="1:18">
      <c r="B88" t="s">
        <v>510</v>
      </c>
      <c r="G88" s="218">
        <f>BS!B52+BS!B63</f>
        <v>0</v>
      </c>
      <c r="H88" s="218">
        <f>BS!C52+BS!C63</f>
        <v>0</v>
      </c>
      <c r="I88" s="218">
        <f>BS!D52+BS!D63</f>
        <v>0</v>
      </c>
      <c r="J88" s="218">
        <f>BS!E52+BS!E63</f>
        <v>0</v>
      </c>
      <c r="K88" s="218">
        <v>0</v>
      </c>
      <c r="L88" s="218">
        <f>BS!G52+BS!G63</f>
        <v>550</v>
      </c>
      <c r="M88" s="218">
        <f>BS!H52+BS!H63</f>
        <v>527</v>
      </c>
      <c r="N88" s="218">
        <f>BS!I52+BS!I63</f>
        <v>475</v>
      </c>
      <c r="O88" s="218">
        <f>BS!J52+BS!J63</f>
        <v>409</v>
      </c>
      <c r="P88" s="218">
        <f>BS!K52+BS!K63</f>
        <v>431</v>
      </c>
      <c r="Q88" s="218">
        <f>BS!L52+BS!L63</f>
        <v>460</v>
      </c>
      <c r="R88" s="60" t="str">
        <f t="shared" si="34"/>
        <v/>
      </c>
    </row>
    <row r="89" spans="1:18">
      <c r="B89" t="s">
        <v>506</v>
      </c>
      <c r="G89" s="218">
        <v>-4409</v>
      </c>
      <c r="H89" s="218">
        <v>-4556</v>
      </c>
      <c r="I89" s="218">
        <v>-4925</v>
      </c>
      <c r="J89" s="218">
        <v>-5072</v>
      </c>
      <c r="K89" s="218">
        <v>-5541</v>
      </c>
      <c r="L89" s="218">
        <v>-5576</v>
      </c>
      <c r="M89" s="218">
        <v>-5568</v>
      </c>
      <c r="N89" s="218">
        <v>-5644</v>
      </c>
      <c r="O89" s="218">
        <v>-5997</v>
      </c>
      <c r="P89" s="218">
        <v>-3088</v>
      </c>
      <c r="Q89" s="218">
        <v>-1599</v>
      </c>
      <c r="R89" s="60">
        <f t="shared" si="34"/>
        <v>-8.8083012641643976E-2</v>
      </c>
    </row>
    <row r="90" spans="1:18">
      <c r="B90" t="s">
        <v>508</v>
      </c>
      <c r="G90" s="218">
        <v>-9335</v>
      </c>
      <c r="H90" s="218">
        <v>-1651</v>
      </c>
      <c r="I90" s="218">
        <v>-1479</v>
      </c>
      <c r="J90" s="218">
        <v>-2845</v>
      </c>
      <c r="K90" s="218">
        <v>-10175</v>
      </c>
      <c r="L90" s="218">
        <v>-12826</v>
      </c>
      <c r="M90" s="218">
        <v>-13332</v>
      </c>
      <c r="N90" s="218">
        <v>-1395</v>
      </c>
      <c r="O90" s="218">
        <v>2009</v>
      </c>
      <c r="P90" s="218">
        <v>4001</v>
      </c>
      <c r="Q90" s="218">
        <v>987</v>
      </c>
      <c r="R90" s="60">
        <f t="shared" si="34"/>
        <v>-1.8152506737597465</v>
      </c>
    </row>
    <row r="91" spans="1:18">
      <c r="B91" t="s">
        <v>513</v>
      </c>
      <c r="G91" s="227">
        <f>+G92-G86-G87-G88-G89-G90</f>
        <v>133</v>
      </c>
      <c r="H91" s="227">
        <f t="shared" ref="H91:Q91" si="35">+H92-H86-H87-H88-H89-H90</f>
        <v>-1462</v>
      </c>
      <c r="I91" s="227">
        <f t="shared" si="35"/>
        <v>-569</v>
      </c>
      <c r="J91" s="227">
        <f t="shared" si="35"/>
        <v>-194</v>
      </c>
      <c r="K91" s="797">
        <f>+K92-K86-K87-K88-K89-K90</f>
        <v>-288</v>
      </c>
      <c r="L91" s="227">
        <f t="shared" si="35"/>
        <v>-478</v>
      </c>
      <c r="M91" s="227">
        <f t="shared" si="35"/>
        <v>-18</v>
      </c>
      <c r="N91" s="227">
        <f t="shared" si="35"/>
        <v>-1772</v>
      </c>
      <c r="O91" s="227">
        <f t="shared" si="35"/>
        <v>3475</v>
      </c>
      <c r="P91" s="227">
        <f t="shared" si="35"/>
        <v>-3711</v>
      </c>
      <c r="Q91" s="227">
        <f t="shared" si="35"/>
        <v>10603</v>
      </c>
      <c r="R91" s="60">
        <f t="shared" si="34"/>
        <v>0.48891754416818101</v>
      </c>
    </row>
    <row r="92" spans="1:18" s="1" customFormat="1">
      <c r="B92" s="257" t="s">
        <v>310</v>
      </c>
      <c r="C92" s="257"/>
      <c r="D92" s="257"/>
      <c r="E92" s="257"/>
      <c r="F92" s="623"/>
      <c r="G92" s="262">
        <v>-13611</v>
      </c>
      <c r="H92" s="262">
        <v>1912</v>
      </c>
      <c r="I92" s="262">
        <v>-5739</v>
      </c>
      <c r="J92" s="262">
        <v>-8475</v>
      </c>
      <c r="K92" s="262">
        <v>-18607</v>
      </c>
      <c r="L92" s="262">
        <v>-17565</v>
      </c>
      <c r="M92" s="262">
        <v>-12669</v>
      </c>
      <c r="N92" s="262">
        <v>-5862</v>
      </c>
      <c r="O92" s="262">
        <v>1115</v>
      </c>
      <c r="P92" s="262">
        <v>8505</v>
      </c>
      <c r="Q92" s="262">
        <v>11138</v>
      </c>
      <c r="R92" s="259">
        <f t="shared" si="34"/>
        <v>-1.9819364463669049</v>
      </c>
    </row>
    <row r="93" spans="1:18" s="1" customFormat="1">
      <c r="B93" s="263" t="s">
        <v>589</v>
      </c>
      <c r="C93" s="260"/>
      <c r="D93" s="260"/>
      <c r="E93" s="260"/>
      <c r="F93" s="625"/>
      <c r="G93" s="264">
        <v>-15</v>
      </c>
      <c r="H93" s="264">
        <v>1</v>
      </c>
      <c r="I93" s="264">
        <v>0</v>
      </c>
      <c r="J93" s="264">
        <v>0</v>
      </c>
      <c r="K93" s="264">
        <v>0</v>
      </c>
      <c r="L93" s="264">
        <v>0</v>
      </c>
      <c r="M93" s="264">
        <v>0</v>
      </c>
      <c r="N93" s="264">
        <v>0</v>
      </c>
      <c r="O93" s="264">
        <v>0</v>
      </c>
      <c r="P93" s="264">
        <v>0</v>
      </c>
      <c r="Q93" s="264">
        <v>0</v>
      </c>
      <c r="R93" s="261">
        <f t="shared" si="34"/>
        <v>-1</v>
      </c>
    </row>
    <row r="94" spans="1:18" s="1" customFormat="1">
      <c r="B94" s="1" t="s">
        <v>311</v>
      </c>
      <c r="F94"/>
      <c r="G94" s="228">
        <v>-3113</v>
      </c>
      <c r="H94" s="228">
        <v>12747</v>
      </c>
      <c r="I94" s="228">
        <v>-9748</v>
      </c>
      <c r="J94" s="228">
        <v>-2127</v>
      </c>
      <c r="K94" s="228">
        <v>-414</v>
      </c>
      <c r="L94" s="228">
        <v>1175</v>
      </c>
      <c r="M94" s="228">
        <v>1671</v>
      </c>
      <c r="N94" s="228">
        <v>-1038</v>
      </c>
      <c r="O94" s="228">
        <v>6317</v>
      </c>
      <c r="P94" s="228">
        <v>-4065</v>
      </c>
      <c r="Q94" s="228">
        <v>1170</v>
      </c>
      <c r="R94" s="63">
        <f t="shared" si="34"/>
        <v>-1.9148802433315213</v>
      </c>
    </row>
    <row r="95" spans="1:18" ht="14.45">
      <c r="B95" s="85" t="s">
        <v>590</v>
      </c>
    </row>
    <row r="96" spans="1:18" ht="15.6">
      <c r="A96" t="s">
        <v>424</v>
      </c>
      <c r="B96" s="215" t="s">
        <v>591</v>
      </c>
      <c r="C96" s="52"/>
      <c r="D96" s="52"/>
      <c r="E96" s="52"/>
      <c r="F96" s="52"/>
      <c r="G96" s="489">
        <v>42004</v>
      </c>
      <c r="H96" s="489">
        <v>42369</v>
      </c>
      <c r="I96" s="489">
        <v>42735</v>
      </c>
      <c r="J96" s="489">
        <v>43100</v>
      </c>
      <c r="K96" s="489">
        <v>43465</v>
      </c>
      <c r="L96" s="489">
        <v>43830</v>
      </c>
      <c r="M96" s="489">
        <v>44196</v>
      </c>
      <c r="N96" s="489">
        <v>44561</v>
      </c>
      <c r="O96" s="489">
        <v>44926</v>
      </c>
      <c r="P96" s="489">
        <v>45291</v>
      </c>
      <c r="Q96" s="489">
        <v>45657</v>
      </c>
      <c r="R96" s="22"/>
    </row>
    <row r="97" spans="1:18" ht="3.95" customHeight="1">
      <c r="B97" s="222"/>
      <c r="C97" s="222"/>
      <c r="D97" s="222"/>
      <c r="E97" s="222"/>
      <c r="F97" s="222"/>
      <c r="G97" s="223"/>
      <c r="H97" s="223"/>
      <c r="I97" s="223"/>
      <c r="J97" s="223"/>
      <c r="K97" s="223"/>
      <c r="L97" s="223"/>
      <c r="M97" s="223"/>
      <c r="N97" s="223"/>
      <c r="O97" s="223"/>
      <c r="P97" s="223"/>
      <c r="Q97" s="223"/>
      <c r="R97" s="22"/>
    </row>
    <row r="98" spans="1:18">
      <c r="B98" t="s">
        <v>592</v>
      </c>
      <c r="G98" s="253" cm="1">
        <f t="array" aca="1" ref="G98" ca="1">(IFERROR(_xlfn.STOCKHISTORY(DCF!$R$4, G96, G96, 0, 0, 1), IFERROR(_xlfn.STOCKHISTORY(DCF!$R$4, G96+1, G96+1, 0, 0, 1), _xlfn.STOCKHISTORY(DCF!$R$4, G96-2, G96-2, 0, 0, 1))))*_xlfn.XLOOKUP("Basic Weighted Average Shares",$B:$B,G:G)</f>
        <v>177857.29</v>
      </c>
      <c r="H98" s="253" cm="1">
        <f t="array" aca="1" ref="H98" ca="1">(IFERROR(_xlfn.STOCKHISTORY(DCF!$R$4, H96, H96, 0, 0, 1), IFERROR(_xlfn.STOCKHISTORY(DCF!$R$4, H96+1, H96+1, 0, 0, 1), _xlfn.STOCKHISTORY(DCF!$R$4, H96-2, H96-2, 0, 0, 1))))*_xlfn.XLOOKUP("Basic Weighted Average Shares",$B:$B,H:H)</f>
        <v>163361.90000000002</v>
      </c>
      <c r="I98" s="253" cm="1">
        <f t="array" aca="1" ref="I98" ca="1">(IFERROR(_xlfn.STOCKHISTORY(DCF!$R$4, I96, I96, 0, 0, 1), IFERROR(_xlfn.STOCKHISTORY(DCF!$R$4, I96+1, I96+1, 0, 0, 1), _xlfn.STOCKHISTORY(DCF!$R$4, I96-2, I96-2, 0, 0, 1))))*_xlfn.XLOOKUP("Basic Weighted Average Shares",$B:$B,I:I)</f>
        <v>173401.8</v>
      </c>
      <c r="J98" s="253" cm="1">
        <f t="array" aca="1" ref="J98" ca="1">(IFERROR(_xlfn.STOCKHISTORY(DCF!$R$4, J96, J96, 0, 0, 1), IFERROR(_xlfn.STOCKHISTORY(DCF!$R$4, J96+1, J96+1, 0, 0, 1), _xlfn.STOCKHISTORY(DCF!$R$4, J96-2, J96-2, 0, 0, 1))))*_xlfn.XLOOKUP("Basic Weighted Average Shares",$B:$B,J:J)</f>
        <v>216998.15999999997</v>
      </c>
      <c r="K98" s="253" cm="1">
        <f t="array" aca="1" ref="K98" ca="1">(IFERROR(_xlfn.STOCKHISTORY(DCF!$R$4, K96, K96, 0, 0, 1), IFERROR(_xlfn.STOCKHISTORY(DCF!$R$4, K96+1, K96+1, 0, 0, 1), _xlfn.STOCKHISTORY(DCF!$R$4, K96-2, K96-2, 0, 0, 1))))*_xlfn.XLOOKUP("Basic Weighted Average Shares",$B:$B,K:K)</f>
        <v>216394.23</v>
      </c>
      <c r="L98" s="253" cm="1">
        <f t="array" aca="1" ref="L98" ca="1">(IFERROR(_xlfn.STOCKHISTORY(DCF!$R$4, L96, L96, 0, 0, 1), IFERROR(_xlfn.STOCKHISTORY(DCF!$R$4, L96+1, L96+1, 0, 0, 1), _xlfn.STOCKHISTORY(DCF!$R$4, L96-2, L96-2, 0, 0, 1))))*_xlfn.XLOOKUP("Basic Weighted Average Shares",$B:$B,L:L)</f>
        <v>264357.45</v>
      </c>
      <c r="M98" s="253" cm="1">
        <f t="array" aca="1" ref="M98" ca="1">(IFERROR(_xlfn.STOCKHISTORY(DCF!$R$4, M96, M96, 0, 0, 1), IFERROR(_xlfn.STOCKHISTORY(DCF!$R$4, M96+1, M96+1, 0, 0, 1), _xlfn.STOCKHISTORY(DCF!$R$4, M96-2, M96-2, 0, 0, 1))))*_xlfn.XLOOKUP("Basic Weighted Average Shares",$B:$B,M:M)</f>
        <v>209194.18</v>
      </c>
      <c r="N98" s="253" cm="1">
        <f t="array" aca="1" ref="N98" ca="1">(IFERROR(_xlfn.STOCKHISTORY(DCF!$R$4, N96, N96, 0, 0, 1), IFERROR(_xlfn.STOCKHISTORY(DCF!$R$4, N96+1, N96+1, 0, 0, 1), _xlfn.STOCKHISTORY(DCF!$R$4, N96-2, N96-2, 0, 0, 1))))*_xlfn.XLOOKUP("Basic Weighted Average Shares",$B:$B,N:N)</f>
        <v>209038.5</v>
      </c>
      <c r="O98" s="253" cm="1">
        <f t="array" aca="1" ref="O98" ca="1">(IFERROR(_xlfn.STOCKHISTORY(DCF!$R$4, O96, O96, 0, 0, 1), IFERROR(_xlfn.STOCKHISTORY(DCF!$R$4, O96+1, O96+1, 0, 0, 1), _xlfn.STOCKHISTORY(DCF!$R$4, O96-2, O96-2, 0, 0, 1))))*_xlfn.XLOOKUP("Basic Weighted Average Shares",$B:$B,O:O)</f>
        <v>107670.68000000001</v>
      </c>
      <c r="P98" s="253" cm="1">
        <f t="array" aca="1" ref="P98" ca="1">(IFERROR(_xlfn.STOCKHISTORY(DCF!$R$4, P96, P96, 0, 0, 1), IFERROR(_xlfn.STOCKHISTORY(DCF!$R$4, P96+1, P96+1, 0, 0, 1), _xlfn.STOCKHISTORY(DCF!$R$4, P96-2, P96-2, 0, 0, 1))))*_xlfn.XLOOKUP("Basic Weighted Average Shares",$B:$B,P:P)</f>
        <v>210547.5</v>
      </c>
      <c r="Q98" s="253" cm="1">
        <f t="array" aca="1" ref="Q98" ca="1">(IFERROR(_xlfn.STOCKHISTORY(DCF!$R$4, Q96, Q96, 0, 0, 1), IFERROR(_xlfn.STOCKHISTORY(DCF!$R$4, Q96+1, Q96+1, 0, 0, 1), _xlfn.STOCKHISTORY(DCF!$R$4, Q96-2, Q96-2, 0, 0, 1))))*_xlfn.XLOOKUP("Basic Weighted Average Shares",$B:$B,Q:Q)</f>
        <v>85814</v>
      </c>
    </row>
    <row r="99" spans="1:18">
      <c r="B99" t="s">
        <v>293</v>
      </c>
      <c r="G99" s="253">
        <f t="shared" ref="G99:Q99" si="36">_xlfn.XLOOKUP("Cash &amp; Cash Equivalents &amp; ST Investments",$B$30:$B$62,G$30:G$62)</f>
        <v>14054</v>
      </c>
      <c r="H99" s="253">
        <f t="shared" si="36"/>
        <v>25313</v>
      </c>
      <c r="I99" s="253">
        <f t="shared" si="36"/>
        <v>17099</v>
      </c>
      <c r="J99" s="253">
        <f t="shared" si="36"/>
        <v>14002</v>
      </c>
      <c r="K99" s="253">
        <f t="shared" si="36"/>
        <v>11650</v>
      </c>
      <c r="L99" s="253">
        <f t="shared" si="36"/>
        <v>13123</v>
      </c>
      <c r="M99" s="253">
        <f t="shared" si="36"/>
        <v>23895</v>
      </c>
      <c r="N99" s="253">
        <f t="shared" si="36"/>
        <v>28413</v>
      </c>
      <c r="O99" s="253">
        <f t="shared" si="36"/>
        <v>28338</v>
      </c>
      <c r="P99" s="253">
        <f t="shared" si="36"/>
        <v>25034</v>
      </c>
      <c r="Q99" s="253">
        <f t="shared" si="36"/>
        <v>22062</v>
      </c>
    </row>
    <row r="100" spans="1:18">
      <c r="B100" t="s">
        <v>303</v>
      </c>
      <c r="G100" s="253">
        <f t="shared" ref="G100:Q100" si="37">(_xlfn.XLOOKUP("Short-Term Debt",$B$30:$B$62,G$30:G$62)+_xlfn.XLOOKUP("Long-Term Debt",$B$30:$B$62,G$30:G$62))</f>
        <v>12567</v>
      </c>
      <c r="H100" s="253">
        <f t="shared" si="37"/>
        <v>20068</v>
      </c>
      <c r="I100" s="253">
        <f t="shared" si="37"/>
        <v>20665</v>
      </c>
      <c r="J100" s="253">
        <f t="shared" si="37"/>
        <v>25074</v>
      </c>
      <c r="K100" s="253">
        <f t="shared" si="37"/>
        <v>25598</v>
      </c>
      <c r="L100" s="253">
        <f t="shared" si="37"/>
        <v>25858</v>
      </c>
      <c r="M100" s="253">
        <f t="shared" si="37"/>
        <v>34424</v>
      </c>
      <c r="N100" s="253">
        <f t="shared" si="37"/>
        <v>33985</v>
      </c>
      <c r="O100" s="253">
        <f t="shared" si="37"/>
        <v>42037</v>
      </c>
      <c r="P100" s="253">
        <f t="shared" si="37"/>
        <v>47409</v>
      </c>
      <c r="Q100" s="253">
        <f t="shared" si="37"/>
        <v>46742</v>
      </c>
    </row>
    <row r="101" spans="1:18">
      <c r="B101" t="s">
        <v>593</v>
      </c>
      <c r="G101" s="235"/>
      <c r="H101" s="235"/>
      <c r="I101" s="235"/>
      <c r="J101" s="235"/>
      <c r="K101" s="235"/>
      <c r="L101" s="235"/>
      <c r="M101" s="235"/>
      <c r="N101" s="235"/>
      <c r="O101" s="235"/>
      <c r="P101" s="235"/>
      <c r="Q101" s="235"/>
    </row>
    <row r="102" spans="1:18">
      <c r="B102" t="s">
        <v>579</v>
      </c>
      <c r="G102" s="253">
        <f t="shared" ref="G102:Q102" si="38">_xlfn.XLOOKUP("Non-Controlling Interest",$B$30:$B$62,G$30:G$62)</f>
        <v>0</v>
      </c>
      <c r="H102" s="253">
        <f t="shared" si="38"/>
        <v>0</v>
      </c>
      <c r="I102" s="253">
        <f t="shared" si="38"/>
        <v>0</v>
      </c>
      <c r="J102" s="253">
        <f t="shared" si="38"/>
        <v>0</v>
      </c>
      <c r="K102" s="253">
        <f t="shared" si="38"/>
        <v>0</v>
      </c>
      <c r="L102" s="253">
        <f t="shared" si="38"/>
        <v>0</v>
      </c>
      <c r="M102" s="253">
        <f t="shared" si="38"/>
        <v>0</v>
      </c>
      <c r="N102" s="253">
        <f t="shared" si="38"/>
        <v>0</v>
      </c>
      <c r="O102" s="253">
        <f t="shared" si="38"/>
        <v>1863</v>
      </c>
      <c r="P102" s="253">
        <f t="shared" si="38"/>
        <v>4375</v>
      </c>
      <c r="Q102" s="253">
        <f t="shared" si="38"/>
        <v>5762</v>
      </c>
    </row>
    <row r="103" spans="1:18">
      <c r="B103" t="s">
        <v>524</v>
      </c>
      <c r="G103" s="236">
        <f t="shared" ref="G103:M103" ca="1" si="39">+G98-G99+G100+G101+G102</f>
        <v>176370.29</v>
      </c>
      <c r="H103" s="236">
        <f t="shared" ca="1" si="39"/>
        <v>158116.90000000002</v>
      </c>
      <c r="I103" s="236">
        <f t="shared" ca="1" si="39"/>
        <v>176967.8</v>
      </c>
      <c r="J103" s="236">
        <f t="shared" ca="1" si="39"/>
        <v>228070.15999999997</v>
      </c>
      <c r="K103" s="236">
        <f t="shared" ca="1" si="39"/>
        <v>230342.23</v>
      </c>
      <c r="L103" s="236">
        <f t="shared" ca="1" si="39"/>
        <v>277092.45</v>
      </c>
      <c r="M103" s="236">
        <f t="shared" ca="1" si="39"/>
        <v>219723.18</v>
      </c>
      <c r="N103" s="236">
        <f ca="1">+N98-N99+N100+N101+N102</f>
        <v>214610.5</v>
      </c>
      <c r="O103" s="236">
        <f t="shared" ref="O103:Q103" ca="1" si="40">+O98-O99+O100+O101+O102</f>
        <v>123232.68000000001</v>
      </c>
      <c r="P103" s="236">
        <f t="shared" ca="1" si="40"/>
        <v>237297.5</v>
      </c>
      <c r="Q103" s="236">
        <f t="shared" ca="1" si="40"/>
        <v>116256</v>
      </c>
    </row>
    <row r="104" spans="1:18" ht="5.25" customHeight="1"/>
    <row r="105" spans="1:18" ht="15.6">
      <c r="A105" t="s">
        <v>424</v>
      </c>
      <c r="B105" s="48" t="s">
        <v>90</v>
      </c>
      <c r="C105" s="52"/>
      <c r="D105" s="52"/>
      <c r="E105" s="52"/>
      <c r="F105" s="52"/>
      <c r="G105" s="237" t="s">
        <v>594</v>
      </c>
      <c r="H105" s="216">
        <v>2025</v>
      </c>
      <c r="I105" s="216">
        <f>+H105+1</f>
        <v>2026</v>
      </c>
      <c r="J105" s="216">
        <f t="shared" ref="J105:Q105" si="41">+I105+1</f>
        <v>2027</v>
      </c>
      <c r="K105" s="216">
        <f t="shared" si="41"/>
        <v>2028</v>
      </c>
      <c r="L105" s="216">
        <f t="shared" si="41"/>
        <v>2029</v>
      </c>
      <c r="M105" s="216">
        <f t="shared" si="41"/>
        <v>2030</v>
      </c>
      <c r="N105" s="216">
        <f t="shared" si="41"/>
        <v>2031</v>
      </c>
      <c r="O105" s="216">
        <f t="shared" si="41"/>
        <v>2032</v>
      </c>
      <c r="P105" s="216">
        <f t="shared" si="41"/>
        <v>2033</v>
      </c>
      <c r="Q105" s="734">
        <f t="shared" si="41"/>
        <v>2034</v>
      </c>
    </row>
    <row r="106" spans="1:18" ht="3.95" customHeight="1">
      <c r="B106" s="222"/>
      <c r="C106" s="222"/>
      <c r="D106" s="222"/>
      <c r="E106" s="222"/>
      <c r="F106" s="222"/>
      <c r="G106" s="223"/>
      <c r="H106" s="223"/>
      <c r="I106" s="223"/>
      <c r="J106" s="223"/>
      <c r="K106" s="223"/>
      <c r="L106" s="223" t="s">
        <v>595</v>
      </c>
      <c r="M106" s="223" t="s">
        <v>595</v>
      </c>
      <c r="N106" s="223" t="s">
        <v>595</v>
      </c>
      <c r="O106" s="223" t="s">
        <v>595</v>
      </c>
      <c r="P106" s="223" t="s">
        <v>595</v>
      </c>
      <c r="Q106" s="223" t="s">
        <v>595</v>
      </c>
    </row>
    <row r="107" spans="1:18">
      <c r="B107" t="s">
        <v>594</v>
      </c>
      <c r="G107" s="733"/>
      <c r="H107" s="235"/>
      <c r="I107" s="235"/>
      <c r="J107" s="235"/>
      <c r="K107" s="235"/>
      <c r="L107" s="235"/>
      <c r="M107" s="235"/>
      <c r="N107" s="235"/>
      <c r="O107" s="235"/>
      <c r="P107" s="235"/>
      <c r="Q107" s="235"/>
    </row>
    <row r="108" spans="1:18">
      <c r="B108" t="s">
        <v>596</v>
      </c>
      <c r="G108"/>
      <c r="H108" s="235">
        <f>DDIS!C3/1000000</f>
        <v>2250</v>
      </c>
      <c r="I108" s="235">
        <f>DDIS!C4/1000000000</f>
        <v>2.5</v>
      </c>
      <c r="J108" s="235">
        <f>DDIS!C5/1000000000</f>
        <v>3.25</v>
      </c>
      <c r="K108" s="235">
        <f>DDIS!C6/1000000000</f>
        <v>2.75</v>
      </c>
      <c r="L108" s="235">
        <f>DDIS!C7/1000000000</f>
        <v>2.85</v>
      </c>
      <c r="M108" s="235">
        <f>DDIS!B8/1000000000</f>
        <v>2.75</v>
      </c>
      <c r="N108" s="235">
        <f>DDIS!C9/100000</f>
        <v>17500</v>
      </c>
      <c r="O108" s="235">
        <f>DDIS!C10/100000</f>
        <v>20000</v>
      </c>
      <c r="P108" s="235">
        <f>DDIS!C11/100000</f>
        <v>22500</v>
      </c>
      <c r="Q108" s="235">
        <f>DDIS!C12/100000</f>
        <v>9000</v>
      </c>
    </row>
    <row r="109" spans="1:18">
      <c r="B109" t="s">
        <v>597</v>
      </c>
      <c r="G109"/>
      <c r="H109" s="235"/>
      <c r="I109" s="235"/>
      <c r="J109" s="235"/>
      <c r="K109" s="235"/>
      <c r="L109" s="235"/>
      <c r="M109" s="235"/>
      <c r="N109" s="235"/>
      <c r="O109" s="235"/>
      <c r="P109" s="235"/>
      <c r="Q109" s="235"/>
    </row>
    <row r="110" spans="1:18" ht="3.75" customHeight="1"/>
    <row r="111" spans="1:18" ht="15.6">
      <c r="A111" t="s">
        <v>424</v>
      </c>
      <c r="B111" s="48" t="s">
        <v>598</v>
      </c>
      <c r="C111" s="52"/>
      <c r="D111" s="52"/>
      <c r="E111" s="52"/>
      <c r="F111" s="52"/>
      <c r="G111" s="216">
        <v>2014</v>
      </c>
      <c r="H111" s="216">
        <f>+G111+1</f>
        <v>2015</v>
      </c>
      <c r="I111" s="216">
        <f t="shared" ref="I111" si="42">+H111+1</f>
        <v>2016</v>
      </c>
      <c r="J111" s="216">
        <f t="shared" ref="J111" si="43">+I111+1</f>
        <v>2017</v>
      </c>
      <c r="K111" s="216">
        <f t="shared" ref="K111" si="44">+J111+1</f>
        <v>2018</v>
      </c>
      <c r="L111" s="216">
        <f t="shared" ref="L111" si="45">+K111+1</f>
        <v>2019</v>
      </c>
      <c r="M111" s="216">
        <f t="shared" ref="M111" si="46">+L111+1</f>
        <v>2020</v>
      </c>
      <c r="N111" s="216">
        <f>+M111+1</f>
        <v>2021</v>
      </c>
      <c r="O111" s="216">
        <f>+N111+1</f>
        <v>2022</v>
      </c>
      <c r="P111" s="216">
        <f t="shared" ref="P111" si="47">+O111+1</f>
        <v>2023</v>
      </c>
      <c r="Q111" s="216">
        <f>+P111+1</f>
        <v>2024</v>
      </c>
      <c r="R111" s="54" t="str">
        <f>"CAGR "&amp;$G$4&amp;" - "&amp;$Q$4</f>
        <v>CAGR 2014 - 2024</v>
      </c>
    </row>
    <row r="112" spans="1:18" ht="5.25" customHeight="1">
      <c r="B112" s="222"/>
      <c r="C112" s="222"/>
      <c r="D112" s="222"/>
      <c r="E112" s="222"/>
      <c r="F112" s="222"/>
      <c r="G112" s="223"/>
      <c r="H112" s="223"/>
      <c r="I112" s="223"/>
      <c r="J112" s="223"/>
      <c r="K112" s="223"/>
      <c r="L112" s="223"/>
      <c r="M112" s="223"/>
      <c r="N112" s="223"/>
      <c r="O112" s="223"/>
      <c r="P112" s="223"/>
      <c r="Q112" s="223"/>
      <c r="R112" s="56"/>
    </row>
    <row r="113" spans="2:18">
      <c r="B113" t="s">
        <v>303</v>
      </c>
      <c r="G113" s="234">
        <f>IFERROR(SUM(G55+G50),"")</f>
        <v>12567</v>
      </c>
      <c r="H113" s="234">
        <f t="shared" ref="H113:Q113" si="48">IFERROR(SUM(H55+H50),"")</f>
        <v>20068</v>
      </c>
      <c r="I113" s="234">
        <f t="shared" si="48"/>
        <v>20665</v>
      </c>
      <c r="J113" s="234">
        <f t="shared" si="48"/>
        <v>25074</v>
      </c>
      <c r="K113" s="234">
        <f t="shared" si="48"/>
        <v>25598</v>
      </c>
      <c r="L113" s="234">
        <f t="shared" si="48"/>
        <v>25858</v>
      </c>
      <c r="M113" s="234">
        <f t="shared" si="48"/>
        <v>34424</v>
      </c>
      <c r="N113" s="234">
        <f t="shared" si="48"/>
        <v>33985</v>
      </c>
      <c r="O113" s="234">
        <f t="shared" si="48"/>
        <v>42037</v>
      </c>
      <c r="P113" s="234">
        <f t="shared" si="48"/>
        <v>47409</v>
      </c>
      <c r="Q113" s="234">
        <f t="shared" si="48"/>
        <v>46742</v>
      </c>
      <c r="R113" s="60">
        <f t="shared" ref="R113:R121" si="49">IFERROR((Q113/G113)^(1/COUNT($G$4:$Q$4))-1,"")</f>
        <v>0.12683784679937737</v>
      </c>
    </row>
    <row r="114" spans="2:18">
      <c r="B114" t="s">
        <v>491</v>
      </c>
      <c r="G114" s="234">
        <f>IFERROR(SUM(G51,G56),"")</f>
        <v>12567</v>
      </c>
      <c r="H114" s="234">
        <f t="shared" ref="H114:Q114" si="50">IFERROR(SUM(H51,H56),"")</f>
        <v>20068</v>
      </c>
      <c r="I114" s="234">
        <f t="shared" si="50"/>
        <v>20665</v>
      </c>
      <c r="J114" s="234">
        <f t="shared" si="50"/>
        <v>25074</v>
      </c>
      <c r="K114" s="234">
        <f t="shared" si="50"/>
        <v>25598</v>
      </c>
      <c r="L114" s="234">
        <f t="shared" si="50"/>
        <v>25308</v>
      </c>
      <c r="M114" s="234">
        <f t="shared" si="50"/>
        <v>33897</v>
      </c>
      <c r="N114" s="234">
        <f t="shared" si="50"/>
        <v>33510</v>
      </c>
      <c r="O114" s="234">
        <f t="shared" si="50"/>
        <v>41628</v>
      </c>
      <c r="P114" s="234">
        <f t="shared" si="50"/>
        <v>46978</v>
      </c>
      <c r="Q114" s="234">
        <f t="shared" si="50"/>
        <v>46282</v>
      </c>
      <c r="R114" s="60">
        <f t="shared" si="49"/>
        <v>0.12582517229382884</v>
      </c>
    </row>
    <row r="115" spans="2:18">
      <c r="B115" t="s">
        <v>493</v>
      </c>
      <c r="G115" s="234">
        <f>IFERROR(SUM(G52,G57),"")</f>
        <v>0</v>
      </c>
      <c r="H115" s="234">
        <f t="shared" ref="H115:Q115" si="51">IFERROR(SUM(H52,H57),"")</f>
        <v>0</v>
      </c>
      <c r="I115" s="234">
        <f t="shared" si="51"/>
        <v>0</v>
      </c>
      <c r="J115" s="234">
        <f t="shared" si="51"/>
        <v>0</v>
      </c>
      <c r="K115" s="234">
        <f t="shared" si="51"/>
        <v>0</v>
      </c>
      <c r="L115" s="234">
        <f t="shared" si="51"/>
        <v>550</v>
      </c>
      <c r="M115" s="234">
        <f t="shared" si="51"/>
        <v>527</v>
      </c>
      <c r="N115" s="234">
        <f t="shared" si="51"/>
        <v>475</v>
      </c>
      <c r="O115" s="234">
        <f t="shared" si="51"/>
        <v>409</v>
      </c>
      <c r="P115" s="234">
        <f t="shared" si="51"/>
        <v>431</v>
      </c>
      <c r="Q115" s="234">
        <f t="shared" si="51"/>
        <v>460</v>
      </c>
      <c r="R115" s="60" t="str">
        <f t="shared" si="49"/>
        <v/>
      </c>
    </row>
    <row r="116" spans="2:18">
      <c r="B116" t="s">
        <v>599</v>
      </c>
      <c r="G116" s="234">
        <f t="shared" ref="G116:Q116" si="52">+G113-G32</f>
        <v>-1487</v>
      </c>
      <c r="H116" s="234">
        <f t="shared" si="52"/>
        <v>-5245</v>
      </c>
      <c r="I116" s="234">
        <f t="shared" si="52"/>
        <v>3566</v>
      </c>
      <c r="J116" s="234">
        <f t="shared" si="52"/>
        <v>11072</v>
      </c>
      <c r="K116" s="234">
        <f t="shared" si="52"/>
        <v>13948</v>
      </c>
      <c r="L116" s="234">
        <f t="shared" si="52"/>
        <v>12735</v>
      </c>
      <c r="M116" s="234">
        <f t="shared" si="52"/>
        <v>10529</v>
      </c>
      <c r="N116" s="234">
        <f t="shared" si="52"/>
        <v>5572</v>
      </c>
      <c r="O116" s="234">
        <f t="shared" si="52"/>
        <v>13699</v>
      </c>
      <c r="P116" s="234">
        <f t="shared" si="52"/>
        <v>22375</v>
      </c>
      <c r="Q116" s="234">
        <f t="shared" si="52"/>
        <v>24680</v>
      </c>
      <c r="R116" s="60">
        <f t="shared" si="49"/>
        <v>-2.290958254552681</v>
      </c>
    </row>
    <row r="117" spans="2:18">
      <c r="B117" t="s">
        <v>600</v>
      </c>
      <c r="G117" s="248">
        <f>IFERROR(G23/G22,"")</f>
        <v>0.24716457528957528</v>
      </c>
      <c r="H117" s="248">
        <f t="shared" ref="H117:Q117" si="53">IFERROR(H23/H22,"")</f>
        <v>0.19445605237498259</v>
      </c>
      <c r="I117" s="248">
        <f t="shared" si="53"/>
        <v>0.19029633933759443</v>
      </c>
      <c r="J117" s="248">
        <f t="shared" si="53"/>
        <v>0.603615743080119</v>
      </c>
      <c r="K117" s="248">
        <f t="shared" si="53"/>
        <v>9.8968351110333974E-2</v>
      </c>
      <c r="L117" s="248">
        <f t="shared" si="53"/>
        <v>0.12895762820787454</v>
      </c>
      <c r="M117" s="248">
        <f t="shared" si="53"/>
        <v>0.18627145085803432</v>
      </c>
      <c r="N117" s="248">
        <f t="shared" si="53"/>
        <v>9.0715839430492384E-2</v>
      </c>
      <c r="O117" s="248">
        <f t="shared" si="53"/>
        <v>-9.7494126859827723E-2</v>
      </c>
      <c r="P117" s="248">
        <f t="shared" si="53"/>
        <v>-0.92784552845528456</v>
      </c>
      <c r="Q117" s="248">
        <f t="shared" si="53"/>
        <v>-1.6165625629659479</v>
      </c>
      <c r="R117" s="60">
        <f t="shared" si="49"/>
        <v>-2.186167516145479</v>
      </c>
    </row>
    <row r="118" spans="2:18">
      <c r="B118" t="s">
        <v>441</v>
      </c>
      <c r="G118" s="253">
        <f>IFERROR(G16*(1-G117),"")</f>
        <v>11775.851713320464</v>
      </c>
      <c r="H118" s="253">
        <f t="shared" ref="H118:Q118" si="54">IFERROR(H16*(1-H117),"")</f>
        <v>11574.055439476251</v>
      </c>
      <c r="I118" s="253">
        <f t="shared" si="54"/>
        <v>12126.931725740847</v>
      </c>
      <c r="J118" s="253">
        <f t="shared" si="54"/>
        <v>7198.3381056650387</v>
      </c>
      <c r="K118" s="253">
        <f t="shared" si="54"/>
        <v>20943.579646791397</v>
      </c>
      <c r="L118" s="253">
        <f t="shared" si="54"/>
        <v>20058.363737629064</v>
      </c>
      <c r="M118" s="253">
        <f t="shared" si="54"/>
        <v>18666.119188767552</v>
      </c>
      <c r="N118" s="253">
        <f t="shared" si="54"/>
        <v>18834.002817876211</v>
      </c>
      <c r="O118" s="253">
        <f t="shared" si="54"/>
        <v>1507.9569303054034</v>
      </c>
      <c r="P118" s="253">
        <f t="shared" si="54"/>
        <v>-235.19715447154471</v>
      </c>
      <c r="Q118" s="253">
        <f t="shared" si="54"/>
        <v>-14192.235341527301</v>
      </c>
      <c r="R118" s="60">
        <f t="shared" si="49"/>
        <v>-2.0171124078956391</v>
      </c>
    </row>
    <row r="119" spans="2:18">
      <c r="B119" t="s">
        <v>477</v>
      </c>
      <c r="G119" s="490">
        <f>IFERROR(G35/G6*365,"")</f>
        <v>28.921693216395205</v>
      </c>
      <c r="H119" s="490">
        <f t="shared" ref="H119:Q119" si="55">IFERROR(H35/H6*365,"")</f>
        <v>31.564537982115436</v>
      </c>
      <c r="I119" s="490">
        <f t="shared" si="55"/>
        <v>28.825332143398384</v>
      </c>
      <c r="J119" s="490">
        <f t="shared" si="55"/>
        <v>32.608706043562087</v>
      </c>
      <c r="K119" s="490">
        <f t="shared" si="55"/>
        <v>34.630899954832877</v>
      </c>
      <c r="L119" s="490">
        <f t="shared" si="55"/>
        <v>41.167717138397194</v>
      </c>
      <c r="M119" s="490">
        <f t="shared" si="55"/>
        <v>33.956515775034291</v>
      </c>
      <c r="N119" s="490">
        <f t="shared" si="55"/>
        <v>46.197770282930485</v>
      </c>
      <c r="O119" s="490">
        <f t="shared" si="55"/>
        <v>23.924651885685286</v>
      </c>
      <c r="P119" s="490">
        <f t="shared" si="55"/>
        <v>22.898318211993807</v>
      </c>
      <c r="Q119" s="490">
        <f t="shared" si="55"/>
        <v>23.906706088397584</v>
      </c>
      <c r="R119" s="60">
        <f t="shared" si="49"/>
        <v>-1.7163091872190339E-2</v>
      </c>
    </row>
    <row r="120" spans="2:18">
      <c r="B120" t="s">
        <v>479</v>
      </c>
      <c r="G120" s="490">
        <f>IFERROR(G36/G7*365,"")</f>
        <v>76.977691130743793</v>
      </c>
      <c r="H120" s="490">
        <f t="shared" ref="H120:Q120" si="56">IFERROR(H36/H7*365,"")</f>
        <v>91.214693364287086</v>
      </c>
      <c r="I120" s="490">
        <f t="shared" si="56"/>
        <v>87.537574501166105</v>
      </c>
      <c r="J120" s="490">
        <f t="shared" si="56"/>
        <v>107.71225119384694</v>
      </c>
      <c r="K120" s="490">
        <f t="shared" si="56"/>
        <v>97.648371509719297</v>
      </c>
      <c r="L120" s="490">
        <f t="shared" si="56"/>
        <v>107.00955574182731</v>
      </c>
      <c r="M120" s="490">
        <f t="shared" si="56"/>
        <v>99.826528625210955</v>
      </c>
      <c r="N120" s="490">
        <f t="shared" si="56"/>
        <v>119.55863578333029</v>
      </c>
      <c r="O120" s="490">
        <f t="shared" si="56"/>
        <v>133.38012600862163</v>
      </c>
      <c r="P120" s="490">
        <f t="shared" si="56"/>
        <v>124.89943721745549</v>
      </c>
      <c r="Q120" s="490">
        <f t="shared" si="56"/>
        <v>124.51812283253162</v>
      </c>
      <c r="R120" s="60">
        <f t="shared" si="49"/>
        <v>4.4691283862669406E-2</v>
      </c>
    </row>
    <row r="121" spans="2:18">
      <c r="B121" t="s">
        <v>488</v>
      </c>
      <c r="G121" s="490">
        <f>IFERROR(G49/G6*365,"")</f>
        <v>17.952747449436192</v>
      </c>
      <c r="H121" s="490">
        <f t="shared" ref="H121:Q121" si="57">IFERROR(H49/H6*365,"")</f>
        <v>13.603016890976425</v>
      </c>
      <c r="I121" s="490">
        <f t="shared" si="57"/>
        <v>15.211662485055653</v>
      </c>
      <c r="J121" s="490">
        <f t="shared" si="57"/>
        <v>17.028409362502192</v>
      </c>
      <c r="K121" s="490">
        <f t="shared" si="57"/>
        <v>19.700767841011743</v>
      </c>
      <c r="L121" s="490">
        <f t="shared" si="57"/>
        <v>22.188319147056223</v>
      </c>
      <c r="M121" s="490">
        <f t="shared" si="57"/>
        <v>27.943278463648834</v>
      </c>
      <c r="N121" s="490">
        <f t="shared" si="57"/>
        <v>28.074292673786772</v>
      </c>
      <c r="O121" s="490">
        <f t="shared" si="57"/>
        <v>55.542471532337359</v>
      </c>
      <c r="P121" s="490">
        <f t="shared" si="57"/>
        <v>57.737146861400021</v>
      </c>
      <c r="Q121" s="490">
        <f t="shared" si="57"/>
        <v>86.306095930396793</v>
      </c>
      <c r="R121" s="60">
        <f t="shared" si="49"/>
        <v>0.15343166057641722</v>
      </c>
    </row>
    <row r="124" spans="2:18">
      <c r="O124"/>
    </row>
    <row r="125" spans="2:18">
      <c r="C125" s="588"/>
    </row>
    <row r="126" spans="2:18">
      <c r="C126" s="588"/>
    </row>
    <row r="127" spans="2:18">
      <c r="C127" s="588"/>
    </row>
    <row r="128" spans="2:18">
      <c r="C128" s="588"/>
    </row>
    <row r="129" spans="3:3">
      <c r="C129" s="588"/>
    </row>
    <row r="130" spans="3:3">
      <c r="C130" s="588"/>
    </row>
    <row r="131" spans="3:3">
      <c r="C131" s="588"/>
    </row>
    <row r="132" spans="3:3">
      <c r="C132" s="588"/>
    </row>
    <row r="133" spans="3:3">
      <c r="C133" s="588"/>
    </row>
    <row r="134" spans="3:3">
      <c r="C134" s="588"/>
    </row>
    <row r="135" spans="3:3">
      <c r="C135" s="588"/>
    </row>
    <row r="136" spans="3:3">
      <c r="C136" s="588"/>
    </row>
    <row r="137" spans="3:3">
      <c r="C137" s="588"/>
    </row>
    <row r="138" spans="3:3">
      <c r="C138" s="588"/>
    </row>
    <row r="139" spans="3:3">
      <c r="C139" s="588"/>
    </row>
    <row r="140" spans="3:3">
      <c r="C140" s="588"/>
    </row>
    <row r="141" spans="3:3">
      <c r="C141" s="588"/>
    </row>
    <row r="142" spans="3:3">
      <c r="C142" s="588"/>
    </row>
    <row r="143" spans="3:3">
      <c r="C143" s="588"/>
    </row>
    <row r="144" spans="3:3">
      <c r="C144" s="588"/>
    </row>
    <row r="145" spans="3:3">
      <c r="C145" s="588"/>
    </row>
    <row r="146" spans="3:3">
      <c r="C146" s="588"/>
    </row>
    <row r="147" spans="3:3">
      <c r="C147" s="588"/>
    </row>
    <row r="148" spans="3:3">
      <c r="C148" s="588"/>
    </row>
    <row r="149" spans="3:3">
      <c r="C149" s="588"/>
    </row>
    <row r="150" spans="3:3">
      <c r="C150" s="588"/>
    </row>
    <row r="151" spans="3:3">
      <c r="C151" s="588"/>
    </row>
    <row r="152" spans="3:3">
      <c r="C152" s="588"/>
    </row>
    <row r="153" spans="3:3">
      <c r="C153" s="588"/>
    </row>
    <row r="154" spans="3:3">
      <c r="C154" s="588"/>
    </row>
    <row r="155" spans="3:3">
      <c r="C155" s="588"/>
    </row>
    <row r="156" spans="3:3">
      <c r="C156" s="588"/>
    </row>
    <row r="157" spans="3:3">
      <c r="C157" s="588"/>
    </row>
    <row r="158" spans="3:3">
      <c r="C158" s="588"/>
    </row>
    <row r="159" spans="3:3">
      <c r="C159" s="588"/>
    </row>
    <row r="160" spans="3:3">
      <c r="C160" s="588"/>
    </row>
    <row r="161" spans="3:3">
      <c r="C161" s="588"/>
    </row>
    <row r="162" spans="3:3">
      <c r="C162" s="588"/>
    </row>
    <row r="163" spans="3:3">
      <c r="C163" s="588"/>
    </row>
    <row r="164" spans="3:3">
      <c r="C164" s="588"/>
    </row>
    <row r="165" spans="3:3">
      <c r="C165" s="588"/>
    </row>
    <row r="166" spans="3:3">
      <c r="C166" s="588"/>
    </row>
    <row r="167" spans="3:3">
      <c r="C167" s="588"/>
    </row>
    <row r="168" spans="3:3">
      <c r="C168" s="588"/>
    </row>
    <row r="169" spans="3:3">
      <c r="C169" s="588"/>
    </row>
    <row r="170" spans="3:3">
      <c r="C170" s="588"/>
    </row>
    <row r="171" spans="3:3">
      <c r="C171" s="588"/>
    </row>
    <row r="172" spans="3:3">
      <c r="C172" s="588"/>
    </row>
    <row r="173" spans="3:3">
      <c r="C173" s="588"/>
    </row>
    <row r="174" spans="3:3">
      <c r="C174" s="588"/>
    </row>
    <row r="175" spans="3:3">
      <c r="C175" s="588"/>
    </row>
    <row r="176" spans="3:3">
      <c r="C176" s="588"/>
    </row>
    <row r="177" spans="3:3">
      <c r="C177" s="588"/>
    </row>
    <row r="178" spans="3:3">
      <c r="C178" s="588"/>
    </row>
    <row r="179" spans="3:3">
      <c r="C179" s="588"/>
    </row>
    <row r="180" spans="3:3">
      <c r="C180" s="588"/>
    </row>
    <row r="181" spans="3:3">
      <c r="C181" s="588"/>
    </row>
    <row r="182" spans="3:3">
      <c r="C182" s="588"/>
    </row>
    <row r="183" spans="3:3">
      <c r="C183" s="588"/>
    </row>
    <row r="184" spans="3:3">
      <c r="C184" s="588"/>
    </row>
    <row r="185" spans="3:3">
      <c r="C185" s="588"/>
    </row>
    <row r="186" spans="3:3">
      <c r="C186" s="588"/>
    </row>
    <row r="187" spans="3:3">
      <c r="C187" s="588"/>
    </row>
    <row r="188" spans="3:3">
      <c r="C188" s="588"/>
    </row>
    <row r="189" spans="3:3">
      <c r="C189" s="588"/>
    </row>
    <row r="190" spans="3:3">
      <c r="C190" s="588"/>
    </row>
    <row r="191" spans="3:3">
      <c r="C191" s="588"/>
    </row>
    <row r="192" spans="3:3">
      <c r="C192" s="588"/>
    </row>
    <row r="193" spans="3:3">
      <c r="C193" s="588"/>
    </row>
    <row r="194" spans="3:3">
      <c r="C194" s="588"/>
    </row>
    <row r="195" spans="3:3">
      <c r="C195" s="588"/>
    </row>
    <row r="196" spans="3:3">
      <c r="C196" s="588"/>
    </row>
    <row r="197" spans="3:3">
      <c r="C197" s="588"/>
    </row>
    <row r="198" spans="3:3">
      <c r="C198" s="588"/>
    </row>
    <row r="199" spans="3:3">
      <c r="C199" s="588"/>
    </row>
    <row r="200" spans="3:3">
      <c r="C200" s="588"/>
    </row>
    <row r="201" spans="3:3">
      <c r="C201" s="588"/>
    </row>
    <row r="202" spans="3:3">
      <c r="C202" s="588"/>
    </row>
    <row r="203" spans="3:3">
      <c r="C203" s="588"/>
    </row>
    <row r="204" spans="3:3">
      <c r="C204" s="588"/>
    </row>
    <row r="205" spans="3:3">
      <c r="C205" s="588"/>
    </row>
    <row r="206" spans="3:3">
      <c r="C206" s="588"/>
    </row>
    <row r="207" spans="3:3">
      <c r="C207" s="588"/>
    </row>
    <row r="208" spans="3:3">
      <c r="C208" s="588"/>
    </row>
    <row r="209" spans="3:3">
      <c r="C209" s="588"/>
    </row>
    <row r="210" spans="3:3">
      <c r="C210" s="588"/>
    </row>
    <row r="211" spans="3:3">
      <c r="C211" s="588"/>
    </row>
    <row r="212" spans="3:3">
      <c r="C212" s="588"/>
    </row>
    <row r="213" spans="3:3">
      <c r="C213" s="588"/>
    </row>
    <row r="214" spans="3:3">
      <c r="C214" s="588"/>
    </row>
    <row r="215" spans="3:3">
      <c r="C215" s="588"/>
    </row>
    <row r="216" spans="3:3">
      <c r="C216" s="588"/>
    </row>
    <row r="217" spans="3:3">
      <c r="C217" s="588"/>
    </row>
    <row r="218" spans="3:3">
      <c r="C218" s="588"/>
    </row>
    <row r="219" spans="3:3">
      <c r="C219" s="588"/>
    </row>
    <row r="220" spans="3:3">
      <c r="C220" s="588"/>
    </row>
    <row r="221" spans="3:3">
      <c r="C221" s="588"/>
    </row>
    <row r="222" spans="3:3">
      <c r="C222" s="588"/>
    </row>
    <row r="223" spans="3:3">
      <c r="C223" s="588"/>
    </row>
    <row r="224" spans="3:3">
      <c r="C224" s="588"/>
    </row>
    <row r="225" spans="3:3">
      <c r="C225" s="588"/>
    </row>
    <row r="226" spans="3:3">
      <c r="C226" s="588"/>
    </row>
    <row r="227" spans="3:3">
      <c r="C227" s="588"/>
    </row>
    <row r="228" spans="3:3">
      <c r="C228" s="588"/>
    </row>
    <row r="229" spans="3:3">
      <c r="C229" s="588"/>
    </row>
    <row r="230" spans="3:3">
      <c r="C230" s="588"/>
    </row>
    <row r="231" spans="3:3">
      <c r="C231" s="588"/>
    </row>
    <row r="232" spans="3:3">
      <c r="C232" s="588"/>
    </row>
    <row r="233" spans="3:3">
      <c r="C233" s="588"/>
    </row>
    <row r="234" spans="3:3">
      <c r="C234" s="588"/>
    </row>
    <row r="235" spans="3:3">
      <c r="C235" s="588"/>
    </row>
    <row r="236" spans="3:3">
      <c r="C236" s="588"/>
    </row>
    <row r="237" spans="3:3">
      <c r="C237" s="588"/>
    </row>
    <row r="238" spans="3:3">
      <c r="C238" s="588"/>
    </row>
    <row r="239" spans="3:3">
      <c r="C239" s="588"/>
    </row>
    <row r="240" spans="3:3">
      <c r="C240" s="588"/>
    </row>
    <row r="241" spans="3:3">
      <c r="C241" s="588"/>
    </row>
    <row r="242" spans="3:3">
      <c r="C242" s="588"/>
    </row>
    <row r="243" spans="3:3">
      <c r="C243" s="588"/>
    </row>
    <row r="244" spans="3:3">
      <c r="C244" s="588"/>
    </row>
    <row r="245" spans="3:3">
      <c r="C245" s="588"/>
    </row>
    <row r="246" spans="3:3">
      <c r="C246" s="588"/>
    </row>
    <row r="247" spans="3:3">
      <c r="C247" s="588"/>
    </row>
    <row r="248" spans="3:3">
      <c r="C248" s="588"/>
    </row>
    <row r="249" spans="3:3">
      <c r="C249" s="588"/>
    </row>
    <row r="250" spans="3:3">
      <c r="C250" s="588"/>
    </row>
    <row r="251" spans="3:3">
      <c r="C251" s="588"/>
    </row>
    <row r="252" spans="3:3">
      <c r="C252" s="588"/>
    </row>
    <row r="253" spans="3:3">
      <c r="C253" s="588"/>
    </row>
    <row r="254" spans="3:3">
      <c r="C254" s="588"/>
    </row>
    <row r="255" spans="3:3">
      <c r="C255" s="588"/>
    </row>
    <row r="256" spans="3:3">
      <c r="C256" s="588"/>
    </row>
    <row r="257" spans="3:3">
      <c r="C257" s="588"/>
    </row>
    <row r="258" spans="3:3">
      <c r="C258" s="588"/>
    </row>
    <row r="259" spans="3:3">
      <c r="C259" s="588"/>
    </row>
    <row r="260" spans="3:3">
      <c r="C260" s="588"/>
    </row>
    <row r="261" spans="3:3">
      <c r="C261" s="588"/>
    </row>
    <row r="262" spans="3:3">
      <c r="C262" s="588"/>
    </row>
    <row r="263" spans="3:3">
      <c r="C263" s="588"/>
    </row>
    <row r="264" spans="3:3">
      <c r="C264" s="588"/>
    </row>
    <row r="265" spans="3:3">
      <c r="C265" s="588"/>
    </row>
    <row r="266" spans="3:3">
      <c r="C266" s="588"/>
    </row>
    <row r="267" spans="3:3">
      <c r="C267" s="588"/>
    </row>
    <row r="268" spans="3:3">
      <c r="C268" s="588"/>
    </row>
    <row r="269" spans="3:3">
      <c r="C269" s="588"/>
    </row>
    <row r="270" spans="3:3">
      <c r="C270" s="588"/>
    </row>
    <row r="271" spans="3:3">
      <c r="C271" s="588"/>
    </row>
    <row r="272" spans="3:3">
      <c r="C272" s="588"/>
    </row>
    <row r="273" spans="3:3">
      <c r="C273" s="588"/>
    </row>
    <row r="274" spans="3:3">
      <c r="C274" s="588"/>
    </row>
    <row r="275" spans="3:3">
      <c r="C275" s="588"/>
    </row>
    <row r="276" spans="3:3">
      <c r="C276" s="588"/>
    </row>
    <row r="277" spans="3:3">
      <c r="C277" s="588"/>
    </row>
    <row r="278" spans="3:3">
      <c r="C278" s="588"/>
    </row>
    <row r="279" spans="3:3">
      <c r="C279" s="588"/>
    </row>
    <row r="280" spans="3:3">
      <c r="C280" s="588"/>
    </row>
    <row r="281" spans="3:3">
      <c r="C281" s="588"/>
    </row>
    <row r="282" spans="3:3">
      <c r="C282" s="588"/>
    </row>
    <row r="283" spans="3:3">
      <c r="C283" s="588"/>
    </row>
    <row r="284" spans="3:3">
      <c r="C284" s="588"/>
    </row>
    <row r="285" spans="3:3">
      <c r="C285" s="588"/>
    </row>
    <row r="286" spans="3:3">
      <c r="C286" s="588"/>
    </row>
    <row r="287" spans="3:3">
      <c r="C287" s="588"/>
    </row>
    <row r="288" spans="3:3">
      <c r="C288" s="588"/>
    </row>
    <row r="289" spans="3:3">
      <c r="C289" s="588"/>
    </row>
    <row r="290" spans="3:3">
      <c r="C290" s="588"/>
    </row>
    <row r="291" spans="3:3">
      <c r="C291" s="588"/>
    </row>
    <row r="292" spans="3:3">
      <c r="C292" s="588"/>
    </row>
    <row r="293" spans="3:3">
      <c r="C293" s="588"/>
    </row>
    <row r="294" spans="3:3">
      <c r="C294" s="588"/>
    </row>
    <row r="295" spans="3:3">
      <c r="C295" s="588"/>
    </row>
    <row r="296" spans="3:3">
      <c r="C296" s="588"/>
    </row>
    <row r="297" spans="3:3">
      <c r="C297" s="588"/>
    </row>
    <row r="298" spans="3:3">
      <c r="C298" s="588"/>
    </row>
    <row r="299" spans="3:3">
      <c r="C299" s="588"/>
    </row>
    <row r="300" spans="3:3">
      <c r="C300" s="588"/>
    </row>
    <row r="301" spans="3:3">
      <c r="C301" s="588"/>
    </row>
    <row r="302" spans="3:3">
      <c r="C302" s="588"/>
    </row>
    <row r="303" spans="3:3">
      <c r="C303" s="588"/>
    </row>
    <row r="304" spans="3:3">
      <c r="C304" s="588"/>
    </row>
    <row r="305" spans="3:3">
      <c r="C305" s="588"/>
    </row>
    <row r="306" spans="3:3">
      <c r="C306" s="588"/>
    </row>
    <row r="307" spans="3:3">
      <c r="C307" s="588"/>
    </row>
    <row r="308" spans="3:3">
      <c r="C308" s="588"/>
    </row>
    <row r="309" spans="3:3">
      <c r="C309" s="588"/>
    </row>
    <row r="310" spans="3:3">
      <c r="C310" s="588"/>
    </row>
    <row r="311" spans="3:3">
      <c r="C311" s="588"/>
    </row>
    <row r="312" spans="3:3">
      <c r="C312" s="588"/>
    </row>
    <row r="313" spans="3:3">
      <c r="C313" s="588"/>
    </row>
    <row r="314" spans="3:3">
      <c r="C314" s="588"/>
    </row>
    <row r="315" spans="3:3">
      <c r="C315" s="588"/>
    </row>
    <row r="316" spans="3:3">
      <c r="C316" s="588"/>
    </row>
    <row r="317" spans="3:3">
      <c r="C317" s="588"/>
    </row>
    <row r="318" spans="3:3">
      <c r="C318" s="588"/>
    </row>
    <row r="319" spans="3:3">
      <c r="C319" s="588"/>
    </row>
    <row r="320" spans="3:3">
      <c r="C320" s="588"/>
    </row>
    <row r="321" spans="3:3">
      <c r="C321" s="588"/>
    </row>
    <row r="322" spans="3:3">
      <c r="C322" s="588"/>
    </row>
    <row r="323" spans="3:3">
      <c r="C323" s="588"/>
    </row>
    <row r="324" spans="3:3">
      <c r="C324" s="588"/>
    </row>
    <row r="325" spans="3:3">
      <c r="C325" s="588"/>
    </row>
    <row r="326" spans="3:3">
      <c r="C326" s="588"/>
    </row>
    <row r="327" spans="3:3">
      <c r="C327" s="588"/>
    </row>
    <row r="328" spans="3:3">
      <c r="C328" s="588"/>
    </row>
    <row r="329" spans="3:3">
      <c r="C329" s="588"/>
    </row>
    <row r="330" spans="3:3">
      <c r="C330" s="588"/>
    </row>
    <row r="331" spans="3:3">
      <c r="C331" s="588"/>
    </row>
    <row r="332" spans="3:3">
      <c r="C332" s="588"/>
    </row>
    <row r="333" spans="3:3">
      <c r="C333" s="588"/>
    </row>
    <row r="334" spans="3:3">
      <c r="C334" s="588"/>
    </row>
    <row r="335" spans="3:3">
      <c r="C335" s="588"/>
    </row>
    <row r="336" spans="3:3">
      <c r="C336" s="588"/>
    </row>
    <row r="337" spans="3:3">
      <c r="C337" s="588"/>
    </row>
    <row r="338" spans="3:3">
      <c r="C338" s="588"/>
    </row>
    <row r="339" spans="3:3">
      <c r="C339" s="588"/>
    </row>
    <row r="340" spans="3:3">
      <c r="C340" s="588"/>
    </row>
    <row r="341" spans="3:3">
      <c r="C341" s="588"/>
    </row>
    <row r="342" spans="3:3">
      <c r="C342" s="588"/>
    </row>
    <row r="343" spans="3:3">
      <c r="C343" s="588"/>
    </row>
    <row r="344" spans="3:3">
      <c r="C344" s="588"/>
    </row>
    <row r="345" spans="3:3">
      <c r="C345" s="588"/>
    </row>
    <row r="346" spans="3:3">
      <c r="C346" s="588"/>
    </row>
    <row r="347" spans="3:3">
      <c r="C347" s="588"/>
    </row>
    <row r="348" spans="3:3">
      <c r="C348" s="588"/>
    </row>
    <row r="349" spans="3:3">
      <c r="C349" s="588"/>
    </row>
    <row r="350" spans="3:3">
      <c r="C350" s="588"/>
    </row>
    <row r="351" spans="3:3">
      <c r="C351" s="588"/>
    </row>
    <row r="352" spans="3:3">
      <c r="C352" s="588"/>
    </row>
    <row r="353" spans="3:3">
      <c r="C353" s="588"/>
    </row>
    <row r="354" spans="3:3">
      <c r="C354" s="588"/>
    </row>
    <row r="355" spans="3:3">
      <c r="C355" s="588"/>
    </row>
    <row r="356" spans="3:3">
      <c r="C356" s="588"/>
    </row>
    <row r="357" spans="3:3">
      <c r="C357" s="588"/>
    </row>
    <row r="358" spans="3:3">
      <c r="C358" s="588"/>
    </row>
    <row r="359" spans="3:3">
      <c r="C359" s="588"/>
    </row>
    <row r="360" spans="3:3">
      <c r="C360" s="588"/>
    </row>
    <row r="361" spans="3:3">
      <c r="C361" s="588"/>
    </row>
    <row r="362" spans="3:3">
      <c r="C362" s="588"/>
    </row>
    <row r="363" spans="3:3">
      <c r="C363" s="588"/>
    </row>
    <row r="364" spans="3:3">
      <c r="C364" s="588"/>
    </row>
    <row r="365" spans="3:3">
      <c r="C365" s="588"/>
    </row>
    <row r="366" spans="3:3">
      <c r="C366" s="588"/>
    </row>
    <row r="367" spans="3:3">
      <c r="C367" s="588"/>
    </row>
    <row r="368" spans="3:3">
      <c r="C368" s="588"/>
    </row>
    <row r="369" spans="3:3">
      <c r="C369" s="588"/>
    </row>
    <row r="370" spans="3:3">
      <c r="C370" s="588"/>
    </row>
    <row r="371" spans="3:3">
      <c r="C371" s="588"/>
    </row>
    <row r="372" spans="3:3">
      <c r="C372" s="588"/>
    </row>
    <row r="373" spans="3:3">
      <c r="C373" s="588"/>
    </row>
    <row r="374" spans="3:3">
      <c r="C374" s="588"/>
    </row>
    <row r="375" spans="3:3">
      <c r="C375" s="588"/>
    </row>
    <row r="376" spans="3:3">
      <c r="C376" s="588"/>
    </row>
    <row r="377" spans="3:3">
      <c r="C377" s="588"/>
    </row>
    <row r="378" spans="3:3">
      <c r="C378" s="588"/>
    </row>
    <row r="379" spans="3:3">
      <c r="C379" s="588"/>
    </row>
    <row r="380" spans="3:3">
      <c r="C380" s="588"/>
    </row>
    <row r="381" spans="3:3">
      <c r="C381" s="588"/>
    </row>
    <row r="382" spans="3:3">
      <c r="C382" s="588"/>
    </row>
    <row r="383" spans="3:3">
      <c r="C383" s="588"/>
    </row>
    <row r="384" spans="3:3">
      <c r="C384" s="588"/>
    </row>
    <row r="385" spans="3:3">
      <c r="C385" s="588"/>
    </row>
    <row r="386" spans="3:3">
      <c r="C386" s="588"/>
    </row>
    <row r="387" spans="3:3">
      <c r="C387" s="588"/>
    </row>
    <row r="388" spans="3:3">
      <c r="C388" s="588"/>
    </row>
    <row r="389" spans="3:3">
      <c r="C389" s="588"/>
    </row>
    <row r="390" spans="3:3">
      <c r="C390" s="588"/>
    </row>
    <row r="391" spans="3:3">
      <c r="C391" s="588"/>
    </row>
    <row r="392" spans="3:3">
      <c r="C392" s="588"/>
    </row>
    <row r="393" spans="3:3">
      <c r="C393" s="588"/>
    </row>
    <row r="394" spans="3:3">
      <c r="C394" s="588"/>
    </row>
    <row r="395" spans="3:3">
      <c r="C395" s="588"/>
    </row>
  </sheetData>
  <pageMargins left="0.7" right="0.7" top="0.75" bottom="0.75" header="0.3" footer="0.3"/>
  <pageSetup paperSize="9" orientation="portrait" r:id="rId1"/>
  <legacyDrawing r:id="rId2"/>
  <extLst>
    <ext xmlns:x14="http://schemas.microsoft.com/office/spreadsheetml/2009/9/main" uri="{05C60535-1F16-4fd2-B633-F4F36F0B64E0}">
      <x14:sparklineGroups xmlns:xm="http://schemas.microsoft.com/office/excel/2006/main">
        <x14:sparklineGroup displayEmptyCellsAs="gap" xr2:uid="{00000000-0003-0000-0800-000003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800-000004000000}">
          <x14:colorSeries rgb="FF7B1314"/>
          <x14:colorNegative rgb="FFD00000"/>
          <x14:colorAxis rgb="FF000000"/>
          <x14:colorMarkers rgb="FFD00000"/>
          <x14:colorFirst rgb="FFD00000"/>
          <x14:colorLast rgb="FFD00000"/>
          <x14:colorHigh rgb="FFD00000"/>
          <x14:colorLow rgb="FFD00000"/>
          <x14:sparklines>
            <x14:sparkline>
              <xm:f>Inputs!G113:P113</xm:f>
              <xm:sqref>F113</xm:sqref>
            </x14:sparkline>
          </x14:sparklines>
        </x14:sparklineGroup>
        <x14:sparklineGroup displayEmptyCellsAs="gap" xr2:uid="{00000000-0003-0000-0800-000005000000}">
          <x14:colorSeries rgb="FF7B1314"/>
          <x14:colorNegative rgb="FFD00000"/>
          <x14:colorAxis rgb="FF000000"/>
          <x14:colorMarkers rgb="FFD00000"/>
          <x14:colorFirst rgb="FFD00000"/>
          <x14:colorLast rgb="FFD00000"/>
          <x14:colorHigh rgb="FFD00000"/>
          <x14:colorLow rgb="FFD00000"/>
          <x14:sparklines>
            <x14:sparkline>
              <xm:f>Inputs!G21:Q21</xm:f>
              <xm:sqref>F21</xm:sqref>
            </x14:sparkline>
          </x14:sparklines>
        </x14:sparklineGroup>
        <x14:sparklineGroup displayEmptyCellsAs="gap" xr2:uid="{00000000-0003-0000-0800-000006000000}">
          <x14:colorSeries rgb="FF7B1314"/>
          <x14:colorNegative rgb="FFD00000"/>
          <x14:colorAxis rgb="FF000000"/>
          <x14:colorMarkers rgb="FFD00000"/>
          <x14:colorFirst rgb="FFD00000"/>
          <x14:colorLast rgb="FFD00000"/>
          <x14:colorHigh rgb="FFD00000"/>
          <x14:colorLow rgb="FFD00000"/>
          <x14:sparklines>
            <x14:sparkline>
              <xm:f>Inputs!G20:Q20</xm:f>
              <xm:sqref>F20</xm:sqref>
            </x14:sparkline>
          </x14:sparklines>
        </x14:sparklineGroup>
        <x14:sparklineGroup displayEmptyCellsAs="gap" xr2:uid="{00000000-0003-0000-0800-000007000000}">
          <x14:colorSeries rgb="FF7B1314"/>
          <x14:colorNegative rgb="FFD00000"/>
          <x14:colorAxis rgb="FF000000"/>
          <x14:colorMarkers rgb="FFD00000"/>
          <x14:colorFirst rgb="FFD00000"/>
          <x14:colorLast rgb="FFD00000"/>
          <x14:colorHigh rgb="FFD00000"/>
          <x14:colorLow rgb="FFD00000"/>
          <x14:sparklines>
            <x14:sparkline>
              <xm:f>Inputs!G19:Q19</xm:f>
              <xm:sqref>F19</xm:sqref>
            </x14:sparkline>
          </x14:sparklines>
        </x14:sparklineGroup>
        <x14:sparklineGroup displayEmptyCellsAs="gap" xr2:uid="{00000000-0003-0000-0800-000008000000}">
          <x14:colorSeries rgb="FF7B1314"/>
          <x14:colorNegative rgb="FFD00000"/>
          <x14:colorAxis rgb="FF000000"/>
          <x14:colorMarkers rgb="FFD00000"/>
          <x14:colorFirst rgb="FFD00000"/>
          <x14:colorLast rgb="FFD00000"/>
          <x14:colorHigh rgb="FFD00000"/>
          <x14:colorLow rgb="FFD00000"/>
          <x14:sparklines>
            <x14:sparkline>
              <xm:f>Inputs!G28:Q28</xm:f>
              <xm:sqref>F28</xm:sqref>
            </x14:sparkline>
          </x14:sparklines>
        </x14:sparklineGroup>
        <x14:sparklineGroup displayEmptyCellsAs="gap" xr2:uid="{00000000-0003-0000-08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8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8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8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8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8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gap" xr2:uid="{00000000-0003-0000-08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800-000010000000}">
          <x14:colorSeries rgb="FF7B1314"/>
          <x14:colorNegative rgb="FFD00000"/>
          <x14:colorAxis rgb="FF000000"/>
          <x14:colorMarkers rgb="FFD00000"/>
          <x14:colorFirst rgb="FFD00000"/>
          <x14:colorLast rgb="FFD00000"/>
          <x14:colorHigh rgb="FFD00000"/>
          <x14:colorLow rgb="FFD00000"/>
          <x14:sparklines>
            <x14:sparkline>
              <xm:f>Inputs!G22:Q22</xm:f>
              <xm:sqref>F22</xm:sqref>
            </x14:sparkline>
          </x14:sparklines>
        </x14:sparklineGroup>
        <x14:sparklineGroup displayEmptyCellsAs="gap" xr2:uid="{00000000-0003-0000-08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800-000012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 displayEmptyCellsAs="gap" xr2:uid="{00000000-0003-0000-0800-000013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 displayEmptyCellsAs="gap" xr2:uid="{00000000-0003-0000-0800-000014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800-000015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800-000016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800-000017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800-000018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gap" xr2:uid="{00000000-0003-0000-0800-000019000000}">
          <x14:colorSeries rgb="FF7B1314"/>
          <x14:colorNegative rgb="FFD00000"/>
          <x14:colorAxis rgb="FF000000"/>
          <x14:colorMarkers rgb="FFD00000"/>
          <x14:colorFirst rgb="FFD00000"/>
          <x14:colorLast rgb="FFD00000"/>
          <x14:colorHigh rgb="FFD00000"/>
          <x14:colorLow rgb="FFD00000"/>
          <x14:sparklines>
            <x14:sparkline>
              <xm:f>Inputs!G121:P121</xm:f>
              <xm:sqref>F121</xm:sqref>
            </x14:sparkline>
          </x14:sparklines>
        </x14:sparklineGroup>
        <x14:sparklineGroup displayEmptyCellsAs="gap" xr2:uid="{00000000-0003-0000-0800-00001A000000}">
          <x14:colorSeries rgb="FF7B1314"/>
          <x14:colorNegative rgb="FFD00000"/>
          <x14:colorAxis rgb="FF000000"/>
          <x14:colorMarkers rgb="FFD00000"/>
          <x14:colorFirst rgb="FFD00000"/>
          <x14:colorLast rgb="FFD00000"/>
          <x14:colorHigh rgb="FFD00000"/>
          <x14:colorLow rgb="FFD00000"/>
          <x14:sparklines>
            <x14:sparkline>
              <xm:f>Inputs!G6:Q6</xm:f>
              <xm:sqref>F6</xm:sqref>
            </x14:sparkline>
          </x14:sparklines>
        </x14:sparklineGroup>
        <x14:sparklineGroup displayEmptyCellsAs="gap" xr2:uid="{00000000-0003-0000-08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s>
        </x14:sparklineGroup>
        <x14:sparklineGroup displayEmptyCellsAs="gap" xr2:uid="{00000000-0003-0000-0800-00001C000000}">
          <x14:colorSeries rgb="FF7B1314"/>
          <x14:colorNegative rgb="FFD00000"/>
          <x14:colorAxis rgb="FF000000"/>
          <x14:colorMarkers rgb="FFD00000"/>
          <x14:colorFirst rgb="FFD00000"/>
          <x14:colorLast rgb="FFD00000"/>
          <x14:colorHigh rgb="FFD00000"/>
          <x14:colorLow rgb="FFD00000"/>
          <x14:sparklines>
            <x14:sparkline>
              <xm:f>Inputs!G8:Q8</xm:f>
              <xm:sqref>F8</xm:sqref>
            </x14:sparkline>
          </x14:sparklines>
        </x14:sparklineGroup>
        <x14:sparklineGroup displayEmptyCellsAs="gap" xr2:uid="{00000000-0003-0000-0800-00001D000000}">
          <x14:colorSeries rgb="FF7B1314"/>
          <x14:colorNegative rgb="FFD00000"/>
          <x14:colorAxis rgb="FF000000"/>
          <x14:colorMarkers rgb="FFD00000"/>
          <x14:colorFirst rgb="FFD00000"/>
          <x14:colorLast rgb="FFD00000"/>
          <x14:colorHigh rgb="FFD00000"/>
          <x14:colorLow rgb="FFD00000"/>
          <x14:sparklines>
            <x14:sparkline>
              <xm:f>Inputs!G9:Q9</xm:f>
              <xm:sqref>F9</xm:sqref>
            </x14:sparkline>
          </x14:sparklines>
        </x14:sparklineGroup>
        <x14:sparklineGroup displayEmptyCellsAs="gap" xr2:uid="{00000000-0003-0000-0800-00001E000000}">
          <x14:colorSeries rgb="FF7B1314"/>
          <x14:colorNegative rgb="FFD00000"/>
          <x14:colorAxis rgb="FF000000"/>
          <x14:colorMarkers rgb="FFD00000"/>
          <x14:colorFirst rgb="FFD00000"/>
          <x14:colorLast rgb="FFD00000"/>
          <x14:colorHigh rgb="FFD00000"/>
          <x14:colorLow rgb="FFD00000"/>
          <x14:sparklines>
            <x14:sparkline>
              <xm:f>Inputs!G10:Q10</xm:f>
              <xm:sqref>F10</xm:sqref>
            </x14:sparkline>
          </x14:sparklines>
        </x14:sparklineGroup>
        <x14:sparklineGroup displayEmptyCellsAs="gap" xr2:uid="{00000000-0003-0000-0800-00001F000000}">
          <x14:colorSeries rgb="FF7B1314"/>
          <x14:colorNegative rgb="FFD00000"/>
          <x14:colorAxis rgb="FF000000"/>
          <x14:colorMarkers rgb="FFD00000"/>
          <x14:colorFirst rgb="FFD00000"/>
          <x14:colorLast rgb="FFD00000"/>
          <x14:colorHigh rgb="FFD00000"/>
          <x14:colorLow rgb="FFD00000"/>
          <x14:sparklines>
            <x14:sparkline>
              <xm:f>Inputs!G11:Q11</xm:f>
              <xm:sqref>F11</xm:sqref>
            </x14:sparkline>
          </x14:sparklines>
        </x14:sparklineGroup>
        <x14:sparklineGroup displayEmptyCellsAs="gap" xr2:uid="{00000000-0003-0000-0800-000020000000}">
          <x14:colorSeries rgb="FF7B1314"/>
          <x14:colorNegative rgb="FFD00000"/>
          <x14:colorAxis rgb="FF000000"/>
          <x14:colorMarkers rgb="FFD00000"/>
          <x14:colorFirst rgb="FFD00000"/>
          <x14:colorLast rgb="FFD00000"/>
          <x14:colorHigh rgb="FFD00000"/>
          <x14:colorLow rgb="FFD00000"/>
          <x14:sparklines>
            <x14:sparkline>
              <xm:f>Inputs!G12:Q12</xm:f>
              <xm:sqref>F12</xm:sqref>
            </x14:sparkline>
          </x14:sparklines>
        </x14:sparklineGroup>
        <x14:sparklineGroup displayEmptyCellsAs="gap" xr2:uid="{00000000-0003-0000-0800-000021000000}">
          <x14:colorSeries rgb="FF7B1314"/>
          <x14:colorNegative rgb="FFD00000"/>
          <x14:colorAxis rgb="FF000000"/>
          <x14:colorMarkers rgb="FFD00000"/>
          <x14:colorFirst rgb="FFD00000"/>
          <x14:colorLast rgb="FFD00000"/>
          <x14:colorHigh rgb="FFD00000"/>
          <x14:colorLow rgb="FFD00000"/>
          <x14:sparklines>
            <x14:sparkline>
              <xm:f>Inputs!G13:Q13</xm:f>
              <xm:sqref>F13</xm:sqref>
            </x14:sparkline>
          </x14:sparklines>
        </x14:sparklineGroup>
        <x14:sparklineGroup displayEmptyCellsAs="gap" xr2:uid="{00000000-0003-0000-0800-000022000000}">
          <x14:colorSeries rgb="FF7B1314"/>
          <x14:colorNegative rgb="FFD00000"/>
          <x14:colorAxis rgb="FF000000"/>
          <x14:colorMarkers rgb="FFD00000"/>
          <x14:colorFirst rgb="FFD00000"/>
          <x14:colorLast rgb="FFD00000"/>
          <x14:colorHigh rgb="FFD00000"/>
          <x14:colorLow rgb="FFD00000"/>
          <x14:sparklines>
            <x14:sparkline>
              <xm:f>Inputs!G15:Q15</xm:f>
              <xm:sqref>F15</xm:sqref>
            </x14:sparkline>
          </x14:sparklines>
        </x14:sparklineGroup>
        <x14:sparklineGroup displayEmptyCellsAs="gap" xr2:uid="{00000000-0003-0000-08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s>
        </x14:sparklineGroup>
        <x14:sparklineGroup displayEmptyCellsAs="gap" xr2:uid="{00000000-0003-0000-0800-000024000000}">
          <x14:colorSeries rgb="FF7B1314"/>
          <x14:colorNegative rgb="FFD00000"/>
          <x14:colorAxis rgb="FF000000"/>
          <x14:colorMarkers rgb="FFD00000"/>
          <x14:colorFirst rgb="FFD00000"/>
          <x14:colorLast rgb="FFD00000"/>
          <x14:colorHigh rgb="FFD00000"/>
          <x14:colorLow rgb="FFD00000"/>
          <x14:sparklines>
            <x14:sparkline>
              <xm:f>Inputs!G17:Q17</xm:f>
              <xm:sqref>F17</xm:sqref>
            </x14:sparkline>
          </x14:sparklines>
        </x14:sparklineGroup>
        <x14:sparklineGroup displayEmptyCellsAs="gap" xr2:uid="{00000000-0003-0000-0800-000025000000}">
          <x14:colorSeries rgb="FF7B1314"/>
          <x14:colorNegative rgb="FFD00000"/>
          <x14:colorAxis rgb="FF000000"/>
          <x14:colorMarkers rgb="FFD00000"/>
          <x14:colorFirst rgb="FFD00000"/>
          <x14:colorLast rgb="FFD00000"/>
          <x14:colorHigh rgb="FFD00000"/>
          <x14:colorLow rgb="FFD00000"/>
          <x14:sparklines>
            <x14:sparkline>
              <xm:f>Inputs!G18:Q18</xm:f>
              <xm:sqref>F18</xm:sqref>
            </x14:sparkline>
          </x14:sparklines>
        </x14:sparklineGroup>
        <x14:sparklineGroup displayEmptyCellsAs="gap" xr2:uid="{00000000-0003-0000-0800-000026000000}">
          <x14:colorSeries rgb="FF7B1314"/>
          <x14:colorNegative rgb="FFD00000"/>
          <x14:colorAxis rgb="FF000000"/>
          <x14:colorMarkers rgb="FFD00000"/>
          <x14:colorFirst rgb="FFD00000"/>
          <x14:colorLast rgb="FFD00000"/>
          <x14:colorHigh rgb="FFD00000"/>
          <x14:colorLow rgb="FFD00000"/>
          <x14:sparklines>
            <x14:sparkline>
              <xm:f>Inputs!G23:Q23</xm:f>
              <xm:sqref>F23</xm:sqref>
            </x14:sparkline>
          </x14:sparklines>
        </x14:sparklineGroup>
        <x14:sparklineGroup displayEmptyCellsAs="gap" xr2:uid="{00000000-0003-0000-0800-000027000000}">
          <x14:colorSeries rgb="FF7B1314"/>
          <x14:colorNegative rgb="FFD00000"/>
          <x14:colorAxis rgb="FF000000"/>
          <x14:colorMarkers rgb="FFD00000"/>
          <x14:colorFirst rgb="FFD00000"/>
          <x14:colorLast rgb="FFD00000"/>
          <x14:colorHigh rgb="FFD00000"/>
          <x14:colorLow rgb="FFD00000"/>
          <x14:sparklines>
            <x14:sparkline>
              <xm:f>Inputs!G24:Q24</xm:f>
              <xm:sqref>F24</xm:sqref>
            </x14:sparkline>
          </x14:sparklines>
        </x14:sparklineGroup>
        <x14:sparklineGroup displayEmptyCellsAs="gap" xr2:uid="{00000000-0003-0000-0800-000028000000}">
          <x14:colorSeries rgb="FF7B1314"/>
          <x14:colorNegative rgb="FFD00000"/>
          <x14:colorAxis rgb="FF000000"/>
          <x14:colorMarkers rgb="FFD00000"/>
          <x14:colorFirst rgb="FFD00000"/>
          <x14:colorLast rgb="FFD00000"/>
          <x14:colorHigh rgb="FFD00000"/>
          <x14:colorLow rgb="FFD00000"/>
          <x14:sparklines>
            <x14:sparkline>
              <xm:f>Inputs!G25:Q25</xm:f>
              <xm:sqref>F25</xm:sqref>
            </x14:sparkline>
          </x14:sparklines>
        </x14:sparklineGroup>
        <x14:sparklineGroup displayEmptyCellsAs="gap" xr2:uid="{00000000-0003-0000-0800-000029000000}">
          <x14:colorSeries rgb="FF7B1314"/>
          <x14:colorNegative rgb="FFD00000"/>
          <x14:colorAxis rgb="FF000000"/>
          <x14:colorMarkers rgb="FFD00000"/>
          <x14:colorFirst rgb="FFD00000"/>
          <x14:colorLast rgb="FFD00000"/>
          <x14:colorHigh rgb="FFD00000"/>
          <x14:colorLow rgb="FFD00000"/>
          <x14:sparklines>
            <x14:sparkline>
              <xm:f>Inputs!G26:Q26</xm:f>
              <xm:sqref>F26</xm:sqref>
            </x14:sparkline>
          </x14:sparklines>
        </x14:sparklineGroup>
        <x14:sparklineGroup displayEmptyCellsAs="gap" xr2:uid="{00000000-0003-0000-0800-00002A000000}">
          <x14:colorSeries rgb="FF7B1314"/>
          <x14:colorNegative rgb="FFD00000"/>
          <x14:colorAxis rgb="FF000000"/>
          <x14:colorMarkers rgb="FFD00000"/>
          <x14:colorFirst rgb="FFD00000"/>
          <x14:colorLast rgb="FFD00000"/>
          <x14:colorHigh rgb="FFD00000"/>
          <x14:colorLow rgb="FFD00000"/>
          <x14:sparklines>
            <x14:sparkline>
              <xm:f>Inputs!G27:Q27</xm:f>
              <xm:sqref>F27</xm:sqref>
            </x14:sparkline>
          </x14:sparklines>
        </x14:sparklineGroup>
        <x14:sparklineGroup displayEmptyCellsAs="gap" xr2:uid="{00000000-0003-0000-08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8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8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8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8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8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gap" xr2:uid="{00000000-0003-0000-08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s>
        </x14:sparklineGroup>
        <x14:sparklineGroup displayEmptyCellsAs="gap" xr2:uid="{00000000-0003-0000-0800-000032000000}">
          <x14:colorSeries rgb="FF7B1314"/>
          <x14:colorNegative rgb="FFD00000"/>
          <x14:colorAxis rgb="FF000000"/>
          <x14:colorMarkers rgb="FFD00000"/>
          <x14:colorFirst rgb="FFD00000"/>
          <x14:colorLast rgb="FFD00000"/>
          <x14:colorHigh rgb="FFD00000"/>
          <x14:colorLow rgb="FFD00000"/>
          <x14:sparklines>
            <x14:sparkline>
              <xm:f>Inputs!G40:Q40</xm:f>
              <xm:sqref>F40</xm:sqref>
            </x14:sparkline>
          </x14:sparklines>
        </x14:sparklineGroup>
        <x14:sparklineGroup displayEmptyCellsAs="gap" xr2:uid="{00000000-0003-0000-0800-000033000000}">
          <x14:colorSeries rgb="FF7B1314"/>
          <x14:colorNegative rgb="FFD00000"/>
          <x14:colorAxis rgb="FF000000"/>
          <x14:colorMarkers rgb="FFD00000"/>
          <x14:colorFirst rgb="FFD00000"/>
          <x14:colorLast rgb="FFD00000"/>
          <x14:colorHigh rgb="FFD00000"/>
          <x14:colorLow rgb="FFD00000"/>
          <x14:sparklines>
            <x14:sparkline>
              <xm:f>Inputs!G41:Q41</xm:f>
              <xm:sqref>F41</xm:sqref>
            </x14:sparkline>
          </x14:sparklines>
        </x14:sparklineGroup>
        <x14:sparklineGroup displayEmptyCellsAs="gap" xr2:uid="{00000000-0003-0000-08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8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8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8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8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8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8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8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8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8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8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8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8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8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8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8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gap" xr2:uid="{00000000-0003-0000-0800-000044000000}">
          <x14:colorSeries rgb="FF7B1314"/>
          <x14:colorNegative rgb="FFD00000"/>
          <x14:colorAxis rgb="FF000000"/>
          <x14:colorMarkers rgb="FFD00000"/>
          <x14:colorFirst rgb="FFD00000"/>
          <x14:colorLast rgb="FFD00000"/>
          <x14:colorHigh rgb="FFD00000"/>
          <x14:colorLow rgb="FFD00000"/>
          <x14:sparklines>
            <x14:sparkline>
              <xm:f>Inputs!G78:Q78</xm:f>
              <xm:sqref>F78</xm:sqref>
            </x14:sparkline>
          </x14:sparklines>
        </x14:sparklineGroup>
        <x14:sparklineGroup displayEmptyCellsAs="gap" xr2:uid="{00000000-0003-0000-0800-000045000000}">
          <x14:colorSeries rgb="FF7B1314"/>
          <x14:colorNegative rgb="FFD00000"/>
          <x14:colorAxis rgb="FF000000"/>
          <x14:colorMarkers rgb="FFD00000"/>
          <x14:colorFirst rgb="FFD00000"/>
          <x14:colorLast rgb="FFD00000"/>
          <x14:colorHigh rgb="FFD00000"/>
          <x14:colorLow rgb="FFD00000"/>
          <x14:sparklines>
            <x14:sparkline>
              <xm:f>Inputs!G77:Q77</xm:f>
              <xm:sqref>F77</xm:sqref>
            </x14:sparkline>
          </x14:sparklines>
        </x14:sparklineGroup>
        <x14:sparklineGroup displayEmptyCellsAs="gap" xr2:uid="{00000000-0003-0000-0800-000046000000}">
          <x14:colorSeries rgb="FF7B1314"/>
          <x14:colorNegative rgb="FFD00000"/>
          <x14:colorAxis rgb="FF000000"/>
          <x14:colorMarkers rgb="FFD00000"/>
          <x14:colorFirst rgb="FFD00000"/>
          <x14:colorLast rgb="FFD00000"/>
          <x14:colorHigh rgb="FFD00000"/>
          <x14:colorLow rgb="FFD00000"/>
          <x14:sparklines>
            <x14:sparkline>
              <xm:f>Inputs!G76:Q76</xm:f>
              <xm:sqref>F76</xm:sqref>
            </x14:sparkline>
          </x14:sparklines>
        </x14:sparklineGroup>
        <x14:sparklineGroup displayEmptyCellsAs="gap" xr2:uid="{00000000-0003-0000-0800-000047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s>
        </x14:sparklineGroup>
        <x14:sparklineGroup displayEmptyCellsAs="gap" xr2:uid="{00000000-0003-0000-0800-000048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gap" xr2:uid="{00000000-0003-0000-0800-000049000000}">
          <x14:colorSeries rgb="FF7B1314"/>
          <x14:colorNegative rgb="FFD00000"/>
          <x14:colorAxis rgb="FF000000"/>
          <x14:colorMarkers rgb="FFD00000"/>
          <x14:colorFirst rgb="FFD00000"/>
          <x14:colorLast rgb="FFD00000"/>
          <x14:colorHigh rgb="FFD00000"/>
          <x14:colorLow rgb="FFD00000"/>
          <x14:sparklines>
            <x14:sparkline>
              <xm:f>Inputs!G73:Q73</xm:f>
              <xm:sqref>F73</xm:sqref>
            </x14:sparkline>
          </x14:sparklines>
        </x14:sparklineGroup>
        <x14:sparklineGroup displayEmptyCellsAs="gap" xr2:uid="{00000000-0003-0000-0800-00004A000000}">
          <x14:colorSeries rgb="FF7B1314"/>
          <x14:colorNegative rgb="FFD00000"/>
          <x14:colorAxis rgb="FF000000"/>
          <x14:colorMarkers rgb="FFD00000"/>
          <x14:colorFirst rgb="FFD00000"/>
          <x14:colorLast rgb="FFD00000"/>
          <x14:colorHigh rgb="FFD00000"/>
          <x14:colorLow rgb="FFD00000"/>
          <x14:sparklines>
            <x14:sparkline>
              <xm:f>Inputs!G72:Q72</xm:f>
              <xm:sqref>F72</xm:sqref>
            </x14:sparkline>
          </x14:sparklines>
        </x14:sparklineGroup>
        <x14:sparklineGroup displayEmptyCellsAs="gap" xr2:uid="{00000000-0003-0000-0800-00004B000000}">
          <x14:colorSeries rgb="FF7B1314"/>
          <x14:colorNegative rgb="FFD00000"/>
          <x14:colorAxis rgb="FF000000"/>
          <x14:colorMarkers rgb="FFD00000"/>
          <x14:colorFirst rgb="FFD00000"/>
          <x14:colorLast rgb="FFD00000"/>
          <x14:colorHigh rgb="FFD00000"/>
          <x14:colorLow rgb="FFD00000"/>
          <x14:sparklines>
            <x14:sparkline>
              <xm:f>Inputs!G71:Q71</xm:f>
              <xm:sqref>F71</xm:sqref>
            </x14:sparkline>
          </x14:sparklines>
        </x14:sparklineGroup>
        <x14:sparklineGroup displayEmptyCellsAs="gap" xr2:uid="{00000000-0003-0000-0800-00004C000000}">
          <x14:colorSeries rgb="FF7B1314"/>
          <x14:colorNegative rgb="FFD00000"/>
          <x14:colorAxis rgb="FF000000"/>
          <x14:colorMarkers rgb="FFD00000"/>
          <x14:colorFirst rgb="FFD00000"/>
          <x14:colorLast rgb="FFD00000"/>
          <x14:colorHigh rgb="FFD00000"/>
          <x14:colorLow rgb="FFD00000"/>
          <x14:sparklines>
            <x14:sparkline>
              <xm:f>Inputs!G70:Q70</xm:f>
              <xm:sqref>F70</xm:sqref>
            </x14:sparkline>
          </x14:sparklines>
        </x14:sparklineGroup>
        <x14:sparklineGroup displayEmptyCellsAs="gap" xr2:uid="{00000000-0003-0000-0800-00004D000000}">
          <x14:colorSeries rgb="FF7B1314"/>
          <x14:colorNegative rgb="FFD00000"/>
          <x14:colorAxis rgb="FF000000"/>
          <x14:colorMarkers rgb="FFD00000"/>
          <x14:colorFirst rgb="FFD00000"/>
          <x14:colorLast rgb="FFD00000"/>
          <x14:colorHigh rgb="FFD00000"/>
          <x14:colorLow rgb="FFD00000"/>
          <x14:sparklines>
            <x14:sparkline>
              <xm:f>Inputs!G69:Q69</xm:f>
              <xm:sqref>F69</xm:sqref>
            </x14:sparkline>
          </x14:sparklines>
        </x14:sparklineGroup>
        <x14:sparklineGroup displayEmptyCellsAs="gap" xr2:uid="{00000000-0003-0000-08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s>
        </x14:sparklineGroup>
        <x14:sparklineGroup displayEmptyCellsAs="gap" xr2:uid="{00000000-0003-0000-08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8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gap" xr2:uid="{00000000-0003-0000-0800-000051000000}">
          <x14:colorSeries rgb="FF7B1314"/>
          <x14:colorNegative rgb="FFD00000"/>
          <x14:colorAxis rgb="FF000000"/>
          <x14:colorMarkers rgb="FFD00000"/>
          <x14:colorFirst rgb="FFD00000"/>
          <x14:colorLast rgb="FFD00000"/>
          <x14:colorHigh rgb="FFD00000"/>
          <x14:colorLow rgb="FFD00000"/>
          <x14:sparklines>
            <x14:sparkline>
              <xm:f>Inputs!G79:Q79</xm:f>
              <xm:sqref>F79</xm:sqref>
            </x14:sparkline>
          </x14:sparklines>
        </x14:sparklineGroup>
        <x14:sparklineGroup displayEmptyCellsAs="gap" xr2:uid="{00000000-0003-0000-0800-000052000000}">
          <x14:colorSeries rgb="FF7B1314"/>
          <x14:colorNegative rgb="FFD00000"/>
          <x14:colorAxis rgb="FF000000"/>
          <x14:colorMarkers rgb="FFD00000"/>
          <x14:colorFirst rgb="FFD00000"/>
          <x14:colorLast rgb="FFD00000"/>
          <x14:colorHigh rgb="FFD00000"/>
          <x14:colorLow rgb="FFD00000"/>
          <x14:sparklines>
            <x14:sparkline>
              <xm:f>Inputs!G80:Q80</xm:f>
              <xm:sqref>F80</xm:sqref>
            </x14:sparkline>
          </x14:sparklines>
        </x14:sparklineGroup>
        <x14:sparklineGroup displayEmptyCellsAs="gap" xr2:uid="{00000000-0003-0000-0800-000053000000}">
          <x14:colorSeries rgb="FF7B1314"/>
          <x14:colorNegative rgb="FFD00000"/>
          <x14:colorAxis rgb="FF000000"/>
          <x14:colorMarkers rgb="FFD00000"/>
          <x14:colorFirst rgb="FFD00000"/>
          <x14:colorLast rgb="FFD00000"/>
          <x14:colorHigh rgb="FFD00000"/>
          <x14:colorLow rgb="FFD00000"/>
          <x14:sparklines>
            <x14:sparkline>
              <xm:f>Inputs!G81:Q81</xm:f>
              <xm:sqref>F81</xm:sqref>
            </x14:sparkline>
          </x14:sparklines>
        </x14:sparklineGroup>
        <x14:sparklineGroup displayEmptyCellsAs="gap" xr2:uid="{00000000-0003-0000-0800-000054000000}">
          <x14:colorSeries rgb="FF7B1314"/>
          <x14:colorNegative rgb="FFD00000"/>
          <x14:colorAxis rgb="FF000000"/>
          <x14:colorMarkers rgb="FFD00000"/>
          <x14:colorFirst rgb="FFD00000"/>
          <x14:colorLast rgb="FFD00000"/>
          <x14:colorHigh rgb="FFD00000"/>
          <x14:colorLow rgb="FFD00000"/>
          <x14:sparklines>
            <x14:sparkline>
              <xm:f>Inputs!G82:Q82</xm:f>
              <xm:sqref>F82</xm:sqref>
            </x14:sparkline>
          </x14:sparklines>
        </x14:sparklineGroup>
        <x14:sparklineGroup displayEmptyCellsAs="gap" xr2:uid="{00000000-0003-0000-0800-000055000000}">
          <x14:colorSeries rgb="FF7B1314"/>
          <x14:colorNegative rgb="FFD00000"/>
          <x14:colorAxis rgb="FF000000"/>
          <x14:colorMarkers rgb="FFD00000"/>
          <x14:colorFirst rgb="FFD00000"/>
          <x14:colorLast rgb="FFD00000"/>
          <x14:colorHigh rgb="FFD00000"/>
          <x14:colorLow rgb="FFD00000"/>
          <x14:sparklines>
            <x14:sparkline>
              <xm:f>Inputs!G83:Q83</xm:f>
              <xm:sqref>F83</xm:sqref>
            </x14:sparkline>
          </x14:sparklines>
        </x14:sparklineGroup>
        <x14:sparklineGroup displayEmptyCellsAs="gap" xr2:uid="{00000000-0003-0000-0800-000056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gap" xr2:uid="{00000000-0003-0000-0800-000057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s>
        </x14:sparklineGroup>
        <x14:sparklineGroup displayEmptyCellsAs="gap" xr2:uid="{00000000-0003-0000-0800-000058000000}">
          <x14:colorSeries rgb="FF7B1314"/>
          <x14:colorNegative rgb="FFD00000"/>
          <x14:colorAxis rgb="FF000000"/>
          <x14:colorMarkers rgb="FFD00000"/>
          <x14:colorFirst rgb="FFD00000"/>
          <x14:colorLast rgb="FFD00000"/>
          <x14:colorHigh rgb="FFD00000"/>
          <x14:colorLow rgb="FFD00000"/>
          <x14:sparklines>
            <x14:sparkline>
              <xm:f>Inputs!G86:Q86</xm:f>
              <xm:sqref>F86</xm:sqref>
            </x14:sparkline>
          </x14:sparklines>
        </x14:sparklineGroup>
        <x14:sparklineGroup displayEmptyCellsAs="gap" xr2:uid="{00000000-0003-0000-0800-000059000000}">
          <x14:colorSeries rgb="FF7B1314"/>
          <x14:colorNegative rgb="FFD00000"/>
          <x14:colorAxis rgb="FF000000"/>
          <x14:colorMarkers rgb="FFD00000"/>
          <x14:colorFirst rgb="FFD00000"/>
          <x14:colorLast rgb="FFD00000"/>
          <x14:colorHigh rgb="FFD00000"/>
          <x14:colorLow rgb="FFD00000"/>
          <x14:sparklines>
            <x14:sparkline>
              <xm:f>Inputs!G87:Q87</xm:f>
              <xm:sqref>F87</xm:sqref>
            </x14:sparkline>
          </x14:sparklines>
        </x14:sparklineGroup>
        <x14:sparklineGroup displayEmptyCellsAs="gap" xr2:uid="{00000000-0003-0000-0800-00005A000000}">
          <x14:colorSeries rgb="FF7B1314"/>
          <x14:colorNegative rgb="FFD00000"/>
          <x14:colorAxis rgb="FF000000"/>
          <x14:colorMarkers rgb="FFD00000"/>
          <x14:colorFirst rgb="FFD00000"/>
          <x14:colorLast rgb="FFD00000"/>
          <x14:colorHigh rgb="FFD00000"/>
          <x14:colorLow rgb="FFD00000"/>
          <x14:sparklines>
            <x14:sparkline>
              <xm:f>Inputs!G88:Q88</xm:f>
              <xm:sqref>F88</xm:sqref>
            </x14:sparkline>
          </x14:sparklines>
        </x14:sparklineGroup>
        <x14:sparklineGroup displayEmptyCellsAs="gap" xr2:uid="{00000000-0003-0000-0800-00005B000000}">
          <x14:colorSeries rgb="FF7B1314"/>
          <x14:colorNegative rgb="FFD00000"/>
          <x14:colorAxis rgb="FF000000"/>
          <x14:colorMarkers rgb="FFD00000"/>
          <x14:colorFirst rgb="FFD00000"/>
          <x14:colorLast rgb="FFD00000"/>
          <x14:colorHigh rgb="FFD00000"/>
          <x14:colorLow rgb="FFD00000"/>
          <x14:sparklines>
            <x14:sparkline>
              <xm:f>Inputs!G89:Q89</xm:f>
              <xm:sqref>F89</xm:sqref>
            </x14:sparkline>
          </x14:sparklines>
        </x14:sparklineGroup>
        <x14:sparklineGroup displayEmptyCellsAs="gap" xr2:uid="{00000000-0003-0000-0800-00005C000000}">
          <x14:colorSeries rgb="FF7B1314"/>
          <x14:colorNegative rgb="FFD00000"/>
          <x14:colorAxis rgb="FF000000"/>
          <x14:colorMarkers rgb="FFD00000"/>
          <x14:colorFirst rgb="FFD00000"/>
          <x14:colorLast rgb="FFD00000"/>
          <x14:colorHigh rgb="FFD00000"/>
          <x14:colorLow rgb="FFD00000"/>
          <x14:sparklines>
            <x14:sparkline>
              <xm:f>Inputs!G90:Q90</xm:f>
              <xm:sqref>F90</xm:sqref>
            </x14:sparkline>
          </x14:sparklines>
        </x14:sparklineGroup>
        <x14:sparklineGroup displayEmptyCellsAs="gap" xr2:uid="{00000000-0003-0000-0800-00005D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800-00005E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800-00005F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800-000060000000}">
          <x14:colorSeries rgb="FF7B1314"/>
          <x14:colorNegative rgb="FFD00000"/>
          <x14:colorAxis rgb="FF000000"/>
          <x14:colorMarkers rgb="FFD00000"/>
          <x14:colorFirst rgb="FFD00000"/>
          <x14:colorLast rgb="FFD00000"/>
          <x14:colorHigh rgb="FFD00000"/>
          <x14:colorLow rgb="FFD00000"/>
          <x14:sparklines>
            <x14:sparkline>
              <xm:f>Inputs!G95:Q95</xm:f>
              <xm:sqref>F95</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pageSetUpPr autoPageBreaks="0"/>
  </sheetPr>
  <dimension ref="B2:N25"/>
  <sheetViews>
    <sheetView showGridLines="0" topLeftCell="A3" zoomScale="77" zoomScaleNormal="115" workbookViewId="0">
      <selection activeCell="G20" sqref="G20"/>
    </sheetView>
  </sheetViews>
  <sheetFormatPr defaultRowHeight="14.1"/>
  <cols>
    <col min="1" max="1" width="2.375" customWidth="1"/>
    <col min="6" max="6" width="8.125" customWidth="1"/>
    <col min="7" max="7" width="12.5" bestFit="1" customWidth="1"/>
    <col min="9" max="9" width="15.375" customWidth="1"/>
    <col min="10" max="10" width="7.5" customWidth="1"/>
    <col min="11" max="11" width="10.875" bestFit="1" customWidth="1"/>
    <col min="13" max="13" width="33" customWidth="1"/>
    <col min="14" max="14" width="14" customWidth="1"/>
    <col min="16" max="16" width="26.625" bestFit="1" customWidth="1"/>
    <col min="17" max="17" width="10.375" bestFit="1" customWidth="1"/>
    <col min="18" max="18" width="12.125" bestFit="1" customWidth="1"/>
  </cols>
  <sheetData>
    <row r="2" spans="2:14" s="33" customFormat="1" ht="20.100000000000001">
      <c r="B2" s="36" t="s">
        <v>447</v>
      </c>
    </row>
    <row r="4" spans="2:14">
      <c r="B4" t="s">
        <v>601</v>
      </c>
    </row>
    <row r="5" spans="2:14">
      <c r="B5" t="s">
        <v>602</v>
      </c>
    </row>
    <row r="7" spans="2:14">
      <c r="B7" s="2" t="s">
        <v>447</v>
      </c>
      <c r="C7" s="3"/>
      <c r="D7" s="3"/>
      <c r="E7" s="3"/>
      <c r="F7" s="3"/>
      <c r="G7" s="108"/>
      <c r="I7" s="2" t="s">
        <v>603</v>
      </c>
      <c r="J7" s="109" t="s">
        <v>110</v>
      </c>
      <c r="K7" s="109" t="s">
        <v>604</v>
      </c>
      <c r="M7" s="683" t="s">
        <v>208</v>
      </c>
      <c r="N7" s="684" t="s">
        <v>605</v>
      </c>
    </row>
    <row r="8" spans="2:14" ht="3.95" customHeight="1">
      <c r="B8" s="110"/>
      <c r="C8" s="111"/>
      <c r="D8" s="111"/>
      <c r="E8" s="111"/>
      <c r="F8" s="111"/>
      <c r="G8" s="112"/>
      <c r="I8" s="111"/>
      <c r="J8" s="113"/>
      <c r="K8" s="114"/>
      <c r="M8" s="685" t="s">
        <v>606</v>
      </c>
      <c r="N8" s="685"/>
    </row>
    <row r="9" spans="2:14">
      <c r="B9" s="115" t="s">
        <v>607</v>
      </c>
      <c r="G9" s="116" cm="1">
        <f t="array" aca="1" ref="G9" ca="1">+_FV(DCF!R4,"Market cap",TRUE)/1000000</f>
        <v>147183.30692999999</v>
      </c>
      <c r="I9" t="str">
        <f>Segments!B6</f>
        <v>China</v>
      </c>
      <c r="J9" s="28">
        <f>Segments!D6</f>
        <v>0.29249919963842491</v>
      </c>
      <c r="K9" s="117">
        <v>5.2699999999999997E-2</v>
      </c>
      <c r="M9" s="115" t="str">
        <f>+Peers!B8</f>
        <v>NVIDIA</v>
      </c>
      <c r="N9" s="687">
        <f ca="1">Peers!E75</f>
        <v>1.9128302199114884</v>
      </c>
    </row>
    <row r="10" spans="2:14">
      <c r="B10" t="s">
        <v>608</v>
      </c>
      <c r="G10" s="16">
        <f ca="1">IFERROR(G9/G23,"")</f>
        <v>0.75896905494200317</v>
      </c>
      <c r="I10" t="str">
        <f>Segments!B7</f>
        <v>United States</v>
      </c>
      <c r="J10" s="28">
        <f>Segments!D7</f>
        <v>0.24470348957646748</v>
      </c>
      <c r="K10" s="117">
        <v>4.3299999999999998E-2</v>
      </c>
      <c r="M10" s="115" t="str">
        <f>+Peers!B9</f>
        <v>AMD</v>
      </c>
      <c r="N10" s="687">
        <f ca="1">Peers!F75</f>
        <v>1.8574090751301358</v>
      </c>
    </row>
    <row r="11" spans="2:14">
      <c r="B11" t="s">
        <v>609</v>
      </c>
      <c r="G11" s="28">
        <f ca="1">IFERROR(G12+G14*G15,"")</f>
        <v>0.1050026533624602</v>
      </c>
      <c r="I11" t="str">
        <f>Segments!B8</f>
        <v>Singapore</v>
      </c>
      <c r="J11" s="28">
        <f>Segments!D8</f>
        <v>0.19184196154498032</v>
      </c>
      <c r="K11" s="117">
        <v>4.3299999999999998E-2</v>
      </c>
      <c r="M11" s="115" t="str">
        <f>+Peers!B10</f>
        <v>Broadcom Inc.</v>
      </c>
      <c r="N11" s="687">
        <f ca="1">Peers!G75</f>
        <v>0.75118967076346177</v>
      </c>
    </row>
    <row r="12" spans="2:14">
      <c r="B12" t="s">
        <v>610</v>
      </c>
      <c r="G12" s="118">
        <v>4.3740000000000001E-2</v>
      </c>
      <c r="I12" t="str">
        <f>Segments!B9</f>
        <v>Taiwan</v>
      </c>
      <c r="J12" s="28">
        <f>Segments!D9</f>
        <v>0.14696521722754749</v>
      </c>
      <c r="K12" s="117">
        <v>5.1299999999999998E-2</v>
      </c>
      <c r="M12" s="115" t="str">
        <f>+Peers!B11</f>
        <v>ASML</v>
      </c>
      <c r="N12" s="687">
        <f ca="1">Peers!H75</f>
        <v>1.6987307561741662</v>
      </c>
    </row>
    <row r="13" spans="2:14">
      <c r="B13" t="s">
        <v>611</v>
      </c>
      <c r="G13" s="119">
        <f ca="1">+N19</f>
        <v>1.555039930494813</v>
      </c>
      <c r="J13" s="28"/>
      <c r="K13" s="117"/>
      <c r="M13" s="115" t="str">
        <f>+Peers!B12</f>
        <v/>
      </c>
      <c r="N13" s="687" t="str">
        <f>+Peers!I75</f>
        <v/>
      </c>
    </row>
    <row r="14" spans="2:14">
      <c r="B14" t="s">
        <v>40</v>
      </c>
      <c r="G14" s="752">
        <f ca="1">Peers!D74</f>
        <v>1.266</v>
      </c>
      <c r="I14" t="s">
        <v>612</v>
      </c>
      <c r="J14" s="28">
        <f>1-SUM(J9:J13)</f>
        <v>0.12399013201257969</v>
      </c>
      <c r="K14" s="28">
        <f>MAX(K9:K13)</f>
        <v>5.2699999999999997E-2</v>
      </c>
      <c r="M14" s="115" t="str">
        <f>+Peers!B13</f>
        <v/>
      </c>
      <c r="N14" s="687" t="str">
        <f>+Peers!J75</f>
        <v/>
      </c>
    </row>
    <row r="15" spans="2:14">
      <c r="B15" t="s">
        <v>613</v>
      </c>
      <c r="G15" s="393">
        <f>SUMPRODUCT(J9:J14,K9:K14)</f>
        <v>4.8390721455339812E-2</v>
      </c>
      <c r="J15" s="28"/>
      <c r="K15" s="28"/>
      <c r="M15" s="115" t="str">
        <f>+Peers!B14</f>
        <v/>
      </c>
      <c r="N15" s="687" t="str">
        <f>+Peers!K75</f>
        <v/>
      </c>
    </row>
    <row r="16" spans="2:14">
      <c r="B16" s="1" t="s">
        <v>614</v>
      </c>
      <c r="G16" s="28">
        <f ca="1">IFERROR(+G12+G13*G15,"")</f>
        <v>0.11898950412850548</v>
      </c>
      <c r="J16" s="28"/>
      <c r="K16" s="28"/>
      <c r="M16" s="115" t="str">
        <f>+Peers!B15</f>
        <v/>
      </c>
      <c r="N16" s="687" t="str">
        <f>+Peers!L75</f>
        <v/>
      </c>
    </row>
    <row r="17" spans="2:14">
      <c r="M17" s="115" t="str">
        <f>+Peers!B16</f>
        <v/>
      </c>
      <c r="N17" s="687" t="str">
        <f>+Peers!M75</f>
        <v/>
      </c>
    </row>
    <row r="18" spans="2:14">
      <c r="B18" s="115" t="s">
        <v>615</v>
      </c>
      <c r="G18" s="120">
        <f>Inputs!Q113</f>
        <v>46742</v>
      </c>
      <c r="M18" s="115" t="str">
        <f>+Peers!B17</f>
        <v/>
      </c>
      <c r="N18" s="687" t="str">
        <f>+Peers!N75</f>
        <v/>
      </c>
    </row>
    <row r="19" spans="2:14">
      <c r="B19" t="s">
        <v>469</v>
      </c>
      <c r="G19" s="16">
        <f ca="1">IFERROR(G18/G23,"")</f>
        <v>0.24103094505799683</v>
      </c>
      <c r="J19" s="28"/>
      <c r="M19" s="686" t="s">
        <v>214</v>
      </c>
      <c r="N19" s="688">
        <f ca="1">IFERROR(+AVERAGEIF(N9:N18,"&gt;0"),"")</f>
        <v>1.555039930494813</v>
      </c>
    </row>
    <row r="20" spans="2:14">
      <c r="B20" t="s">
        <v>616</v>
      </c>
      <c r="G20" s="118">
        <f>G12+0.0122</f>
        <v>5.5940000000000004E-2</v>
      </c>
      <c r="J20" s="28"/>
    </row>
    <row r="21" spans="2:14">
      <c r="B21" t="s">
        <v>617</v>
      </c>
      <c r="G21" s="118">
        <v>0.21</v>
      </c>
      <c r="J21" s="28"/>
    </row>
    <row r="22" spans="2:14">
      <c r="J22" s="28"/>
    </row>
    <row r="23" spans="2:14">
      <c r="B23" t="s">
        <v>116</v>
      </c>
      <c r="G23" s="23">
        <f ca="1">+G9+G18</f>
        <v>193925.30692999999</v>
      </c>
      <c r="J23" s="28"/>
    </row>
    <row r="24" spans="2:14">
      <c r="J24" s="28"/>
    </row>
    <row r="25" spans="2:14">
      <c r="B25" s="1" t="s">
        <v>447</v>
      </c>
      <c r="G25" s="121">
        <f ca="1">IFERROR(G10*G11+G19*G20*(1-G21),"")</f>
        <v>9.0345548731479208E-2</v>
      </c>
      <c r="J25" s="28"/>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B1:T76"/>
  <sheetViews>
    <sheetView showGridLines="0" zoomScale="53" zoomScaleNormal="100" workbookViewId="0">
      <selection activeCell="U4" sqref="U4"/>
    </sheetView>
  </sheetViews>
  <sheetFormatPr defaultRowHeight="14.1"/>
  <cols>
    <col min="1" max="1" width="1.625" customWidth="1"/>
    <col min="2" max="2" width="15.625" style="8" customWidth="1"/>
    <col min="4" max="4" width="16.125" customWidth="1"/>
    <col min="5" max="13" width="13.375" customWidth="1"/>
    <col min="14" max="17" width="12.625" style="22" customWidth="1"/>
    <col min="18" max="18" width="12.625" customWidth="1"/>
  </cols>
  <sheetData>
    <row r="1" spans="2:19">
      <c r="R1" s="22"/>
    </row>
    <row r="2" spans="2:19" s="241" customFormat="1" ht="20.100000000000001" customHeight="1">
      <c r="B2" s="240" t="s">
        <v>618</v>
      </c>
      <c r="C2" s="487"/>
      <c r="D2" s="487"/>
      <c r="E2" s="487"/>
      <c r="F2" s="487"/>
      <c r="G2" s="487"/>
      <c r="H2" s="487"/>
      <c r="I2" s="487"/>
      <c r="J2" s="487"/>
      <c r="K2" s="487"/>
      <c r="L2" s="487"/>
      <c r="M2" s="487"/>
      <c r="N2" s="488"/>
      <c r="O2" s="488"/>
      <c r="P2" s="488"/>
      <c r="Q2" s="242"/>
      <c r="R2" s="242"/>
      <c r="S2" s="487"/>
    </row>
    <row r="3" spans="2:19">
      <c r="R3" s="22"/>
    </row>
    <row r="4" spans="2:19" ht="15.6">
      <c r="B4" s="7" t="s">
        <v>619</v>
      </c>
      <c r="C4" s="52"/>
      <c r="D4" s="54"/>
      <c r="E4" s="54"/>
      <c r="F4" s="370">
        <v>2014</v>
      </c>
      <c r="G4" s="370">
        <f t="shared" ref="G4:J4" si="0">+F4+1</f>
        <v>2015</v>
      </c>
      <c r="H4" s="370">
        <f t="shared" si="0"/>
        <v>2016</v>
      </c>
      <c r="I4" s="370">
        <f t="shared" si="0"/>
        <v>2017</v>
      </c>
      <c r="J4" s="370">
        <f t="shared" si="0"/>
        <v>2018</v>
      </c>
      <c r="K4" s="370">
        <f t="shared" ref="K4" si="1">+J4+1</f>
        <v>2019</v>
      </c>
      <c r="L4" s="370">
        <f t="shared" ref="L4" si="2">+K4+1</f>
        <v>2020</v>
      </c>
      <c r="M4" s="370">
        <f t="shared" ref="M4" si="3">+L4+1</f>
        <v>2021</v>
      </c>
      <c r="N4" s="370">
        <v>2022</v>
      </c>
      <c r="O4" s="370">
        <f t="shared" ref="O4" si="4">+N4+1</f>
        <v>2023</v>
      </c>
      <c r="P4" s="371">
        <f>+O4+1</f>
        <v>2024</v>
      </c>
      <c r="Q4" s="369">
        <f>+P4+1</f>
        <v>2025</v>
      </c>
      <c r="R4" s="369">
        <f>+Q4+1</f>
        <v>2026</v>
      </c>
    </row>
    <row r="5" spans="2:19" ht="3.95" customHeight="1">
      <c r="B5" s="243"/>
      <c r="C5" s="49"/>
      <c r="D5" s="56"/>
      <c r="E5" s="56"/>
      <c r="F5" s="56"/>
      <c r="G5" s="56"/>
      <c r="H5" s="56"/>
      <c r="I5" s="56"/>
      <c r="J5" s="56"/>
      <c r="K5" s="56"/>
      <c r="L5" s="56"/>
      <c r="M5" s="56"/>
      <c r="N5" s="217"/>
      <c r="O5" s="217"/>
      <c r="P5" s="352"/>
      <c r="Q5" s="217"/>
      <c r="R5" s="217"/>
    </row>
    <row r="6" spans="2:19" ht="15.6">
      <c r="B6" s="14" t="s">
        <v>11</v>
      </c>
      <c r="F6" s="15">
        <f ca="1">IFERROR(_xlfn.XLOOKUP("Enterprise Value",Inputs!$B:$B,Inputs!G:G)/_xlfn.XLOOKUP("Revenue (Sales)",Inputs!$B:$B,Inputs!G:G),"")</f>
        <v>3.1567977447646323</v>
      </c>
      <c r="G6" s="15">
        <f ca="1">IFERROR(_xlfn.XLOOKUP("Enterprise Value",Inputs!$B:$B,Inputs!H:H)/_xlfn.XLOOKUP("Revenue (Sales)",Inputs!$B:$B,Inputs!H:H),"")</f>
        <v>2.8564158612591459</v>
      </c>
      <c r="H6" s="15">
        <f ca="1">IFERROR(_xlfn.XLOOKUP("Enterprise Value",Inputs!$B:$B,Inputs!I:I)/_xlfn.XLOOKUP("Revenue (Sales)",Inputs!$B:$B,Inputs!I:I),"")</f>
        <v>2.9799080606866819</v>
      </c>
      <c r="I6" s="15">
        <f ca="1">IFERROR(_xlfn.XLOOKUP("Enterprise Value",Inputs!$B:$B,Inputs!J:J)/_xlfn.XLOOKUP("Revenue (Sales)",Inputs!$B:$B,Inputs!J:J),"")</f>
        <v>3.6339471965073846</v>
      </c>
      <c r="J6" s="15">
        <f ca="1">IFERROR(_xlfn.XLOOKUP("Enterprise Value",Inputs!$B:$B,Inputs!K:K)/_xlfn.XLOOKUP("Revenue (Sales)",Inputs!$B:$B,Inputs!K:K),"")</f>
        <v>3.2512171126919602</v>
      </c>
      <c r="K6" s="15">
        <f ca="1">IFERROR(_xlfn.XLOOKUP("Enterprise Value",Inputs!$B:$B,Inputs!L:L)/_xlfn.XLOOKUP("Revenue (Sales)",Inputs!$B:$B,Inputs!L:L),"")</f>
        <v>4.0805297028244931</v>
      </c>
      <c r="L6" s="15">
        <f ca="1">IFERROR(_xlfn.XLOOKUP("Enterprise Value",Inputs!$B:$B,Inputs!M:M)/_xlfn.XLOOKUP("Revenue (Sales)",Inputs!$B:$B,Inputs!M:M),"")</f>
        <v>3.0140353909465021</v>
      </c>
      <c r="M6" s="15">
        <f ca="1">IFERROR(_xlfn.XLOOKUP("Enterprise Value",Inputs!$B:$B,Inputs!N:N)/_xlfn.XLOOKUP("Revenue (Sales)",Inputs!$B:$B,Inputs!N:N),"")</f>
        <v>2.8722730801145642</v>
      </c>
      <c r="N6" s="15">
        <f ca="1">IFERROR(_xlfn.XLOOKUP("Enterprise Value",Inputs!$B:$B,Inputs!O:O)/_xlfn.XLOOKUP("Revenue (Sales)",Inputs!$B:$B,Inputs!O:O),"")</f>
        <v>1.9543990864972882</v>
      </c>
      <c r="O6" s="15">
        <f ca="1">IFERROR(_xlfn.XLOOKUP("Enterprise Value",Inputs!$B:$B,Inputs!P:P)/_xlfn.XLOOKUP("Revenue (Sales)",Inputs!$B:$B,Inputs!P:P),"")</f>
        <v>4.3759220328981341</v>
      </c>
      <c r="P6" s="350">
        <f ca="1">IFERROR(_xlfn.XLOOKUP("Enterprise Value",Inputs!$B:$B,Inputs!Q:Q)/_xlfn.XLOOKUP("Revenue (Sales)",Inputs!$B:$B,Inputs!Q:Q),"")</f>
        <v>2.1893373006158074</v>
      </c>
      <c r="Q6" s="357">
        <f ca="1">IFERROR(_xlfn.XLOOKUP("Enterprise Value",DCF!$B:$B,DCF!R:R)/_xlfn.XLOOKUP("Revenue (Sales)",DCF!$B:$B,DCF!H:H),"")</f>
        <v>3.0084901821451376E-2</v>
      </c>
      <c r="R6" s="357">
        <f ca="1">IFERROR(_xlfn.XLOOKUP("Enterprise Value",DCF!$B:$B,DCF!S:S)/_xlfn.XLOOKUP("Revenue (Sales)",DCF!$B:$B,DCF!I:I),"")</f>
        <v>2.8802171414184067E-2</v>
      </c>
    </row>
    <row r="7" spans="2:19" ht="15.6">
      <c r="B7" s="17" t="s">
        <v>13</v>
      </c>
      <c r="F7" s="15">
        <f ca="1">IFERROR(_xlfn.XLOOKUP("Market Capitalization",Inputs!$B:$B,Inputs!G:G)/_xlfn.XLOOKUP("Revenue (Sales)",Inputs!$B:$B,Inputs!G:G),"")</f>
        <v>3.1834131018435654</v>
      </c>
      <c r="G7" s="15">
        <f ca="1">IFERROR(_xlfn.XLOOKUP("Market Capitalization",Inputs!$B:$B,Inputs!H:H)/_xlfn.XLOOKUP("Revenue (Sales)",Inputs!$B:$B,Inputs!H:H),"")</f>
        <v>2.9511679161774009</v>
      </c>
      <c r="H7" s="15">
        <f ca="1">IFERROR(_xlfn.XLOOKUP("Market Capitalization",Inputs!$B:$B,Inputs!I:I)/_xlfn.XLOOKUP("Revenue (Sales)",Inputs!$B:$B,Inputs!I:I),"")</f>
        <v>2.9198612490949194</v>
      </c>
      <c r="I7" s="15">
        <f ca="1">IFERROR(_xlfn.XLOOKUP("Market Capitalization",Inputs!$B:$B,Inputs!J:J)/_xlfn.XLOOKUP("Revenue (Sales)",Inputs!$B:$B,Inputs!J:J),"")</f>
        <v>3.4575319067573806</v>
      </c>
      <c r="J7" s="15">
        <f ca="1">IFERROR(_xlfn.XLOOKUP("Market Capitalization",Inputs!$B:$B,Inputs!K:K)/_xlfn.XLOOKUP("Revenue (Sales)",Inputs!$B:$B,Inputs!K:K),"")</f>
        <v>3.0543449356368564</v>
      </c>
      <c r="K7" s="15">
        <f ca="1">IFERROR(_xlfn.XLOOKUP("Market Capitalization",Inputs!$B:$B,Inputs!L:L)/_xlfn.XLOOKUP("Revenue (Sales)",Inputs!$B:$B,Inputs!L:L),"")</f>
        <v>3.8929910464465585</v>
      </c>
      <c r="L7" s="15">
        <f ca="1">IFERROR(_xlfn.XLOOKUP("Market Capitalization",Inputs!$B:$B,Inputs!M:M)/_xlfn.XLOOKUP("Revenue (Sales)",Inputs!$B:$B,Inputs!M:M),"")</f>
        <v>2.8696046639231825</v>
      </c>
      <c r="M7" s="15">
        <f ca="1">IFERROR(_xlfn.XLOOKUP("Market Capitalization",Inputs!$B:$B,Inputs!N:N)/_xlfn.XLOOKUP("Revenue (Sales)",Inputs!$B:$B,Inputs!N:N),"")</f>
        <v>2.7976993495543243</v>
      </c>
      <c r="N7" s="15">
        <f ca="1">IFERROR(_xlfn.XLOOKUP("Market Capitalization",Inputs!$B:$B,Inputs!O:O)/_xlfn.XLOOKUP("Revenue (Sales)",Inputs!$B:$B,Inputs!O:O),"")</f>
        <v>1.7075947600469441</v>
      </c>
      <c r="O7" s="15">
        <f ca="1">IFERROR(_xlfn.XLOOKUP("Market Capitalization",Inputs!$B:$B,Inputs!P:P)/_xlfn.XLOOKUP("Revenue (Sales)",Inputs!$B:$B,Inputs!P:P),"")</f>
        <v>3.8826344323965478</v>
      </c>
      <c r="P7" s="350">
        <f ca="1">IFERROR(_xlfn.XLOOKUP("Market Capitalization",Inputs!$B:$B,Inputs!Q:Q)/_xlfn.XLOOKUP("Revenue (Sales)",Inputs!$B:$B,Inputs!Q:Q),"")</f>
        <v>1.616052428391179</v>
      </c>
      <c r="Q7" s="357">
        <f ca="1">IFERROR(_xlfn.XLOOKUP("Equity Value",DCF!$B:$B,DCF!R:R)/_xlfn.XLOOKUP("Revenue (Sales)",DCF!$B:$B,DCF!H:H),"")</f>
        <v>0</v>
      </c>
      <c r="R7" s="357">
        <f ca="1">IFERROR(_xlfn.XLOOKUP("Equity Value",DCF!$B:$B,DCF!S:S)/_xlfn.XLOOKUP("Revenue (Sales)",DCF!$B:$B,DCF!I:I),"")</f>
        <v>0</v>
      </c>
    </row>
    <row r="8" spans="2:19" ht="15.6">
      <c r="B8" s="244" t="s">
        <v>15</v>
      </c>
      <c r="F8" s="15">
        <f ca="1">IFERROR(_xlfn.XLOOKUP("Enterprise Value",Inputs!$B:$B,Inputs!G:G)/_xlfn.XLOOKUP("EBITDA",Inputs!$B:$B,Inputs!G:G),"")</f>
        <v>7.2907399446074992</v>
      </c>
      <c r="G8" s="15">
        <f ca="1">IFERROR(_xlfn.XLOOKUP("Enterprise Value",Inputs!$B:$B,Inputs!H:H)/_xlfn.XLOOKUP("EBITDA",Inputs!$B:$B,Inputs!H:H),"")</f>
        <v>6.8511157329173722</v>
      </c>
      <c r="H8" s="15">
        <f ca="1">IFERROR(_xlfn.XLOOKUP("Enterprise Value",Inputs!$B:$B,Inputs!I:I)/_xlfn.XLOOKUP("EBITDA",Inputs!$B:$B,Inputs!I:I),"")</f>
        <v>7.7729960029867788</v>
      </c>
      <c r="I8" s="15">
        <f ca="1">IFERROR(_xlfn.XLOOKUP("Enterprise Value",Inputs!$B:$B,Inputs!J:J)/_xlfn.XLOOKUP("EBITDA",Inputs!$B:$B,Inputs!J:J),"")</f>
        <v>8.6754977366959558</v>
      </c>
      <c r="J8" s="15">
        <f ca="1">IFERROR(_xlfn.XLOOKUP("Enterprise Value",Inputs!$B:$B,Inputs!K:K)/_xlfn.XLOOKUP("EBITDA",Inputs!$B:$B,Inputs!K:K),"")</f>
        <v>7.124941383896811</v>
      </c>
      <c r="K8" s="15">
        <f ca="1">IFERROR(_xlfn.XLOOKUP("Enterprise Value",Inputs!$B:$B,Inputs!L:L)/_xlfn.XLOOKUP("EBITDA",Inputs!$B:$B,Inputs!L:L),"")</f>
        <v>8.1849249719383241</v>
      </c>
      <c r="L8" s="15">
        <f ca="1">IFERROR(_xlfn.XLOOKUP("Enterprise Value",Inputs!$B:$B,Inputs!M:M)/_xlfn.XLOOKUP("EBITDA",Inputs!$B:$B,Inputs!M:M),"")</f>
        <v>6.2460395701859115</v>
      </c>
      <c r="M8" s="15">
        <f ca="1">IFERROR(_xlfn.XLOOKUP("Enterprise Value",Inputs!$B:$B,Inputs!N:N)/_xlfn.XLOOKUP("EBITDA",Inputs!$B:$B,Inputs!N:N),"")</f>
        <v>6.6023842485771418</v>
      </c>
      <c r="N8" s="15">
        <f ca="1">IFERROR(_xlfn.XLOOKUP("Enterprise Value",Inputs!$B:$B,Inputs!O:O)/_xlfn.XLOOKUP("EBITDA",Inputs!$B:$B,Inputs!O:O),"")</f>
        <v>8.5524797001873836</v>
      </c>
      <c r="O8" s="15">
        <f ca="1">IFERROR(_xlfn.XLOOKUP("Enterprise Value",Inputs!$B:$B,Inputs!P:P)/_xlfn.XLOOKUP("EBITDA",Inputs!$B:$B,Inputs!P:P),"")</f>
        <v>25.031381856540083</v>
      </c>
      <c r="P8" s="350">
        <f ca="1">IFERROR(_xlfn.XLOOKUP("Enterprise Value",Inputs!$B:$B,Inputs!Q:Q)/_xlfn.XLOOKUP("EBITDA",Inputs!$B:$B,Inputs!Q:Q),"")</f>
        <v>19.52241813602015</v>
      </c>
      <c r="Q8" s="357">
        <f ca="1">IFERROR(_xlfn.XLOOKUP("Enterprise Value",DCF!$B:$B,DCF!R:R)/_xlfn.XLOOKUP("EBITDA",DCF!$B:$B,DCF!H:H),"")</f>
        <v>-0.2611494722571201</v>
      </c>
      <c r="R8" s="357">
        <f ca="1">IFERROR(_xlfn.XLOOKUP("Enterprise Value",DCF!$B:$B,DCF!S:S)/_xlfn.XLOOKUP("EBITDA",DCF!$B:$B,DCF!I:I),"")</f>
        <v>-0.90451114775785657</v>
      </c>
    </row>
    <row r="9" spans="2:19" ht="15.6">
      <c r="B9" s="244" t="s">
        <v>17</v>
      </c>
      <c r="F9" s="15">
        <f ca="1">IFERROR(_xlfn.XLOOKUP("Enterprise Value",Inputs!$B:$B,Inputs!G:G)/_xlfn.XLOOKUP("Operating Income (EBIT)",Inputs!$B:$B,Inputs!G:G),"")</f>
        <v>11.275430891190386</v>
      </c>
      <c r="G9" s="15">
        <f ca="1">IFERROR(_xlfn.XLOOKUP("Enterprise Value",Inputs!$B:$B,Inputs!H:H)/_xlfn.XLOOKUP("Operating Income (EBIT)",Inputs!$B:$B,Inputs!H:H),"")</f>
        <v>11.004795378619155</v>
      </c>
      <c r="H9" s="15">
        <f ca="1">IFERROR(_xlfn.XLOOKUP("Enterprise Value",Inputs!$B:$B,Inputs!I:I)/_xlfn.XLOOKUP("Operating Income (EBIT)",Inputs!$B:$B,Inputs!I:I),"")</f>
        <v>11.815971155772184</v>
      </c>
      <c r="I9" s="15">
        <f ca="1">IFERROR(_xlfn.XLOOKUP("Enterprise Value",Inputs!$B:$B,Inputs!J:J)/_xlfn.XLOOKUP("Operating Income (EBIT)",Inputs!$B:$B,Inputs!J:J),"")</f>
        <v>12.558929515418502</v>
      </c>
      <c r="J9" s="15">
        <f ca="1">IFERROR(_xlfn.XLOOKUP("Enterprise Value",Inputs!$B:$B,Inputs!K:K)/_xlfn.XLOOKUP("Operating Income (EBIT)",Inputs!$B:$B,Inputs!K:K),"")</f>
        <v>9.9097500430218552</v>
      </c>
      <c r="K9" s="15">
        <f ca="1">IFERROR(_xlfn.XLOOKUP("Enterprise Value",Inputs!$B:$B,Inputs!L:L)/_xlfn.XLOOKUP("Operating Income (EBIT)",Inputs!$B:$B,Inputs!L:L),"")</f>
        <v>12.032849140177175</v>
      </c>
      <c r="L9" s="15">
        <f ca="1">IFERROR(_xlfn.XLOOKUP("Enterprise Value",Inputs!$B:$B,Inputs!M:M)/_xlfn.XLOOKUP("Operating Income (EBIT)",Inputs!$B:$B,Inputs!M:M),"")</f>
        <v>9.5785858145516372</v>
      </c>
      <c r="M9" s="15">
        <f ca="1">IFERROR(_xlfn.XLOOKUP("Enterprise Value",Inputs!$B:$B,Inputs!N:N)/_xlfn.XLOOKUP("Operating Income (EBIT)",Inputs!$B:$B,Inputs!N:N),"")</f>
        <v>10.361150002413943</v>
      </c>
      <c r="N9" s="15">
        <f ca="1">IFERROR(_xlfn.XLOOKUP("Enterprise Value",Inputs!$B:$B,Inputs!O:O)/_xlfn.XLOOKUP("Operating Income (EBIT)",Inputs!$B:$B,Inputs!O:O),"")</f>
        <v>89.688995633187773</v>
      </c>
      <c r="O9" s="15">
        <f ca="1">IFERROR(_xlfn.XLOOKUP("Enterprise Value",Inputs!$B:$B,Inputs!P:P)/_xlfn.XLOOKUP("Operating Income (EBIT)",Inputs!$B:$B,Inputs!P:P),"")</f>
        <v>-1945.061475409836</v>
      </c>
      <c r="P9" s="350">
        <f ca="1">IFERROR(_xlfn.XLOOKUP("Enterprise Value",Inputs!$B:$B,Inputs!Q:Q)/_xlfn.XLOOKUP("Operating Income (EBIT)",Inputs!$B:$B,Inputs!Q:Q),"")</f>
        <v>-21.43362831858407</v>
      </c>
      <c r="Q9" s="357">
        <f ca="1">IFERROR(_xlfn.XLOOKUP("Enterprise Value",DCF!$B:$B,DCF!R:R)/_xlfn.XLOOKUP("Operating Income (EBIT)",DCF!$B:$B,DCF!H:H),"")</f>
        <v>-0.2611494722571201</v>
      </c>
      <c r="R9" s="357">
        <f ca="1">IFERROR(_xlfn.XLOOKUP("Enterprise Value",DCF!$B:$B,DCF!S:S)/_xlfn.XLOOKUP("Operating Income (EBIT)",DCF!$B:$B,DCF!I:I),"")</f>
        <v>-0.90451114775785657</v>
      </c>
    </row>
    <row r="10" spans="2:19" ht="15.6">
      <c r="B10" s="17" t="s">
        <v>19</v>
      </c>
      <c r="F10" s="15">
        <f ca="1">IFERROR(_xlfn.XLOOKUP("Market Capitalization",Inputs!$B:$B,Inputs!G:G)/_xlfn.XLOOKUP("Net Income",Inputs!$B:$B,Inputs!G:G),"")</f>
        <v>14.252527446109465</v>
      </c>
      <c r="G10" s="15">
        <f ca="1">IFERROR(_xlfn.XLOOKUP("Market Capitalization",Inputs!$B:$B,Inputs!H:H)/_xlfn.XLOOKUP("Net Income",Inputs!$B:$B,Inputs!H:H),"")</f>
        <v>14.124321286529485</v>
      </c>
      <c r="H10" s="15">
        <f ca="1">IFERROR(_xlfn.XLOOKUP("Market Capitalization",Inputs!$B:$B,Inputs!I:I)/_xlfn.XLOOKUP("Net Income",Inputs!$B:$B,Inputs!I:I),"")</f>
        <v>15.554520990312163</v>
      </c>
      <c r="I10" s="15">
        <f ca="1">IFERROR(_xlfn.XLOOKUP("Market Capitalization",Inputs!$B:$B,Inputs!J:J)/_xlfn.XLOOKUP("Net Income",Inputs!$B:$B,Inputs!J:J),"")</f>
        <v>30.736283286118976</v>
      </c>
      <c r="J10" s="15">
        <f ca="1">IFERROR(_xlfn.XLOOKUP("Market Capitalization",Inputs!$B:$B,Inputs!K:K)/_xlfn.XLOOKUP("Net Income",Inputs!$B:$B,Inputs!K:K),"")</f>
        <v>10.498458664855425</v>
      </c>
      <c r="K10" s="15">
        <f ca="1">IFERROR(_xlfn.XLOOKUP("Market Capitalization",Inputs!$B:$B,Inputs!L:L)/_xlfn.XLOOKUP("Net Income",Inputs!$B:$B,Inputs!L:L),"")</f>
        <v>13.002678176184153</v>
      </c>
      <c r="L10" s="15">
        <f ca="1">IFERROR(_xlfn.XLOOKUP("Market Capitalization",Inputs!$B:$B,Inputs!M:M)/_xlfn.XLOOKUP("Net Income",Inputs!$B:$B,Inputs!M:M),"")</f>
        <v>11.458927475898335</v>
      </c>
      <c r="M10" s="15">
        <f ca="1">IFERROR(_xlfn.XLOOKUP("Market Capitalization",Inputs!$B:$B,Inputs!N:N)/_xlfn.XLOOKUP("Net Income",Inputs!$B:$B,Inputs!N:N),"")</f>
        <v>11.365111727287555</v>
      </c>
      <c r="N10" s="15">
        <f ca="1">IFERROR(_xlfn.XLOOKUP("Market Capitalization",Inputs!$B:$B,Inputs!O:O)/_xlfn.XLOOKUP("Net Income",Inputs!$B:$B,Inputs!O:O),"")</f>
        <v>38.412657866571536</v>
      </c>
      <c r="O10" s="15">
        <f ca="1">IFERROR(_xlfn.XLOOKUP("Market Capitalization",Inputs!$B:$B,Inputs!P:P)/_xlfn.XLOOKUP("Net Income",Inputs!$B:$B,Inputs!P:P),"")</f>
        <v>110.98972061149183</v>
      </c>
      <c r="P10" s="350">
        <f ca="1">IFERROR(_xlfn.XLOOKUP("Market Capitalization",Inputs!$B:$B,Inputs!Q:Q)/_xlfn.XLOOKUP("Net Income",Inputs!$B:$B,Inputs!Q:Q),"")</f>
        <v>-6.6081934390882493</v>
      </c>
      <c r="Q10" s="357">
        <f ca="1">IFERROR(_xlfn.XLOOKUP("Equity Value",DCF!$B:$B,DCF!R:R)/_xlfn.XLOOKUP("Net Income",DCF!$B:$B,DCF!H:H),"")</f>
        <v>0</v>
      </c>
      <c r="R10" s="357">
        <f ca="1">IFERROR(_xlfn.XLOOKUP("Equity Value",DCF!$B:$B,DCF!S:S)/_xlfn.XLOOKUP("Net Income",DCF!$B:$B,DCF!I:I),"")</f>
        <v>0</v>
      </c>
    </row>
    <row r="11" spans="2:19" ht="15.6">
      <c r="B11" s="244" t="s">
        <v>21</v>
      </c>
      <c r="F11" s="15">
        <f ca="1">IFERROR(_xlfn.XLOOKUP("Market Capitalization",Inputs!$B:$B,Inputs!G:G)/_xlfn.XLOOKUP("Shareholder's Equity",Inputs!$B:$B,Inputs!G:G),"")</f>
        <v>3.1325587826056327</v>
      </c>
      <c r="G11" s="15">
        <f ca="1">IFERROR(_xlfn.XLOOKUP("Market Capitalization",Inputs!$B:$B,Inputs!H:H)/_xlfn.XLOOKUP("Shareholder's Equity",Inputs!$B:$B,Inputs!H:H),"")</f>
        <v>2.6743373987067205</v>
      </c>
      <c r="H11" s="15">
        <f ca="1">IFERROR(_xlfn.XLOOKUP("Market Capitalization",Inputs!$B:$B,Inputs!I:I)/_xlfn.XLOOKUP("Shareholder's Equity",Inputs!$B:$B,Inputs!I:I),"")</f>
        <v>2.5839214400667578</v>
      </c>
      <c r="I11" s="15">
        <f ca="1">IFERROR(_xlfn.XLOOKUP("Market Capitalization",Inputs!$B:$B,Inputs!J:J)/_xlfn.XLOOKUP("Shareholder's Equity",Inputs!$B:$B,Inputs!J:J),"")</f>
        <v>3.1050749087787075</v>
      </c>
      <c r="J11" s="15">
        <f ca="1">IFERROR(_xlfn.XLOOKUP("Market Capitalization",Inputs!$B:$B,Inputs!K:K)/_xlfn.XLOOKUP("Shareholder's Equity",Inputs!$B:$B,Inputs!K:K),"")</f>
        <v>2.8859490277666642</v>
      </c>
      <c r="K11" s="15">
        <f ca="1">IFERROR(_xlfn.XLOOKUP("Market Capitalization",Inputs!$B:$B,Inputs!L:L)/_xlfn.XLOOKUP("Shareholder's Equity",Inputs!$B:$B,Inputs!L:L),"")</f>
        <v>3.4040800164823137</v>
      </c>
      <c r="L11" s="15">
        <f ca="1">IFERROR(_xlfn.XLOOKUP("Market Capitalization",Inputs!$B:$B,Inputs!M:M)/_xlfn.XLOOKUP("Shareholder's Equity",Inputs!$B:$B,Inputs!M:M),"")</f>
        <v>2.581433154816259</v>
      </c>
      <c r="M11" s="15">
        <f ca="1">IFERROR(_xlfn.XLOOKUP("Market Capitalization",Inputs!$B:$B,Inputs!N:N)/_xlfn.XLOOKUP("Shareholder's Equity",Inputs!$B:$B,Inputs!N:N),"")</f>
        <v>2.1913859798094162</v>
      </c>
      <c r="N11" s="15">
        <f ca="1">IFERROR(_xlfn.XLOOKUP("Market Capitalization",Inputs!$B:$B,Inputs!O:O)/_xlfn.XLOOKUP("Shareholder's Equity",Inputs!$B:$B,Inputs!O:O),"")</f>
        <v>1.0424518327750132</v>
      </c>
      <c r="O11" s="15">
        <f ca="1">IFERROR(_xlfn.XLOOKUP("Market Capitalization",Inputs!$B:$B,Inputs!P:P)/_xlfn.XLOOKUP("Shareholder's Equity",Inputs!$B:$B,Inputs!P:P),"")</f>
        <v>1.9146773973537035</v>
      </c>
      <c r="P11" s="350">
        <f ca="1">IFERROR(_xlfn.XLOOKUP("Market Capitalization",Inputs!$B:$B,Inputs!Q:Q)/_xlfn.XLOOKUP("Shareholder's Equity",Inputs!$B:$B,Inputs!Q:Q),"")</f>
        <v>0.81702719171300175</v>
      </c>
      <c r="Q11" s="357">
        <f ca="1">IFERROR(+_xlfn.XLOOKUP("Equity Value",DCF!$B:$B,DCF!R:R)/(_xlfn.XLOOKUP("Shareholder's Equity",Inputs!$B:$B,Inputs!$Q:$Q)+_xlfn.XLOOKUP("Net Income",DCF!$B:$B,DCF!H:H)+_xlfn.XLOOKUP("Total Payout",DCF!$B:$B,DCF!H:H)),"")</f>
        <v>0</v>
      </c>
      <c r="R11" s="357">
        <f ca="1">IFERROR(+_xlfn.XLOOKUP("Equity Value",DCF!$B:$B,DCF!S:S)/(_xlfn.XLOOKUP("Shareholder's Equity",Inputs!$B:$B,Inputs!$Q:$Q)+_xlfn.XLOOKUP("Net Income",DCF!$B:$B,DCF!I:I)+_xlfn.XLOOKUP("Total Payout",DCF!$B:$B,DCF!I:I)),"")</f>
        <v>0</v>
      </c>
    </row>
    <row r="12" spans="2:19" ht="8.1" customHeight="1">
      <c r="B12" s="245"/>
      <c r="N12" s="246"/>
      <c r="O12" s="246"/>
      <c r="P12" s="353"/>
      <c r="Q12" s="358"/>
      <c r="R12" s="358"/>
    </row>
    <row r="13" spans="2:19" ht="15.6">
      <c r="B13" s="7" t="s">
        <v>233</v>
      </c>
      <c r="C13" s="52"/>
      <c r="D13" s="54"/>
      <c r="E13" s="54"/>
      <c r="F13" s="370">
        <v>2014</v>
      </c>
      <c r="G13" s="370">
        <f t="shared" ref="G13" si="5">+F13+1</f>
        <v>2015</v>
      </c>
      <c r="H13" s="370">
        <f t="shared" ref="H13" si="6">+G13+1</f>
        <v>2016</v>
      </c>
      <c r="I13" s="370">
        <f t="shared" ref="I13" si="7">+H13+1</f>
        <v>2017</v>
      </c>
      <c r="J13" s="370">
        <f t="shared" ref="J13" si="8">+I13+1</f>
        <v>2018</v>
      </c>
      <c r="K13" s="370">
        <f t="shared" ref="K13" si="9">+J13+1</f>
        <v>2019</v>
      </c>
      <c r="L13" s="370">
        <f t="shared" ref="L13" si="10">+K13+1</f>
        <v>2020</v>
      </c>
      <c r="M13" s="370">
        <f t="shared" ref="M13" si="11">+L13+1</f>
        <v>2021</v>
      </c>
      <c r="N13" s="370">
        <v>2022</v>
      </c>
      <c r="O13" s="370">
        <f t="shared" ref="O13" si="12">+N13+1</f>
        <v>2023</v>
      </c>
      <c r="P13" s="371">
        <f>+O13+1</f>
        <v>2024</v>
      </c>
      <c r="Q13" s="369">
        <f>+P13+1</f>
        <v>2025</v>
      </c>
      <c r="R13" s="369">
        <f>+Q13+1</f>
        <v>2026</v>
      </c>
    </row>
    <row r="14" spans="2:19" ht="3.95" customHeight="1">
      <c r="B14" s="243"/>
      <c r="C14" s="49"/>
      <c r="D14" s="56"/>
      <c r="E14" s="56"/>
      <c r="F14" s="56"/>
      <c r="G14" s="56"/>
      <c r="H14" s="56"/>
      <c r="I14" s="56"/>
      <c r="J14" s="56"/>
      <c r="K14" s="56"/>
      <c r="L14" s="56"/>
      <c r="M14" s="56"/>
      <c r="N14" s="217"/>
      <c r="O14" s="217"/>
      <c r="P14" s="352"/>
      <c r="Q14" s="217"/>
      <c r="R14" s="217"/>
    </row>
    <row r="15" spans="2:19" ht="15.6">
      <c r="B15" s="244" t="s">
        <v>31</v>
      </c>
      <c r="F15" s="248">
        <f>+IFERROR(_xlfn.XLOOKUP("Net Income",Inputs!$B:$B,Inputs!G:G)/_xlfn.XLOOKUP("Total Assets",Inputs!$B:$B,Inputs!G:G),"")</f>
        <v>0.13578890097932536</v>
      </c>
      <c r="G15" s="248">
        <f>+IFERROR(_xlfn.XLOOKUP("Net Income",Inputs!$B:$B,Inputs!H:H)/_xlfn.XLOOKUP("Total Assets",Inputs!$B:$B,Inputs!H:H),"")</f>
        <v>0.11222044340949885</v>
      </c>
      <c r="H15" s="248">
        <f>+IFERROR(_xlfn.XLOOKUP("Net Income",Inputs!$B:$B,Inputs!I:I)/_xlfn.XLOOKUP("Total Assets",Inputs!$B:$B,Inputs!I:I),"")</f>
        <v>9.8370203040758164E-2</v>
      </c>
      <c r="I15" s="248">
        <f>+IFERROR(_xlfn.XLOOKUP("Net Income",Inputs!$B:$B,Inputs!J:J)/_xlfn.XLOOKUP("Total Assets",Inputs!$B:$B,Inputs!J:J),"")</f>
        <v>5.7282412027683798E-2</v>
      </c>
      <c r="J15" s="248">
        <f>+IFERROR(_xlfn.XLOOKUP("Net Income",Inputs!$B:$B,Inputs!K:K)/_xlfn.XLOOKUP("Total Assets",Inputs!$B:$B,Inputs!K:K),"")</f>
        <v>0.16107781155490258</v>
      </c>
      <c r="K15" s="248">
        <f>+IFERROR(_xlfn.XLOOKUP("Net Income",Inputs!$B:$B,Inputs!L:L)/_xlfn.XLOOKUP("Total Assets",Inputs!$B:$B,Inputs!L:L),"")</f>
        <v>0.1489188714072251</v>
      </c>
      <c r="L15" s="248">
        <f>+IFERROR(_xlfn.XLOOKUP("Net Income",Inputs!$B:$B,Inputs!M:M)/_xlfn.XLOOKUP("Total Assets",Inputs!$B:$B,Inputs!M:M),"")</f>
        <v>0.11924933536262745</v>
      </c>
      <c r="M15" s="248">
        <f>+IFERROR(_xlfn.XLOOKUP("Net Income",Inputs!$B:$B,Inputs!N:N)/_xlfn.XLOOKUP("Total Assets",Inputs!$B:$B,Inputs!N:N),"")</f>
        <v>0.10921819887652459</v>
      </c>
      <c r="N15" s="248">
        <f>+IFERROR(_xlfn.XLOOKUP("Net Income",Inputs!$B:$B,Inputs!O:O)/_xlfn.XLOOKUP("Total Assets",Inputs!$B:$B,Inputs!O:O),"")</f>
        <v>1.5392387824472963E-2</v>
      </c>
      <c r="O15" s="248">
        <f>+IFERROR(_xlfn.XLOOKUP("Net Income",Inputs!$B:$B,Inputs!P:P)/_xlfn.XLOOKUP("Total Assets",Inputs!$B:$B,Inputs!P:P),"")</f>
        <v>9.9022821706721241E-3</v>
      </c>
      <c r="P15" s="354">
        <f>+IFERROR(_xlfn.XLOOKUP("Net Income",Inputs!$B:$B,Inputs!Q:Q)/_xlfn.XLOOKUP("Total Assets",Inputs!$B:$B,Inputs!Q:Q),"")</f>
        <v>-6.609155915209812E-2</v>
      </c>
      <c r="Q15" s="359">
        <f ca="1">IFERROR(_xlfn.XLOOKUP("Net Income",DCF!$B:$B,DCF!H:H)/_xlfn.XLOOKUP("Total assets",DCF!$6:$6,DCF!10:10),"")</f>
        <v>-5.6875013093713525E-2</v>
      </c>
      <c r="R15" s="359">
        <f ca="1">IFERROR(_xlfn.XLOOKUP("Net Income",DCF!$B:$B,DCF!I:I)/_xlfn.XLOOKUP("Total assets",DCF!$6:$6,DCF!10:10),"")</f>
        <v>-1.4451172432094267E-2</v>
      </c>
      <c r="S15" s="18"/>
    </row>
    <row r="16" spans="2:19" ht="15.6">
      <c r="B16" s="244" t="s">
        <v>33</v>
      </c>
      <c r="F16" s="248">
        <f>IFERROR(_xlfn.XLOOKUP("Net Income",Inputs!$B:$B,Inputs!G:G)/_xlfn.XLOOKUP("Shareholder's Equity",Inputs!$B:$B,Inputs!G:G),"")</f>
        <v>0.21978970357715272</v>
      </c>
      <c r="G16" s="248">
        <f>IFERROR(_xlfn.XLOOKUP("Net Income",Inputs!$B:$B,Inputs!H:H)/_xlfn.XLOOKUP("Shareholder's Equity",Inputs!$B:$B,Inputs!H:H),"")</f>
        <v>0.18934271916182369</v>
      </c>
      <c r="H16" s="248">
        <f>IFERROR(_xlfn.XLOOKUP("Net Income",Inputs!$B:$B,Inputs!I:I)/_xlfn.XLOOKUP("Shareholder's Equity",Inputs!$B:$B,Inputs!I:I),"")</f>
        <v>0.16612028372176194</v>
      </c>
      <c r="I16" s="248">
        <f>IFERROR(_xlfn.XLOOKUP("Net Income",Inputs!$B:$B,Inputs!J:J)/_xlfn.XLOOKUP("Shareholder's Equity",Inputs!$B:$B,Inputs!J:J),"")</f>
        <v>0.10102310939400444</v>
      </c>
      <c r="J16" s="248">
        <f>IFERROR(_xlfn.XLOOKUP("Net Income",Inputs!$B:$B,Inputs!K:K)/_xlfn.XLOOKUP("Shareholder's Equity",Inputs!$B:$B,Inputs!K:K),"")</f>
        <v>0.27489264090048277</v>
      </c>
      <c r="K16" s="248">
        <f>IFERROR(_xlfn.XLOOKUP("Net Income",Inputs!$B:$B,Inputs!L:L)/_xlfn.XLOOKUP("Shareholder's Equity",Inputs!$B:$B,Inputs!L:L),"")</f>
        <v>0.26179837494688318</v>
      </c>
      <c r="L16" s="248">
        <f>IFERROR(_xlfn.XLOOKUP("Net Income",Inputs!$B:$B,Inputs!M:M)/_xlfn.XLOOKUP("Shareholder's Equity",Inputs!$B:$B,Inputs!M:M),"")</f>
        <v>0.22527703052888767</v>
      </c>
      <c r="M16" s="248">
        <f>IFERROR(_xlfn.XLOOKUP("Net Income",Inputs!$B:$B,Inputs!N:N)/_xlfn.XLOOKUP("Shareholder's Equity",Inputs!$B:$B,Inputs!N:N),"")</f>
        <v>0.19281693241500769</v>
      </c>
      <c r="N16" s="248">
        <f>IFERROR(_xlfn.XLOOKUP("Net Income",Inputs!$B:$B,Inputs!O:O)/_xlfn.XLOOKUP("Shareholder's Equity",Inputs!$B:$B,Inputs!O:O),"")</f>
        <v>2.7138237515248919E-2</v>
      </c>
      <c r="O16" s="248">
        <f>IFERROR(_xlfn.XLOOKUP("Net Income",Inputs!$B:$B,Inputs!P:P)/_xlfn.XLOOKUP("Shareholder's Equity",Inputs!$B:$B,Inputs!P:P),"")</f>
        <v>1.7250943482017004E-2</v>
      </c>
      <c r="P16" s="354">
        <f>IFERROR(_xlfn.XLOOKUP("Net Income",Inputs!$B:$B,Inputs!Q:Q)/_xlfn.XLOOKUP("Shareholder's Equity",Inputs!$B:$B,Inputs!Q:Q),"")</f>
        <v>-0.12363851016832965</v>
      </c>
      <c r="Q16" s="359">
        <f ca="1">IFERROR(_xlfn.XLOOKUP("Net Income",DCF!$B:$B,DCF!H:H)/_xlfn.XLOOKUP("Shareholder's Equity",DCF!$6:$6,DCF!10:10),"")</f>
        <v>3.5872929550420331E-15</v>
      </c>
      <c r="R16" s="359">
        <f ca="1">IFERROR(_xlfn.XLOOKUP("Net Income",DCF!$B:$B,DCF!I:I)/_xlfn.XLOOKUP("Shareholder's Equity",DCF!$6:$6,DCF!10:10),"")</f>
        <v>9.1148267469110108E-16</v>
      </c>
      <c r="S16" s="18"/>
    </row>
    <row r="17" spans="2:19" ht="15.6">
      <c r="B17" s="244" t="s">
        <v>35</v>
      </c>
      <c r="F17" s="248">
        <f>IFERROR(_xlfn.XLOOKUP("NOPAT",Inputs!$B:$B,Inputs!G:G)/(_xlfn.XLOOKUP("Shareholder's Equity",Inputs!$B:$B,Inputs!G:G)+_xlfn.XLOOKUP("Total Debt",Inputs!$B:$B,Inputs!G:G,,,-1)),"")</f>
        <v>0.16981788926685026</v>
      </c>
      <c r="G17" s="248">
        <f>IFERROR(_xlfn.XLOOKUP("NOPAT",Inputs!$B:$B,Inputs!H:H)/(_xlfn.XLOOKUP("Shareholder's Equity",Inputs!$B:$B,Inputs!H:H)+_xlfn.XLOOKUP("Total Debt",Inputs!$B:$B,Inputs!H:H,,,-1)),"")</f>
        <v>0.14262017965418716</v>
      </c>
      <c r="H17" s="248">
        <f>IFERROR(_xlfn.XLOOKUP("NOPAT",Inputs!$B:$B,Inputs!I:I)/(_xlfn.XLOOKUP("Shareholder's Equity",Inputs!$B:$B,Inputs!I:I)+_xlfn.XLOOKUP("Total Debt",Inputs!$B:$B,Inputs!I:I,,,-1)),"")</f>
        <v>0.13816243862851729</v>
      </c>
      <c r="I17" s="248">
        <f>IFERROR(_xlfn.XLOOKUP("NOPAT",Inputs!$B:$B,Inputs!J:J)/(_xlfn.XLOOKUP("Shareholder's Equity",Inputs!$B:$B,Inputs!J:J)+_xlfn.XLOOKUP("Total Debt",Inputs!$B:$B,Inputs!J:J,,,-1)),"")</f>
        <v>7.5804695770438177E-2</v>
      </c>
      <c r="J17" s="248">
        <f>IFERROR(_xlfn.XLOOKUP("NOPAT",Inputs!$B:$B,Inputs!K:K)/(_xlfn.XLOOKUP("Shareholder's Equity",Inputs!$B:$B,Inputs!K:K)+_xlfn.XLOOKUP("Total Debt",Inputs!$B:$B,Inputs!K:K,,,-1)),"")</f>
        <v>0.20822807364079735</v>
      </c>
      <c r="K17" s="248">
        <f>IFERROR(_xlfn.XLOOKUP("NOPAT",Inputs!$B:$B,Inputs!L:L)/(_xlfn.XLOOKUP("Shareholder's Equity",Inputs!$B:$B,Inputs!L:L)+_xlfn.XLOOKUP("Total Debt",Inputs!$B:$B,Inputs!L:L,,,-1)),"")</f>
        <v>0.19376878906487885</v>
      </c>
      <c r="L17" s="248">
        <f>IFERROR(_xlfn.XLOOKUP("NOPAT",Inputs!$B:$B,Inputs!M:M)/(_xlfn.XLOOKUP("Shareholder's Equity",Inputs!$B:$B,Inputs!M:M)+_xlfn.XLOOKUP("Total Debt",Inputs!$B:$B,Inputs!M:M,,,-1)),"")</f>
        <v>0.16166460990427631</v>
      </c>
      <c r="M17" s="248">
        <f>IFERROR(_xlfn.XLOOKUP("NOPAT",Inputs!$B:$B,Inputs!N:N)/(_xlfn.XLOOKUP("Shareholder's Equity",Inputs!$B:$B,Inputs!N:N)+_xlfn.XLOOKUP("Total Debt",Inputs!$B:$B,Inputs!N:N,,,-1)),"")</f>
        <v>0.14557570815202364</v>
      </c>
      <c r="N17" s="248">
        <f>IFERROR(_xlfn.XLOOKUP("NOPAT",Inputs!$B:$B,Inputs!O:O)/(_xlfn.XLOOKUP("Shareholder's Equity",Inputs!$B:$B,Inputs!O:O)+_xlfn.XLOOKUP("Total Debt",Inputs!$B:$B,Inputs!O:O,,,-1)),"")</f>
        <v>1.0376588222823665E-2</v>
      </c>
      <c r="O17" s="248">
        <f>IFERROR(_xlfn.XLOOKUP("NOPAT",Inputs!$B:$B,Inputs!P:P)/(_xlfn.XLOOKUP("Shareholder's Equity",Inputs!$B:$B,Inputs!P:P)+_xlfn.XLOOKUP("Total Debt",Inputs!$B:$B,Inputs!P:P,,,-1)),"")</f>
        <v>-1.494510875186147E-3</v>
      </c>
      <c r="P17" s="354">
        <f>IFERROR(_xlfn.XLOOKUP("NOPAT",Inputs!$B:$B,Inputs!Q:Q)/(_xlfn.XLOOKUP("Shareholder's Equity",Inputs!$B:$B,Inputs!Q:Q)+_xlfn.XLOOKUP("Total Debt",Inputs!$B:$B,Inputs!Q:Q,,,-1)),"")</f>
        <v>-9.3509002474253172E-2</v>
      </c>
      <c r="Q17" s="359">
        <f ca="1">+IFERROR(_xlfn.XLOOKUP("NOPAT",DCF!$B:$B,DCF!H:H)/(_xlfn.XLOOKUP("Shareholder's Equity",DCF!$6:$6,DCF!10:10)+_xlfn.XLOOKUP("Total Borrowings",DCF!$B:$B,DCF!H:H)+_xlfn.XLOOKUP("Total Leases",DCF!$B:$B,DCF!H:H)),"")</f>
        <v>2.1696912779099467E-15</v>
      </c>
      <c r="R17" s="359">
        <f ca="1">+IFERROR(_xlfn.XLOOKUP("NOPAT",DCF!$B:$B,DCF!I:I)/(_xlfn.XLOOKUP("Shareholder's Equity",DCF!$6:$6,DCF!10:10)+_xlfn.XLOOKUP("Total Borrowings",DCF!$B:$B,DCF!I:I)+_xlfn.XLOOKUP("Total Leases",DCF!$B:$B,DCF!I:I)),"")</f>
        <v>6.267402484123742E-16</v>
      </c>
      <c r="S17" s="122"/>
    </row>
    <row r="18" spans="2:19" ht="15.6">
      <c r="B18" s="247" t="s">
        <v>37</v>
      </c>
      <c r="F18" s="248">
        <f>+IFERROR(_xlfn.XLOOKUP("EBITDA",Inputs!$B:$B,Inputs!G:G)/_xlfn.XLOOKUP("Revenue (Sales)",Inputs!$B:$B,Inputs!G:G),"")</f>
        <v>0.43298729192768926</v>
      </c>
      <c r="G18" s="248">
        <f>+IFERROR(_xlfn.XLOOKUP("EBITDA",Inputs!$B:$B,Inputs!H:H)/_xlfn.XLOOKUP("Revenue (Sales)",Inputs!$B:$B,Inputs!H:H),"")</f>
        <v>0.41692710685574924</v>
      </c>
      <c r="H18" s="248">
        <f>+IFERROR(_xlfn.XLOOKUP("EBITDA",Inputs!$B:$B,Inputs!I:I)/_xlfn.XLOOKUP("Revenue (Sales)",Inputs!$B:$B,Inputs!I:I),"")</f>
        <v>0.38336673009244449</v>
      </c>
      <c r="I18" s="248">
        <f>+IFERROR(_xlfn.XLOOKUP("EBITDA",Inputs!$B:$B,Inputs!J:J)/_xlfn.XLOOKUP("Revenue (Sales)",Inputs!$B:$B,Inputs!J:J),"")</f>
        <v>0.41887477892321667</v>
      </c>
      <c r="J18" s="248">
        <f>+IFERROR(_xlfn.XLOOKUP("EBITDA",Inputs!$B:$B,Inputs!K:K)/_xlfn.XLOOKUP("Revenue (Sales)",Inputs!$B:$B,Inputs!K:K),"")</f>
        <v>0.45631492773261068</v>
      </c>
      <c r="K18" s="248">
        <f>+IFERROR(_xlfn.XLOOKUP("EBITDA",Inputs!$B:$B,Inputs!L:L)/_xlfn.XLOOKUP("Revenue (Sales)",Inputs!$B:$B,Inputs!L:L),"")</f>
        <v>0.49854210231791007</v>
      </c>
      <c r="L18" s="248">
        <f>+IFERROR(_xlfn.XLOOKUP("EBITDA",Inputs!$B:$B,Inputs!M:M)/_xlfn.XLOOKUP("Revenue (Sales)",Inputs!$B:$B,Inputs!M:M),"")</f>
        <v>0.4825514403292181</v>
      </c>
      <c r="M18" s="248">
        <f>+IFERROR(_xlfn.XLOOKUP("EBITDA",Inputs!$B:$B,Inputs!N:N)/_xlfn.XLOOKUP("Revenue (Sales)",Inputs!$B:$B,Inputs!N:N),"")</f>
        <v>0.43503573436119808</v>
      </c>
      <c r="N18" s="248">
        <f>+IFERROR(_xlfn.XLOOKUP("EBITDA",Inputs!$B:$B,Inputs!O:O)/_xlfn.XLOOKUP("Revenue (Sales)",Inputs!$B:$B,Inputs!O:O),"")</f>
        <v>0.22851841278903798</v>
      </c>
      <c r="O18" s="248">
        <f>+IFERROR(_xlfn.XLOOKUP("EBITDA",Inputs!$B:$B,Inputs!P:P)/_xlfn.XLOOKUP("Revenue (Sales)",Inputs!$B:$B,Inputs!P:P),"")</f>
        <v>0.17481743748616951</v>
      </c>
      <c r="P18" s="354">
        <f>+IFERROR(_xlfn.XLOOKUP("EBITDA",Inputs!$B:$B,Inputs!Q:Q)/_xlfn.XLOOKUP("Revenue (Sales)",Inputs!$B:$B,Inputs!Q:Q),"")</f>
        <v>0.11214478070092843</v>
      </c>
      <c r="Q18" s="359">
        <f ca="1">+_xlfn.XLOOKUP("EBITDA Margin",DCF!$B:$B,DCF!H:H)</f>
        <v>-0.11520184805057031</v>
      </c>
      <c r="R18" s="359">
        <f ca="1">+_xlfn.XLOOKUP("EBITDA Margin",DCF!$B:$B,DCF!I:I)</f>
        <v>-3.1842804243574226E-2</v>
      </c>
      <c r="S18" s="27"/>
    </row>
    <row r="19" spans="2:19" ht="15.6">
      <c r="B19" s="17" t="s">
        <v>26</v>
      </c>
      <c r="F19" s="248">
        <f>IFERROR(_xlfn.XLOOKUP("Operating Income (EBIT)",Inputs!$B:$B,Inputs!G:G)/_xlfn.XLOOKUP("Revenue (Sales)",Inputs!$B:$B,Inputs!G:G),"")</f>
        <v>0.27997136209056739</v>
      </c>
      <c r="G19" s="248">
        <f>IFERROR(_xlfn.XLOOKUP("Operating Income (EBIT)",Inputs!$B:$B,Inputs!H:H)/_xlfn.XLOOKUP("Revenue (Sales)",Inputs!$B:$B,Inputs!H:H),"")</f>
        <v>0.25956101526510705</v>
      </c>
      <c r="H19" s="248">
        <f>IFERROR(_xlfn.XLOOKUP("Operating Income (EBIT)",Inputs!$B:$B,Inputs!I:I)/_xlfn.XLOOKUP("Revenue (Sales)",Inputs!$B:$B,Inputs!I:I),"")</f>
        <v>0.25219324094498796</v>
      </c>
      <c r="I19" s="248">
        <f>IFERROR(_xlfn.XLOOKUP("Operating Income (EBIT)",Inputs!$B:$B,Inputs!J:J)/_xlfn.XLOOKUP("Revenue (Sales)",Inputs!$B:$B,Inputs!J:J),"")</f>
        <v>0.28935166743678398</v>
      </c>
      <c r="J19" s="248">
        <f>IFERROR(_xlfn.XLOOKUP("Operating Income (EBIT)",Inputs!$B:$B,Inputs!K:K)/_xlfn.XLOOKUP("Revenue (Sales)",Inputs!$B:$B,Inputs!K:K),"")</f>
        <v>0.32808265582655827</v>
      </c>
      <c r="K19" s="248">
        <f>IFERROR(_xlfn.XLOOKUP("Operating Income (EBIT)",Inputs!$B:$B,Inputs!L:L)/_xlfn.XLOOKUP("Revenue (Sales)",Inputs!$B:$B,Inputs!L:L),"")</f>
        <v>0.33911583659764971</v>
      </c>
      <c r="L19" s="248">
        <f>IFERROR(_xlfn.XLOOKUP("Operating Income (EBIT)",Inputs!$B:$B,Inputs!M:M)/_xlfn.XLOOKUP("Revenue (Sales)",Inputs!$B:$B,Inputs!M:M),"")</f>
        <v>0.31466392318244168</v>
      </c>
      <c r="M19" s="248">
        <f>IFERROR(_xlfn.XLOOKUP("Operating Income (EBIT)",Inputs!$B:$B,Inputs!N:N)/_xlfn.XLOOKUP("Revenue (Sales)",Inputs!$B:$B,Inputs!N:N),"")</f>
        <v>0.27721566423084132</v>
      </c>
      <c r="N19" s="248">
        <f>IFERROR(_xlfn.XLOOKUP("Operating Income (EBIT)",Inputs!$B:$B,Inputs!O:O)/_xlfn.XLOOKUP("Revenue (Sales)",Inputs!$B:$B,Inputs!O:O),"")</f>
        <v>2.1790845941573888E-2</v>
      </c>
      <c r="O19" s="248">
        <f>IFERROR(_xlfn.XLOOKUP("Operating Income (EBIT)",Inputs!$B:$B,Inputs!P:P)/_xlfn.XLOOKUP("Revenue (Sales)",Inputs!$B:$B,Inputs!P:P),"")</f>
        <v>-2.249760271446485E-3</v>
      </c>
      <c r="P19" s="354">
        <f>IFERROR(_xlfn.XLOOKUP("Operating Income (EBIT)",Inputs!$B:$B,Inputs!Q:Q)/_xlfn.XLOOKUP("Revenue (Sales)",Inputs!$B:$B,Inputs!Q:Q),"")</f>
        <v>-0.10214496902129903</v>
      </c>
      <c r="Q19" s="359">
        <f ca="1">+_xlfn.XLOOKUP("Operating Margin",DCF!$B:$B,DCF!H:H)</f>
        <v>-0.11520184805057031</v>
      </c>
      <c r="R19" s="359">
        <f ca="1">+_xlfn.XLOOKUP("Operating Margin",DCF!$B:$B,DCF!I:I)</f>
        <v>-3.1842804243574226E-2</v>
      </c>
      <c r="S19" s="17"/>
    </row>
    <row r="20" spans="2:19" ht="15.6">
      <c r="B20" s="17" t="s">
        <v>620</v>
      </c>
      <c r="F20" s="248">
        <f>IFERROR(_xlfn.XLOOKUP("Pre-Tax Income (EBT)",Inputs!$B:$B,Inputs!G:G)/_xlfn.XLOOKUP("Revenue (Sales)",Inputs!$B:$B,Inputs!G:G),"")</f>
        <v>0.29668874172185433</v>
      </c>
      <c r="G20" s="248">
        <f>IFERROR(_xlfn.XLOOKUP("Pre-Tax Income (EBT)",Inputs!$B:$B,Inputs!H:H)/_xlfn.XLOOKUP("Revenue (Sales)",Inputs!$B:$B,Inputs!H:H),"")</f>
        <v>0.25938036311083007</v>
      </c>
      <c r="H20" s="248">
        <f>IFERROR(_xlfn.XLOOKUP("Pre-Tax Income (EBT)",Inputs!$B:$B,Inputs!I:I)/_xlfn.XLOOKUP("Revenue (Sales)",Inputs!$B:$B,Inputs!I:I),"")</f>
        <v>0.23183525013891929</v>
      </c>
      <c r="I20" s="248">
        <f>IFERROR(_xlfn.XLOOKUP("Pre-Tax Income (EBT)",Inputs!$B:$B,Inputs!J:J)/_xlfn.XLOOKUP("Revenue (Sales)",Inputs!$B:$B,Inputs!J:J),"")</f>
        <v>0.28379088924650658</v>
      </c>
      <c r="J20" s="248">
        <f>IFERROR(_xlfn.XLOOKUP("Pre-Tax Income (EBT)",Inputs!$B:$B,Inputs!K:K)/_xlfn.XLOOKUP("Revenue (Sales)",Inputs!$B:$B,Inputs!K:K),"")</f>
        <v>0.32288843721770549</v>
      </c>
      <c r="K20" s="248">
        <f>IFERROR(_xlfn.XLOOKUP("Pre-Tax Income (EBT)",Inputs!$B:$B,Inputs!L:L)/_xlfn.XLOOKUP("Revenue (Sales)",Inputs!$B:$B,Inputs!L:L),"")</f>
        <v>0.34372514947132804</v>
      </c>
      <c r="L20" s="248">
        <f>IFERROR(_xlfn.XLOOKUP("Pre-Tax Income (EBT)",Inputs!$B:$B,Inputs!M:M)/_xlfn.XLOOKUP("Revenue (Sales)",Inputs!$B:$B,Inputs!M:M),"")</f>
        <v>0.30775034293552811</v>
      </c>
      <c r="M20" s="248">
        <f>IFERROR(_xlfn.XLOOKUP("Pre-Tax Income (EBT)",Inputs!$B:$B,Inputs!N:N)/_xlfn.XLOOKUP("Revenue (Sales)",Inputs!$B:$B,Inputs!N:N),"")</f>
        <v>0.27072459112931291</v>
      </c>
      <c r="N20" s="248">
        <f>IFERROR(_xlfn.XLOOKUP("Pre-Tax Income (EBT)",Inputs!$B:$B,Inputs!O:O)/_xlfn.XLOOKUP("Revenue (Sales)",Inputs!$B:$B,Inputs!O:O),"")</f>
        <v>4.0504963999111875E-2</v>
      </c>
      <c r="O20" s="248">
        <f>IFERROR(_xlfn.XLOOKUP("Pre-Tax Income (EBT)",Inputs!$B:$B,Inputs!P:P)/_xlfn.XLOOKUP("Revenue (Sales)",Inputs!$B:$B,Inputs!P:P),"")</f>
        <v>1.8145607435273291E-2</v>
      </c>
      <c r="P20" s="354">
        <f>IFERROR(_xlfn.XLOOKUP("Pre-Tax Income (EBT)",Inputs!$B:$B,Inputs!Q:Q)/_xlfn.XLOOKUP("Revenue (Sales)",Inputs!$B:$B,Inputs!Q:Q),"")</f>
        <v>-9.3463399935971067E-2</v>
      </c>
      <c r="Q20" s="359">
        <f ca="1">IFERROR(_xlfn.XLOOKUP("Pre-Tax Income (EBT)",DCF!$B:$B,DCF!H:H)/_xlfn.XLOOKUP("Revenue (Sales)",DCF!$B:$B,DCF!H:H),"")</f>
        <v>-8.902010176502903E-2</v>
      </c>
      <c r="R20" s="359">
        <f ca="1">IFERROR(_xlfn.XLOOKUP("Pre-Tax Income (EBT)",DCF!$B:$B,DCF!I:I)/_xlfn.XLOOKUP("Revenue (Sales)",DCF!$B:$B,DCF!I:I),"")</f>
        <v>-9.9554026284171416E-3</v>
      </c>
      <c r="S20" s="17"/>
    </row>
    <row r="21" spans="2:19" ht="15.6">
      <c r="B21" s="17" t="s">
        <v>39</v>
      </c>
      <c r="F21" s="248">
        <f>IFERROR(_xlfn.XLOOKUP("Gross Profit",Inputs!$B:$B,Inputs!G:G)/_xlfn.XLOOKUP("Revenue (Sales)",Inputs!$B:$B,Inputs!G:G),"")</f>
        <v>0.6373545731161625</v>
      </c>
      <c r="G21" s="248">
        <f>IFERROR(_xlfn.XLOOKUP("Gross Profit",Inputs!$B:$B,Inputs!H:H)/_xlfn.XLOOKUP("Revenue (Sales)",Inputs!$B:$B,Inputs!H:H),"")</f>
        <v>0.62648360581699936</v>
      </c>
      <c r="H21" s="248">
        <f>IFERROR(_xlfn.XLOOKUP("Gross Profit",Inputs!$B:$B,Inputs!I:I)/_xlfn.XLOOKUP("Revenue (Sales)",Inputs!$B:$B,Inputs!I:I),"")</f>
        <v>0.6101166922053648</v>
      </c>
      <c r="I21" s="248">
        <f>IFERROR(_xlfn.XLOOKUP("Gross Profit",Inputs!$B:$B,Inputs!J:J)/_xlfn.XLOOKUP("Revenue (Sales)",Inputs!$B:$B,Inputs!J:J),"")</f>
        <v>0.62296649192970155</v>
      </c>
      <c r="J21" s="248">
        <f>IFERROR(_xlfn.XLOOKUP("Gross Profit",Inputs!$B:$B,Inputs!K:K)/_xlfn.XLOOKUP("Revenue (Sales)",Inputs!$B:$B,Inputs!K:K),"")</f>
        <v>0.61733570460704612</v>
      </c>
      <c r="K21" s="248">
        <f>IFERROR(_xlfn.XLOOKUP("Gross Profit",Inputs!$B:$B,Inputs!L:L)/_xlfn.XLOOKUP("Revenue (Sales)",Inputs!$B:$B,Inputs!L:L),"")</f>
        <v>0.5607899154713869</v>
      </c>
      <c r="L21" s="248">
        <f>IFERROR(_xlfn.XLOOKUP("Gross Profit",Inputs!$B:$B,Inputs!M:M)/_xlfn.XLOOKUP("Revenue (Sales)",Inputs!$B:$B,Inputs!M:M),"")</f>
        <v>0.5773388203017833</v>
      </c>
      <c r="M21" s="248">
        <f>IFERROR(_xlfn.XLOOKUP("Gross Profit",Inputs!$B:$B,Inputs!N:N)/_xlfn.XLOOKUP("Revenue (Sales)",Inputs!$B:$B,Inputs!N:N),"")</f>
        <v>0.55970448887818192</v>
      </c>
      <c r="N21" s="248">
        <f>IFERROR(_xlfn.XLOOKUP("Gross Profit",Inputs!$B:$B,Inputs!O:O)/_xlfn.XLOOKUP("Revenue (Sales)",Inputs!$B:$B,Inputs!O:O),"")</f>
        <v>0.42607923367272499</v>
      </c>
      <c r="O21" s="248">
        <f>IFERROR(_xlfn.XLOOKUP("Gross Profit",Inputs!$B:$B,Inputs!P:P)/_xlfn.XLOOKUP("Revenue (Sales)",Inputs!$B:$B,Inputs!P:P),"")</f>
        <v>0.40036512502766097</v>
      </c>
      <c r="P21" s="354">
        <f>IFERROR(_xlfn.XLOOKUP("Gross Profit",Inputs!$B:$B,Inputs!Q:Q)/_xlfn.XLOOKUP("Revenue (Sales)",Inputs!$B:$B,Inputs!Q:Q),"")</f>
        <v>0.32664168283083184</v>
      </c>
      <c r="Q21" s="359">
        <f ca="1">+_xlfn.XLOOKUP("Gross Profit Margin",DCF!$B:$B,DCF!H:H)</f>
        <v>0.35</v>
      </c>
      <c r="R21" s="359">
        <f ca="1">+_xlfn.XLOOKUP("Gross Profit Margin",DCF!$B:$B,DCF!I:I)</f>
        <v>0.38</v>
      </c>
      <c r="S21" s="17"/>
    </row>
    <row r="22" spans="2:19" ht="15.6">
      <c r="B22" s="17" t="s">
        <v>41</v>
      </c>
      <c r="F22" s="248">
        <f>IFERROR(+_xlfn.XLOOKUP("SG&amp;A (Selling, General &amp; Administrative)",Inputs!$B:$B,Inputs!G:G)/_xlfn.XLOOKUP("Revenue (Sales)",Inputs!$B:$B,Inputs!G:G),"")</f>
        <v>0.14562376946482908</v>
      </c>
      <c r="G22" s="248">
        <f>IFERROR(+_xlfn.XLOOKUP("SG&amp;A (Selling, General &amp; Administrative)",Inputs!$B:$B,Inputs!H:H)/_xlfn.XLOOKUP("Revenue (Sales)",Inputs!$B:$B,Inputs!H:H),"")</f>
        <v>0.14325715834161323</v>
      </c>
      <c r="H22" s="248">
        <f>IFERROR(+_xlfn.XLOOKUP("SG&amp;A (Selling, General &amp; Administrative)",Inputs!$B:$B,Inputs!I:I)/_xlfn.XLOOKUP("Revenue (Sales)",Inputs!$B:$B,Inputs!I:I),"")</f>
        <v>0.14105780726421607</v>
      </c>
      <c r="I22" s="248">
        <f>IFERROR(+_xlfn.XLOOKUP("SG&amp;A (Selling, General &amp; Administrative)",Inputs!$B:$B,Inputs!J:J)/_xlfn.XLOOKUP("Revenue (Sales)",Inputs!$B:$B,Inputs!J:J),"")</f>
        <v>0.11873615780500629</v>
      </c>
      <c r="J22" s="248">
        <f>IFERROR(+_xlfn.XLOOKUP("SG&amp;A (Selling, General &amp; Administrative)",Inputs!$B:$B,Inputs!K:K)/_xlfn.XLOOKUP("Revenue (Sales)",Inputs!$B:$B,Inputs!K:K),"")</f>
        <v>9.809733514001806E-2</v>
      </c>
      <c r="K22" s="248">
        <f>IFERROR(+_xlfn.XLOOKUP("SG&amp;A (Selling, General &amp; Administrative)",Inputs!$B:$B,Inputs!L:L)/_xlfn.XLOOKUP("Revenue (Sales)",Inputs!$B:$B,Inputs!L:L),"")</f>
        <v>9.3511619002739077E-2</v>
      </c>
      <c r="L22" s="248">
        <f>IFERROR(+_xlfn.XLOOKUP("SG&amp;A (Selling, General &amp; Administrative)",Inputs!$B:$B,Inputs!M:M)/_xlfn.XLOOKUP("Revenue (Sales)",Inputs!$B:$B,Inputs!M:M),"")</f>
        <v>8.4773662551440324E-2</v>
      </c>
      <c r="M22" s="248">
        <f>IFERROR(+_xlfn.XLOOKUP("SG&amp;A (Selling, General &amp; Administrative)",Inputs!$B:$B,Inputs!N:N)/_xlfn.XLOOKUP("Revenue (Sales)",Inputs!$B:$B,Inputs!N:N),"")</f>
        <v>8.7569260419176106E-2</v>
      </c>
      <c r="N22" s="248">
        <f>IFERROR(+_xlfn.XLOOKUP("SG&amp;A (Selling, General &amp; Administrative)",Inputs!$B:$B,Inputs!O:O)/_xlfn.XLOOKUP("Revenue (Sales)",Inputs!$B:$B,Inputs!O:O),"")</f>
        <v>0.11104767342278048</v>
      </c>
      <c r="O22" s="248">
        <f>IFERROR(+_xlfn.XLOOKUP("SG&amp;A (Selling, General &amp; Administrative)",Inputs!$B:$B,Inputs!P:P)/_xlfn.XLOOKUP("Revenue (Sales)",Inputs!$B:$B,Inputs!P:P),"")</f>
        <v>0.10389466696171719</v>
      </c>
      <c r="P22" s="354">
        <f>IFERROR(+_xlfn.XLOOKUP("SG&amp;A (Selling, General &amp; Administrative)",Inputs!$B:$B,Inputs!Q:Q)/_xlfn.XLOOKUP("Revenue (Sales)",Inputs!$B:$B,Inputs!Q:Q),"")</f>
        <v>0.10370802809739929</v>
      </c>
      <c r="Q22" s="359">
        <f ca="1">+_xlfn.XLOOKUP("SG&amp;A Margin",DCF!$B:$B,DCF!H:H)</f>
        <v>0.10621678949396567</v>
      </c>
      <c r="R22" s="359">
        <f ca="1">+_xlfn.XLOOKUP("SG&amp;A Margin",DCF!$B:$B,DCF!I:I)</f>
        <v>0.1046064948510274</v>
      </c>
    </row>
    <row r="23" spans="2:19" ht="15.6">
      <c r="B23" s="17" t="s">
        <v>43</v>
      </c>
      <c r="F23" s="248">
        <f>IFERROR(_xlfn.XLOOKUP("Net Income",Inputs!$B:$B,Inputs!G:G)/_xlfn.XLOOKUP("Revenue (Sales)",Inputs!$B:$B,Inputs!G:G),"")</f>
        <v>0.22335779488097368</v>
      </c>
      <c r="G23" s="248">
        <f>IFERROR(_xlfn.XLOOKUP("Net Income",Inputs!$B:$B,Inputs!H:H)/_xlfn.XLOOKUP("Revenue (Sales)",Inputs!$B:$B,Inputs!H:H),"")</f>
        <v>0.20894228163670853</v>
      </c>
      <c r="H23" s="248">
        <f>IFERROR(_xlfn.XLOOKUP("Net Income",Inputs!$B:$B,Inputs!I:I)/_xlfn.XLOOKUP("Revenue (Sales)",Inputs!$B:$B,Inputs!I:I),"")</f>
        <v>0.18771785070806743</v>
      </c>
      <c r="I23" s="248">
        <f>IFERROR(_xlfn.XLOOKUP("Net Income",Inputs!$B:$B,Inputs!J:J)/_xlfn.XLOOKUP("Revenue (Sales)",Inputs!$B:$B,Inputs!J:J),"")</f>
        <v>0.11249024075460876</v>
      </c>
      <c r="J23" s="248">
        <f>IFERROR(_xlfn.XLOOKUP("Net Income",Inputs!$B:$B,Inputs!K:K)/_xlfn.XLOOKUP("Revenue (Sales)",Inputs!$B:$B,Inputs!K:K),"")</f>
        <v>0.29093270099367663</v>
      </c>
      <c r="K23" s="248">
        <f>IFERROR(_xlfn.XLOOKUP("Net Income",Inputs!$B:$B,Inputs!L:L)/_xlfn.XLOOKUP("Revenue (Sales)",Inputs!$B:$B,Inputs!L:L),"")</f>
        <v>0.29939916944010836</v>
      </c>
      <c r="L23" s="248">
        <f>IFERROR(_xlfn.XLOOKUP("Net Income",Inputs!$B:$B,Inputs!M:M)/_xlfn.XLOOKUP("Revenue (Sales)",Inputs!$B:$B,Inputs!M:M),"")</f>
        <v>0.25042524005486966</v>
      </c>
      <c r="M23" s="248">
        <f>IFERROR(_xlfn.XLOOKUP("Net Income",Inputs!$B:$B,Inputs!N:N)/_xlfn.XLOOKUP("Revenue (Sales)",Inputs!$B:$B,Inputs!N:N),"")</f>
        <v>0.24616558259054044</v>
      </c>
      <c r="N23" s="248">
        <f>IFERROR(_xlfn.XLOOKUP("Net Income",Inputs!$B:$B,Inputs!O:O)/_xlfn.XLOOKUP("Revenue (Sales)",Inputs!$B:$B,Inputs!O:O),"")</f>
        <v>4.4453960097694041E-2</v>
      </c>
      <c r="O23" s="248">
        <f>IFERROR(_xlfn.XLOOKUP("Net Income",Inputs!$B:$B,Inputs!P:P)/_xlfn.XLOOKUP("Revenue (Sales)",Inputs!$B:$B,Inputs!P:P),"")</f>
        <v>3.498192815519658E-2</v>
      </c>
      <c r="P23" s="354">
        <f>IFERROR(_xlfn.XLOOKUP("Net Income",Inputs!$B:$B,Inputs!Q:Q)/_xlfn.XLOOKUP("Revenue (Sales)",Inputs!$B:$B,Inputs!Q:Q),"")</f>
        <v>-0.2445528332799759</v>
      </c>
      <c r="Q23" s="359">
        <f ca="1">+_xlfn.XLOOKUP("Net Income Margin",DCF!$B:$B,DCF!H:H)</f>
        <v>-0.19047077440332214</v>
      </c>
      <c r="R23" s="359">
        <f ca="1">+_xlfn.XLOOKUP("Net Income Margin",DCF!$B:$B,DCF!I:I)</f>
        <v>-4.6309718348424497E-2</v>
      </c>
    </row>
    <row r="24" spans="2:19" ht="8.1" customHeight="1">
      <c r="N24" s="249"/>
      <c r="O24" s="249"/>
      <c r="P24" s="355"/>
      <c r="Q24" s="360"/>
      <c r="R24" s="360"/>
    </row>
    <row r="25" spans="2:19" ht="15.6">
      <c r="B25" s="7" t="s">
        <v>244</v>
      </c>
      <c r="C25" s="52"/>
      <c r="D25" s="54"/>
      <c r="E25" s="54"/>
      <c r="F25" s="370">
        <v>2014</v>
      </c>
      <c r="G25" s="370">
        <f t="shared" ref="G25" si="13">+F25+1</f>
        <v>2015</v>
      </c>
      <c r="H25" s="370">
        <f t="shared" ref="H25" si="14">+G25+1</f>
        <v>2016</v>
      </c>
      <c r="I25" s="370">
        <f t="shared" ref="I25" si="15">+H25+1</f>
        <v>2017</v>
      </c>
      <c r="J25" s="370">
        <f t="shared" ref="J25" si="16">+I25+1</f>
        <v>2018</v>
      </c>
      <c r="K25" s="370">
        <f t="shared" ref="K25" si="17">+J25+1</f>
        <v>2019</v>
      </c>
      <c r="L25" s="370">
        <f t="shared" ref="L25" si="18">+K25+1</f>
        <v>2020</v>
      </c>
      <c r="M25" s="370">
        <f t="shared" ref="M25" si="19">+L25+1</f>
        <v>2021</v>
      </c>
      <c r="N25" s="370">
        <v>2022</v>
      </c>
      <c r="O25" s="370">
        <f t="shared" ref="O25" si="20">+N25+1</f>
        <v>2023</v>
      </c>
      <c r="P25" s="371">
        <f>+O25+1</f>
        <v>2024</v>
      </c>
      <c r="Q25" s="369">
        <f>+P25+1</f>
        <v>2025</v>
      </c>
      <c r="R25" s="369">
        <f>+Q25+1</f>
        <v>2026</v>
      </c>
    </row>
    <row r="26" spans="2:19" ht="3.95" customHeight="1">
      <c r="B26" s="243"/>
      <c r="C26" s="49"/>
      <c r="D26" s="56"/>
      <c r="E26" s="56"/>
      <c r="F26" s="56"/>
      <c r="G26" s="56"/>
      <c r="H26" s="56"/>
      <c r="I26" s="56"/>
      <c r="J26" s="56"/>
      <c r="K26" s="56"/>
      <c r="L26" s="56"/>
      <c r="M26" s="56"/>
      <c r="N26" s="217"/>
      <c r="O26" s="217"/>
      <c r="P26" s="352"/>
      <c r="Q26" s="217"/>
      <c r="R26" s="217"/>
    </row>
    <row r="27" spans="2:19" ht="15" customHeight="1">
      <c r="B27" s="29" t="s">
        <v>51</v>
      </c>
      <c r="C27" s="122"/>
      <c r="D27" s="238"/>
      <c r="F27" s="15">
        <f>+IFERROR(_xlfn.XLOOKUP("Cash &amp; Cash Equivalents",Inputs!$B:$B,Inputs!G:G)/_xlfn.XLOOKUP("Current Liabilities",Inputs!$B:$B,Inputs!G:G),"")</f>
        <v>0.15995253263381426</v>
      </c>
      <c r="G27" s="15">
        <f>+IFERROR(_xlfn.XLOOKUP("Cash &amp; Cash Equivalents",Inputs!$B:$B,Inputs!H:H)/_xlfn.XLOOKUP("Current Liabilities",Inputs!$B:$B,Inputs!H:H),"")</f>
        <v>0.97708559392353356</v>
      </c>
      <c r="H27" s="15">
        <f>+IFERROR(_xlfn.XLOOKUP("Cash &amp; Cash Equivalents",Inputs!$B:$B,Inputs!I:I)/_xlfn.XLOOKUP("Current Liabilities",Inputs!$B:$B,Inputs!I:I),"")</f>
        <v>0.27386464387745052</v>
      </c>
      <c r="I27" s="15">
        <f>+IFERROR(_xlfn.XLOOKUP("Cash &amp; Cash Equivalents",Inputs!$B:$B,Inputs!J:J)/_xlfn.XLOOKUP("Current Liabilities",Inputs!$B:$B,Inputs!J:J),"")</f>
        <v>0.19706101831123357</v>
      </c>
      <c r="J27" s="15">
        <f>+IFERROR(_xlfn.XLOOKUP("Cash &amp; Cash Equivalents",Inputs!$B:$B,Inputs!K:K)/_xlfn.XLOOKUP("Current Liabilities",Inputs!$B:$B,Inputs!K:K),"")</f>
        <v>0.18158306267292193</v>
      </c>
      <c r="K27" s="15">
        <f>+IFERROR(_xlfn.XLOOKUP("Cash &amp; Cash Equivalents",Inputs!$B:$B,Inputs!L:L)/_xlfn.XLOOKUP("Current Liabilities",Inputs!$B:$B,Inputs!L:L),"")</f>
        <v>0.18798744957418198</v>
      </c>
      <c r="L27" s="15">
        <f>+IFERROR(_xlfn.XLOOKUP("Cash &amp; Cash Equivalents",Inputs!$B:$B,Inputs!M:M)/_xlfn.XLOOKUP("Current Liabilities",Inputs!$B:$B,Inputs!M:M),"")</f>
        <v>0.23693140502545043</v>
      </c>
      <c r="M27" s="15">
        <f>+IFERROR(_xlfn.XLOOKUP("Cash &amp; Cash Equivalents",Inputs!$B:$B,Inputs!N:N)/_xlfn.XLOOKUP("Current Liabilities",Inputs!$B:$B,Inputs!N:N),"")</f>
        <v>0.17577015512344329</v>
      </c>
      <c r="N27" s="15">
        <f>+IFERROR(_xlfn.XLOOKUP("Cash &amp; Cash Equivalents",Inputs!$B:$B,Inputs!O:O)/_xlfn.XLOOKUP("Current Liabilities",Inputs!$B:$B,Inputs!O:O),"")</f>
        <v>0.3465712952884466</v>
      </c>
      <c r="O27" s="15">
        <f>+IFERROR(_xlfn.XLOOKUP("Cash &amp; Cash Equivalents",Inputs!$B:$B,Inputs!P:P)/_xlfn.XLOOKUP("Current Liabilities",Inputs!$B:$B,Inputs!P:P),"")</f>
        <v>0.25234377784907142</v>
      </c>
      <c r="P27" s="350">
        <f>+IFERROR(_xlfn.XLOOKUP("Cash &amp; Cash Equivalents",Inputs!$B:$B,Inputs!Q:Q)/_xlfn.XLOOKUP("Current Liabilities",Inputs!$B:$B,Inputs!Q:Q),"")</f>
        <v>0.23128469691022263</v>
      </c>
      <c r="Q27" s="357">
        <f ca="1">+IFERROR((_xlfn.XLOOKUP("Cash &amp; Cash Equivalents &amp; ST Investments",DCF!$B:$B,DCF!H:H)-_xlfn.XLOOKUP("Short-Term Investments",Inputs!$B:$B,Inputs!$Q:$Q))/_xlfn.XLOOKUP("Current Liabilities",DCF!$6:$6,DCF!10:10),"")</f>
        <v>1.0419216161137068</v>
      </c>
      <c r="R27" s="357">
        <f ca="1">+IFERROR((_xlfn.XLOOKUP("Cash &amp; Cash Equivalents &amp; ST Investments",DCF!$B:$B,DCF!I:I)-_xlfn.XLOOKUP("Short-Term Investments",Inputs!$B:$B,Inputs!$Q:$Q))/_xlfn.XLOOKUP("Current Liabilities",DCF!$6:$6,DCF!10:10),"")</f>
        <v>1.6221182704938022</v>
      </c>
    </row>
    <row r="28" spans="2:19" ht="15.6">
      <c r="B28" s="17" t="s">
        <v>54</v>
      </c>
      <c r="F28" s="15">
        <f>IFERROR((_xlfn.XLOOKUP("Cash &amp; Cash Equivalents &amp; ST Investments",Inputs!$B:$B,Inputs!G:G)+_xlfn.XLOOKUP("Accounts Receivable",Inputs!$B:$B,Inputs!G:G))/_xlfn.XLOOKUP("Current Liabilities",Inputs!$B:$B,Inputs!G:G),"")</f>
        <v>1.1542689401036788</v>
      </c>
      <c r="G28" s="15">
        <f>IFERROR((_xlfn.XLOOKUP("Cash &amp; Cash Equivalents &amp; ST Investments",Inputs!$B:$B,Inputs!H:H)+_xlfn.XLOOKUP("Accounts Receivable",Inputs!$B:$B,Inputs!H:H))/_xlfn.XLOOKUP("Current Liabilities",Inputs!$B:$B,Inputs!H:H),"")</f>
        <v>1.9212357183889703</v>
      </c>
      <c r="H28" s="15">
        <f>IFERROR((_xlfn.XLOOKUP("Cash &amp; Cash Equivalents &amp; ST Investments",Inputs!$B:$B,Inputs!I:I)+_xlfn.XLOOKUP("Accounts Receivable",Inputs!$B:$B,Inputs!I:I))/_xlfn.XLOOKUP("Current Liabilities",Inputs!$B:$B,Inputs!I:I),"")</f>
        <v>1.0732440153679441</v>
      </c>
      <c r="I28" s="15">
        <f>IFERROR((_xlfn.XLOOKUP("Cash &amp; Cash Equivalents &amp; ST Investments",Inputs!$B:$B,Inputs!J:J)+_xlfn.XLOOKUP("Accounts Receivable",Inputs!$B:$B,Inputs!J:J))/_xlfn.XLOOKUP("Current Liabilities",Inputs!$B:$B,Inputs!J:J),"")</f>
        <v>1.1255955456058779</v>
      </c>
      <c r="J28" s="15">
        <f>IFERROR((_xlfn.XLOOKUP("Cash &amp; Cash Equivalents &amp; ST Investments",Inputs!$B:$B,Inputs!K:K)+_xlfn.XLOOKUP("Accounts Receivable",Inputs!$B:$B,Inputs!K:K))/_xlfn.XLOOKUP("Current Liabilities",Inputs!$B:$B,Inputs!K:K),"")</f>
        <v>1.1050162396246843</v>
      </c>
      <c r="K28" s="15">
        <f>IFERROR((_xlfn.XLOOKUP("Cash &amp; Cash Equivalents &amp; ST Investments",Inputs!$B:$B,Inputs!L:L)+_xlfn.XLOOKUP("Accounts Receivable",Inputs!$B:$B,Inputs!L:L))/_xlfn.XLOOKUP("Current Liabilities",Inputs!$B:$B,Inputs!L:L),"")</f>
        <v>0.93151053339309731</v>
      </c>
      <c r="L28" s="15">
        <f>IFERROR((_xlfn.XLOOKUP("Cash &amp; Cash Equivalents &amp; ST Investments",Inputs!$B:$B,Inputs!M:M)+_xlfn.XLOOKUP("Accounts Receivable",Inputs!$B:$B,Inputs!M:M))/_xlfn.XLOOKUP("Current Liabilities",Inputs!$B:$B,Inputs!M:M),"")</f>
        <v>1.2392744606932213</v>
      </c>
      <c r="M28" s="15">
        <f>IFERROR((_xlfn.XLOOKUP("Cash &amp; Cash Equivalents &amp; ST Investments",Inputs!$B:$B,Inputs!N:N)+_xlfn.XLOOKUP("Accounts Receivable",Inputs!$B:$B,Inputs!N:N))/_xlfn.XLOOKUP("Current Liabilities",Inputs!$B:$B,Inputs!N:N),"")</f>
        <v>1.3789964314325249</v>
      </c>
      <c r="N28" s="15">
        <f>IFERROR((_xlfn.XLOOKUP("Cash &amp; Cash Equivalents &amp; ST Investments",Inputs!$B:$B,Inputs!O:O)+_xlfn.XLOOKUP("Accounts Receivable",Inputs!$B:$B,Inputs!O:O))/_xlfn.XLOOKUP("Current Liabilities",Inputs!$B:$B,Inputs!O:O),"")</f>
        <v>1.0098273985383299</v>
      </c>
      <c r="O28" s="15">
        <f>IFERROR((_xlfn.XLOOKUP("Cash &amp; Cash Equivalents &amp; ST Investments",Inputs!$B:$B,Inputs!P:P)+_xlfn.XLOOKUP("Accounts Receivable",Inputs!$B:$B,Inputs!P:P))/_xlfn.XLOOKUP("Current Liabilities",Inputs!$B:$B,Inputs!P:P),"")</f>
        <v>1.0136527287634121</v>
      </c>
      <c r="P28" s="350">
        <f>IFERROR((_xlfn.XLOOKUP("Cash &amp; Cash Equivalents &amp; ST Investments",Inputs!$B:$B,Inputs!Q:Q)+_xlfn.XLOOKUP("Accounts Receivable",Inputs!$B:$B,Inputs!Q:Q))/_xlfn.XLOOKUP("Current Liabilities",Inputs!$B:$B,Inputs!Q:Q),"")</f>
        <v>0.71608815118039593</v>
      </c>
      <c r="Q28" s="357">
        <f ca="1">+IFERROR((_xlfn.XLOOKUP("Cash &amp; Cash Equivalents &amp; ST Investments",DCF!$B:$B,DCF!H:H)+_xlfn.XLOOKUP("Accounts Receivable",DCF!$B:$B,DCF!H:H))/_xlfn.XLOOKUP("Current Liabilities",DCF!$6:$6,DCF!10:10),"")</f>
        <v>1.4841003996880737</v>
      </c>
      <c r="R28" s="357">
        <f ca="1">+IFERROR((_xlfn.XLOOKUP("Cash &amp; Cash Equivalents &amp; ST Investments",DCF!$B:$B,DCF!I:I)+_xlfn.XLOOKUP("Accounts Receivable",DCF!$B:$B,DCF!I:I))/_xlfn.XLOOKUP("Current Liabilities",DCF!$6:$6,DCF!10:10),"")</f>
        <v>2.0674538740234989</v>
      </c>
    </row>
    <row r="29" spans="2:19" ht="15.6">
      <c r="B29" s="17" t="s">
        <v>56</v>
      </c>
      <c r="F29" s="15">
        <f>IFERROR(_xlfn.XLOOKUP("Current Assets",Inputs!$B:$B,Inputs!G:G)/+_xlfn.XLOOKUP("Current Liabilities",Inputs!$B:$B,Inputs!G:G),"")</f>
        <v>1.7319342951720691</v>
      </c>
      <c r="G29" s="15">
        <f>IFERROR(_xlfn.XLOOKUP("Current Assets",Inputs!$B:$B,Inputs!H:H)/+_xlfn.XLOOKUP("Current Liabilities",Inputs!$B:$B,Inputs!H:H),"")</f>
        <v>2.5758600880832323</v>
      </c>
      <c r="H29" s="15">
        <f>IFERROR(_xlfn.XLOOKUP("Current Assets",Inputs!$B:$B,Inputs!I:I)/+_xlfn.XLOOKUP("Current Liabilities",Inputs!$B:$B,Inputs!I:I),"")</f>
        <v>1.7489902472662793</v>
      </c>
      <c r="I29" s="15">
        <f>IFERROR(_xlfn.XLOOKUP("Current Assets",Inputs!$B:$B,Inputs!J:J)/+_xlfn.XLOOKUP("Current Liabilities",Inputs!$B:$B,Inputs!J:J),"")</f>
        <v>1.6933585902072212</v>
      </c>
      <c r="J29" s="15">
        <f>IFERROR(_xlfn.XLOOKUP("Current Assets",Inputs!$B:$B,Inputs!K:K)/+_xlfn.XLOOKUP("Current Liabilities",Inputs!$B:$B,Inputs!K:K),"")</f>
        <v>1.7314447251293155</v>
      </c>
      <c r="K29" s="15">
        <f>IFERROR(_xlfn.XLOOKUP("Current Assets",Inputs!$B:$B,Inputs!L:L)/+_xlfn.XLOOKUP("Current Liabilities",Inputs!$B:$B,Inputs!L:L),"")</f>
        <v>1.4002241147467502</v>
      </c>
      <c r="L29" s="15">
        <f>IFERROR(_xlfn.XLOOKUP("Current Assets",Inputs!$B:$B,Inputs!M:M)/+_xlfn.XLOOKUP("Current Liabilities",Inputs!$B:$B,Inputs!M:M),"")</f>
        <v>1.9087420214914761</v>
      </c>
      <c r="M29" s="15">
        <f>IFERROR(_xlfn.XLOOKUP("Current Assets",Inputs!$B:$B,Inputs!N:N)/+_xlfn.XLOOKUP("Current Liabilities",Inputs!$B:$B,Inputs!N:N),"")</f>
        <v>2.1017405869929355</v>
      </c>
      <c r="N29" s="15">
        <f>IFERROR(_xlfn.XLOOKUP("Current Assets",Inputs!$B:$B,Inputs!O:O)/+_xlfn.XLOOKUP("Current Liabilities",Inputs!$B:$B,Inputs!O:O),"")</f>
        <v>1.5676255636759446</v>
      </c>
      <c r="O29" s="15">
        <f>IFERROR(_xlfn.XLOOKUP("Current Assets",Inputs!$B:$B,Inputs!P:P)/+_xlfn.XLOOKUP("Current Liabilities",Inputs!$B:$B,Inputs!P:P),"")</f>
        <v>1.5424018821516416</v>
      </c>
      <c r="P29" s="350">
        <f>IFERROR(_xlfn.XLOOKUP("Current Assets",Inputs!$B:$B,Inputs!Q:Q)/+_xlfn.XLOOKUP("Current Liabilities",Inputs!$B:$B,Inputs!Q:Q),"")</f>
        <v>1.3268659227275277</v>
      </c>
      <c r="Q29" s="357">
        <f ca="1">+IFERROR(_xlfn.XLOOKUP("Current Assets",DCF!$6:$6,DCF!10:10)/_xlfn.XLOOKUP("Current Liabilities",DCF!$6:$6,DCF!10:10),"")</f>
        <v>2.0178624795170736</v>
      </c>
      <c r="R29" s="357">
        <f ca="1">+IFERROR(_xlfn.XLOOKUP("Current Assets",DCF!$6:$6,DCF!10:10)/_xlfn.XLOOKUP("Current Liabilities",DCF!$6:$6,DCF!10:10),"")</f>
        <v>2.0178624795170736</v>
      </c>
    </row>
    <row r="30" spans="2:19" ht="8.1" customHeight="1">
      <c r="N30" s="15"/>
      <c r="O30" s="15"/>
      <c r="P30" s="350"/>
      <c r="Q30" s="357"/>
      <c r="R30" s="357"/>
    </row>
    <row r="31" spans="2:19" ht="15.6">
      <c r="B31" s="7" t="s">
        <v>621</v>
      </c>
      <c r="C31" s="52"/>
      <c r="D31" s="54"/>
      <c r="E31" s="54"/>
      <c r="F31" s="370">
        <v>2014</v>
      </c>
      <c r="G31" s="370">
        <f t="shared" ref="G31" si="21">+F31+1</f>
        <v>2015</v>
      </c>
      <c r="H31" s="370">
        <f t="shared" ref="H31" si="22">+G31+1</f>
        <v>2016</v>
      </c>
      <c r="I31" s="370">
        <f t="shared" ref="I31" si="23">+H31+1</f>
        <v>2017</v>
      </c>
      <c r="J31" s="370">
        <f t="shared" ref="J31" si="24">+I31+1</f>
        <v>2018</v>
      </c>
      <c r="K31" s="370">
        <f t="shared" ref="K31" si="25">+J31+1</f>
        <v>2019</v>
      </c>
      <c r="L31" s="370">
        <f t="shared" ref="L31" si="26">+K31+1</f>
        <v>2020</v>
      </c>
      <c r="M31" s="370">
        <f t="shared" ref="M31" si="27">+L31+1</f>
        <v>2021</v>
      </c>
      <c r="N31" s="370">
        <v>2022</v>
      </c>
      <c r="O31" s="370">
        <f t="shared" ref="O31" si="28">+N31+1</f>
        <v>2023</v>
      </c>
      <c r="P31" s="371">
        <f>+O31+1</f>
        <v>2024</v>
      </c>
      <c r="Q31" s="369">
        <f>+P31+1</f>
        <v>2025</v>
      </c>
      <c r="R31" s="369">
        <f>+Q31+1</f>
        <v>2026</v>
      </c>
    </row>
    <row r="32" spans="2:19" ht="3.95" customHeight="1">
      <c r="B32" s="243"/>
      <c r="C32" s="49"/>
      <c r="D32" s="56"/>
      <c r="E32" s="56"/>
      <c r="F32" s="56"/>
      <c r="G32" s="56"/>
      <c r="H32" s="56"/>
      <c r="I32" s="56"/>
      <c r="J32" s="56"/>
      <c r="K32" s="56"/>
      <c r="L32" s="56"/>
      <c r="M32" s="56"/>
      <c r="N32" s="217"/>
      <c r="O32" s="217"/>
      <c r="P32" s="352"/>
      <c r="Q32" s="217"/>
      <c r="R32" s="217"/>
    </row>
    <row r="33" spans="2:18" ht="15.6">
      <c r="B33" s="17" t="s">
        <v>622</v>
      </c>
      <c r="F33" s="250">
        <f>+_xlfn.XLOOKUP("DSO",Inputs!$B:$B,Inputs!G:G)</f>
        <v>28.921693216395205</v>
      </c>
      <c r="G33" s="250">
        <f>+_xlfn.XLOOKUP("DSO",Inputs!$B:$B,Inputs!H:H)</f>
        <v>31.564537982115436</v>
      </c>
      <c r="H33" s="250">
        <f>+_xlfn.XLOOKUP("DSO",Inputs!$B:$B,Inputs!I:I)</f>
        <v>28.825332143398384</v>
      </c>
      <c r="I33" s="250">
        <f>+_xlfn.XLOOKUP("DSO",Inputs!$B:$B,Inputs!J:J)</f>
        <v>32.608706043562087</v>
      </c>
      <c r="J33" s="250">
        <f>+_xlfn.XLOOKUP("DSO",Inputs!$B:$B,Inputs!K:K)</f>
        <v>34.630899954832877</v>
      </c>
      <c r="K33" s="250">
        <f>+_xlfn.XLOOKUP("DSO",Inputs!$B:$B,Inputs!L:L)</f>
        <v>41.167717138397194</v>
      </c>
      <c r="L33" s="250">
        <f>+_xlfn.XLOOKUP("DSO",Inputs!$B:$B,Inputs!M:M)</f>
        <v>33.956515775034291</v>
      </c>
      <c r="M33" s="250">
        <f>+_xlfn.XLOOKUP("DSO",Inputs!$B:$B,Inputs!N:N)</f>
        <v>46.197770282930485</v>
      </c>
      <c r="N33" s="250">
        <f>+_xlfn.XLOOKUP("DSO",Inputs!$B:$B,Inputs!O:O)</f>
        <v>23.924651885685286</v>
      </c>
      <c r="O33" s="250">
        <f>+_xlfn.XLOOKUP("DSO",Inputs!$B:$B,Inputs!P:P)</f>
        <v>22.898318211993807</v>
      </c>
      <c r="P33" s="356">
        <f>+_xlfn.XLOOKUP("DSO",Inputs!$B:$B,Inputs!Q:Q)</f>
        <v>23.906706088397584</v>
      </c>
      <c r="Q33" s="361">
        <f ca="1">+_xlfn.XLOOKUP("DSO",DCF!$B:$B,DCF!H:H)</f>
        <v>23.972203913297303</v>
      </c>
      <c r="R33" s="361">
        <f ca="1">+_xlfn.XLOOKUP("DSO",DCF!$B:$B,DCF!I:I)</f>
        <v>23.614242012862803</v>
      </c>
    </row>
    <row r="34" spans="2:18" ht="15.6">
      <c r="B34" s="244" t="s">
        <v>623</v>
      </c>
      <c r="F34" s="250">
        <f>+_xlfn.XLOOKUP("DPO",Inputs!$B:$B,Inputs!G:G)</f>
        <v>17.952747449436192</v>
      </c>
      <c r="G34" s="250">
        <f>+_xlfn.XLOOKUP("DPO",Inputs!$B:$B,Inputs!H:H)</f>
        <v>13.603016890976425</v>
      </c>
      <c r="H34" s="250">
        <f>+_xlfn.XLOOKUP("DPO",Inputs!$B:$B,Inputs!I:I)</f>
        <v>15.211662485055653</v>
      </c>
      <c r="I34" s="250">
        <f>+_xlfn.XLOOKUP("DPO",Inputs!$B:$B,Inputs!J:J)</f>
        <v>17.028409362502192</v>
      </c>
      <c r="J34" s="250">
        <f>+_xlfn.XLOOKUP("DPO",Inputs!$B:$B,Inputs!K:K)</f>
        <v>19.700767841011743</v>
      </c>
      <c r="K34" s="250">
        <f>+_xlfn.XLOOKUP("DPO",Inputs!$B:$B,Inputs!L:L)</f>
        <v>22.188319147056223</v>
      </c>
      <c r="L34" s="250">
        <f>+_xlfn.XLOOKUP("DPO",Inputs!$B:$B,Inputs!M:M)</f>
        <v>27.943278463648834</v>
      </c>
      <c r="M34" s="250">
        <f>+_xlfn.XLOOKUP("DPO",Inputs!$B:$B,Inputs!N:N)</f>
        <v>28.074292673786772</v>
      </c>
      <c r="N34" s="250">
        <f>+_xlfn.XLOOKUP("DPO",Inputs!$B:$B,Inputs!O:O)</f>
        <v>55.542471532337359</v>
      </c>
      <c r="O34" s="250">
        <f>+_xlfn.XLOOKUP("DPO",Inputs!$B:$B,Inputs!P:P)</f>
        <v>57.737146861400021</v>
      </c>
      <c r="P34" s="356">
        <f>+_xlfn.XLOOKUP("DPO",Inputs!$B:$B,Inputs!Q:Q)</f>
        <v>86.306095930396793</v>
      </c>
      <c r="Q34" s="361">
        <f ca="1">+_xlfn.XLOOKUP("DPO",DCF!$B:$B,DCF!H:H)</f>
        <v>128.52377223403064</v>
      </c>
      <c r="R34" s="361">
        <f ca="1">+_xlfn.XLOOKUP("DPO",DCF!$B:$B,DCF!I:I)</f>
        <v>117.77823911049552</v>
      </c>
    </row>
    <row r="35" spans="2:18" ht="15.6">
      <c r="B35" s="244" t="s">
        <v>624</v>
      </c>
      <c r="F35" s="250">
        <f>+_xlfn.XLOOKUP("DIH",Inputs!$B:$B,Inputs!G:G)</f>
        <v>76.977691130743793</v>
      </c>
      <c r="G35" s="250">
        <f>+_xlfn.XLOOKUP("DIH",Inputs!$B:$B,Inputs!H:H)</f>
        <v>91.214693364287086</v>
      </c>
      <c r="H35" s="250">
        <f>+_xlfn.XLOOKUP("DIH",Inputs!$B:$B,Inputs!I:I)</f>
        <v>87.537574501166105</v>
      </c>
      <c r="I35" s="250">
        <f>+_xlfn.XLOOKUP("DIH",Inputs!$B:$B,Inputs!J:J)</f>
        <v>107.71225119384694</v>
      </c>
      <c r="J35" s="250">
        <f>+_xlfn.XLOOKUP("DIH",Inputs!$B:$B,Inputs!K:K)</f>
        <v>97.648371509719297</v>
      </c>
      <c r="K35" s="250">
        <f>+_xlfn.XLOOKUP("DIH",Inputs!$B:$B,Inputs!L:L)</f>
        <v>107.00955574182731</v>
      </c>
      <c r="L35" s="250">
        <f>+_xlfn.XLOOKUP("DIH",Inputs!$B:$B,Inputs!M:M)</f>
        <v>99.826528625210955</v>
      </c>
      <c r="M35" s="250">
        <f>+_xlfn.XLOOKUP("DIH",Inputs!$B:$B,Inputs!N:N)</f>
        <v>119.55863578333029</v>
      </c>
      <c r="N35" s="250">
        <f>+_xlfn.XLOOKUP("DIH",Inputs!$B:$B,Inputs!O:O)</f>
        <v>133.38012600862163</v>
      </c>
      <c r="O35" s="250">
        <f>+_xlfn.XLOOKUP("DIH",Inputs!$B:$B,Inputs!P:P)</f>
        <v>124.89943721745549</v>
      </c>
      <c r="P35" s="356">
        <f>+_xlfn.XLOOKUP("DIH",Inputs!$B:$B,Inputs!Q:Q)</f>
        <v>124.51812283253162</v>
      </c>
      <c r="Q35" s="361">
        <f ca="1">+_xlfn.XLOOKUP("DIH",DCF!$B:$B,DCF!H:H)</f>
        <v>124.51812283253162</v>
      </c>
      <c r="R35" s="361">
        <f ca="1">+_xlfn.XLOOKUP("DIH",DCF!$B:$B,DCF!I:I)</f>
        <v>124.64522762750624</v>
      </c>
    </row>
    <row r="36" spans="2:18" ht="15.6">
      <c r="B36" s="244" t="s">
        <v>65</v>
      </c>
      <c r="F36" s="250">
        <f>IFERROR(F35+F33-F34,"")</f>
        <v>87.946636897702817</v>
      </c>
      <c r="G36" s="250">
        <f t="shared" ref="G36:P36" si="29">IFERROR(G35+G33-G34,"")</f>
        <v>109.17621445542611</v>
      </c>
      <c r="H36" s="250">
        <f t="shared" si="29"/>
        <v>101.15124415950883</v>
      </c>
      <c r="I36" s="250">
        <f t="shared" si="29"/>
        <v>123.29254787490684</v>
      </c>
      <c r="J36" s="250">
        <f t="shared" si="29"/>
        <v>112.57850362354044</v>
      </c>
      <c r="K36" s="250">
        <f t="shared" si="29"/>
        <v>125.98895373316829</v>
      </c>
      <c r="L36" s="250">
        <f t="shared" si="29"/>
        <v>105.83976593659641</v>
      </c>
      <c r="M36" s="250">
        <f t="shared" si="29"/>
        <v>137.68211339247401</v>
      </c>
      <c r="N36" s="250">
        <f t="shared" si="29"/>
        <v>101.76230636196955</v>
      </c>
      <c r="O36" s="250">
        <f t="shared" si="29"/>
        <v>90.060608568049275</v>
      </c>
      <c r="P36" s="356">
        <f t="shared" si="29"/>
        <v>62.118732990532408</v>
      </c>
      <c r="Q36" s="361">
        <f ca="1">IFERROR(Q35+Q33-Q34,"")</f>
        <v>19.966554511798279</v>
      </c>
      <c r="R36" s="361">
        <f t="shared" ref="R36" ca="1" si="30">IFERROR(R35+R33-R34,"")</f>
        <v>30.481230529873528</v>
      </c>
    </row>
    <row r="37" spans="2:18" ht="8.1" customHeight="1">
      <c r="N37" s="246"/>
      <c r="O37" s="246"/>
      <c r="P37" s="353"/>
      <c r="Q37" s="358"/>
      <c r="R37" s="358"/>
    </row>
    <row r="38" spans="2:18" ht="15.6">
      <c r="B38" s="7" t="s">
        <v>625</v>
      </c>
      <c r="C38" s="52"/>
      <c r="D38" s="54"/>
      <c r="E38" s="54"/>
      <c r="F38" s="370">
        <v>2014</v>
      </c>
      <c r="G38" s="370">
        <f t="shared" ref="G38" si="31">+F38+1</f>
        <v>2015</v>
      </c>
      <c r="H38" s="370">
        <f t="shared" ref="H38" si="32">+G38+1</f>
        <v>2016</v>
      </c>
      <c r="I38" s="370">
        <f t="shared" ref="I38" si="33">+H38+1</f>
        <v>2017</v>
      </c>
      <c r="J38" s="370">
        <f t="shared" ref="J38" si="34">+I38+1</f>
        <v>2018</v>
      </c>
      <c r="K38" s="370">
        <f t="shared" ref="K38" si="35">+J38+1</f>
        <v>2019</v>
      </c>
      <c r="L38" s="370">
        <f t="shared" ref="L38" si="36">+K38+1</f>
        <v>2020</v>
      </c>
      <c r="M38" s="370">
        <f t="shared" ref="M38" si="37">+L38+1</f>
        <v>2021</v>
      </c>
      <c r="N38" s="370">
        <v>2022</v>
      </c>
      <c r="O38" s="370">
        <f t="shared" ref="O38" si="38">+N38+1</f>
        <v>2023</v>
      </c>
      <c r="P38" s="371">
        <f>+O38+1</f>
        <v>2024</v>
      </c>
      <c r="Q38" s="369">
        <f>+P38+1</f>
        <v>2025</v>
      </c>
      <c r="R38" s="369">
        <f>+Q38+1</f>
        <v>2026</v>
      </c>
    </row>
    <row r="39" spans="2:18" ht="3.95" customHeight="1">
      <c r="B39" s="243"/>
      <c r="C39" s="49"/>
      <c r="D39" s="56"/>
      <c r="E39" s="56"/>
      <c r="F39" s="56"/>
      <c r="G39" s="56"/>
      <c r="H39" s="56"/>
      <c r="I39" s="56"/>
      <c r="J39" s="56"/>
      <c r="K39" s="56"/>
      <c r="L39" s="56"/>
      <c r="M39" s="56"/>
      <c r="N39" s="217"/>
      <c r="O39" s="217"/>
      <c r="P39" s="352"/>
      <c r="Q39" s="217"/>
      <c r="R39" s="217"/>
    </row>
    <row r="40" spans="2:18" ht="15.6">
      <c r="B40" s="17" t="s">
        <v>76</v>
      </c>
      <c r="F40" s="15">
        <f>+IFERROR(_xlfn.XLOOKUP("Total Debt",Inputs!$B:$B,Inputs!G:G)*1000/+_xlfn.XLOOKUP("Shareholder's Equity",Inputs!$B:$B,Inputs!G:G),"")</f>
        <v>221.33962696162178</v>
      </c>
      <c r="G40" s="15">
        <f>+IFERROR(_xlfn.XLOOKUP("Total Debt",Inputs!$B:$B,Inputs!H:H)*1000/+_xlfn.XLOOKUP("Shareholder's Equity",Inputs!$B:$B,Inputs!H:H),"")</f>
        <v>328.52582467054106</v>
      </c>
      <c r="H40" s="15">
        <f>+IFERROR(_xlfn.XLOOKUP("Total Debt",Inputs!$B:$B,Inputs!I:I)*1000/+_xlfn.XLOOKUP("Shareholder's Equity",Inputs!$B:$B,Inputs!I:I),"")</f>
        <v>307.93646063062528</v>
      </c>
      <c r="I40" s="15">
        <f>+IFERROR(_xlfn.XLOOKUP("Total Debt",Inputs!$B:$B,Inputs!J:J)*1000/+_xlfn.XLOOKUP("Shareholder's Equity",Inputs!$B:$B,Inputs!J:J),"")</f>
        <v>358.78943979394722</v>
      </c>
      <c r="J40" s="15">
        <f>+IFERROR(_xlfn.XLOOKUP("Total Debt",Inputs!$B:$B,Inputs!K:K)*1000/+_xlfn.XLOOKUP("Shareholder's Equity",Inputs!$B:$B,Inputs!K:K),"")</f>
        <v>341.38859993065</v>
      </c>
      <c r="K40" s="15">
        <f>+IFERROR(_xlfn.XLOOKUP("Total Debt",Inputs!$B:$B,Inputs!L:L)*1000/+_xlfn.XLOOKUP("Shareholder's Equity",Inputs!$B:$B,Inputs!L:L),"")</f>
        <v>332.96849045184717</v>
      </c>
      <c r="L40" s="15">
        <f>+IFERROR(_xlfn.XLOOKUP("Total Debt",Inputs!$B:$B,Inputs!M:M)*1000/+_xlfn.XLOOKUP("Shareholder's Equity",Inputs!$B:$B,Inputs!M:M),"")</f>
        <v>424.78837088773167</v>
      </c>
      <c r="M40" s="15">
        <f>+IFERROR(_xlfn.XLOOKUP("Total Debt",Inputs!$B:$B,Inputs!N:N)*1000/+_xlfn.XLOOKUP("Shareholder's Equity",Inputs!$B:$B,Inputs!N:N),"")</f>
        <v>356.27050769988784</v>
      </c>
      <c r="N40" s="15">
        <f>+IFERROR(_xlfn.XLOOKUP("Total Debt",Inputs!$B:$B,Inputs!O:O)*1000/+_xlfn.XLOOKUP("Shareholder's Equity",Inputs!$B:$B,Inputs!O:O),"")</f>
        <v>406.99610789458399</v>
      </c>
      <c r="O40" s="15">
        <f>+IFERROR(_xlfn.XLOOKUP("Total Debt",Inputs!$B:$B,Inputs!P:P)*1000/+_xlfn.XLOOKUP("Shareholder's Equity",Inputs!$B:$B,Inputs!P:P),"")</f>
        <v>431.12808620924841</v>
      </c>
      <c r="P40" s="350">
        <f>+IFERROR(_xlfn.XLOOKUP("Total Debt",Inputs!$B:$B,Inputs!Q:Q)*1000/+_xlfn.XLOOKUP("Shareholder's Equity",Inputs!$B:$B,Inputs!Q:Q),"")</f>
        <v>445.02627770584201</v>
      </c>
      <c r="Q40" s="357">
        <f ca="1">IFERROR((_xlfn.XLOOKUP("Total Borrowings",DCF!$B:$B,DCF!G:G)+_xlfn.XLOOKUP("Total Leases",DCF!$B:$B,DCF!G:G))/_xlfn.XLOOKUP("Shareholder's Equity",DCF!$6:$6,DCF!10:10),"")</f>
        <v>-1.30788439851294E-14</v>
      </c>
      <c r="R40" s="357">
        <f ca="1">IFERROR((_xlfn.XLOOKUP("Total Borrowings",DCF!$B:$B,DCF!H:H)+_xlfn.XLOOKUP("Total Leases",DCF!$B:$B,DCF!H:H))/_xlfn.XLOOKUP("Shareholder's Equity",DCF!$6:$6,DCF!10:10),"")</f>
        <v>-1.8149291080703726E-14</v>
      </c>
    </row>
    <row r="41" spans="2:18" ht="15.6">
      <c r="B41" s="244" t="s">
        <v>78</v>
      </c>
      <c r="F41" s="15">
        <f>+IFERROR(_xlfn.XLOOKUP("Total Debt",Inputs!$B:$B,Inputs!G:G)*1000/(+_xlfn.XLOOKUP("Shareholder's Equity",Inputs!$B:$B,Inputs!G:G)+_xlfn.XLOOKUP("Total Debt",Inputs!$B:$B,Inputs!G:G)*1000),"")</f>
        <v>0.99550237619058068</v>
      </c>
      <c r="G41" s="15">
        <f>+IFERROR(_xlfn.XLOOKUP("Total Debt",Inputs!$B:$B,Inputs!H:H)*1000/(+_xlfn.XLOOKUP("Shareholder's Equity",Inputs!$B:$B,Inputs!H:H)+_xlfn.XLOOKUP("Total Debt",Inputs!$B:$B,Inputs!H:H)*1000),"")</f>
        <v>0.996965336477043</v>
      </c>
      <c r="H41" s="15">
        <f>+IFERROR(_xlfn.XLOOKUP("Total Debt",Inputs!$B:$B,Inputs!I:I)*1000/(+_xlfn.XLOOKUP("Shareholder's Equity",Inputs!$B:$B,Inputs!I:I)+_xlfn.XLOOKUP("Total Debt",Inputs!$B:$B,Inputs!I:I)*1000),"")</f>
        <v>0.99676308844233297</v>
      </c>
      <c r="I41" s="15">
        <f>+IFERROR(_xlfn.XLOOKUP("Total Debt",Inputs!$B:$B,Inputs!J:J)*1000/(+_xlfn.XLOOKUP("Shareholder's Equity",Inputs!$B:$B,Inputs!J:J)+_xlfn.XLOOKUP("Total Debt",Inputs!$B:$B,Inputs!J:J)*1000),"")</f>
        <v>0.99722059657845241</v>
      </c>
      <c r="J41" s="15">
        <f>+IFERROR(_xlfn.XLOOKUP("Total Debt",Inputs!$B:$B,Inputs!K:K)*1000/(+_xlfn.XLOOKUP("Shareholder's Equity",Inputs!$B:$B,Inputs!K:K)+_xlfn.XLOOKUP("Total Debt",Inputs!$B:$B,Inputs!K:K)*1000),"")</f>
        <v>0.99707934201021131</v>
      </c>
      <c r="K41" s="15">
        <f>+IFERROR(_xlfn.XLOOKUP("Total Debt",Inputs!$B:$B,Inputs!L:L)*1000/(+_xlfn.XLOOKUP("Shareholder's Equity",Inputs!$B:$B,Inputs!L:L)+_xlfn.XLOOKUP("Total Debt",Inputs!$B:$B,Inputs!L:L)*1000),"")</f>
        <v>0.99700570554231915</v>
      </c>
      <c r="L41" s="15">
        <f>+IFERROR(_xlfn.XLOOKUP("Total Debt",Inputs!$B:$B,Inputs!M:M)*1000/(+_xlfn.XLOOKUP("Shareholder's Equity",Inputs!$B:$B,Inputs!M:M)+_xlfn.XLOOKUP("Total Debt",Inputs!$B:$B,Inputs!M:M)*1000),"")</f>
        <v>0.99765141542519098</v>
      </c>
      <c r="M41" s="15">
        <f>+IFERROR(_xlfn.XLOOKUP("Total Debt",Inputs!$B:$B,Inputs!N:N)*1000/(+_xlfn.XLOOKUP("Shareholder's Equity",Inputs!$B:$B,Inputs!N:N)+_xlfn.XLOOKUP("Total Debt",Inputs!$B:$B,Inputs!N:N)*1000),"")</f>
        <v>0.99720100042279447</v>
      </c>
      <c r="N41" s="15">
        <f>+IFERROR(_xlfn.XLOOKUP("Total Debt",Inputs!$B:$B,Inputs!O:O)*1000/(+_xlfn.XLOOKUP("Shareholder's Equity",Inputs!$B:$B,Inputs!O:O)+_xlfn.XLOOKUP("Total Debt",Inputs!$B:$B,Inputs!O:O)*1000),"")</f>
        <v>0.99754899622655624</v>
      </c>
      <c r="O41" s="15">
        <f>+IFERROR(_xlfn.XLOOKUP("Total Debt",Inputs!$B:$B,Inputs!P:P)*1000/(+_xlfn.XLOOKUP("Shareholder's Equity",Inputs!$B:$B,Inputs!P:P)+_xlfn.XLOOKUP("Total Debt",Inputs!$B:$B,Inputs!P:P)*1000),"")</f>
        <v>0.99768587131474773</v>
      </c>
      <c r="P41" s="350">
        <f>+IFERROR(_xlfn.XLOOKUP("Total Debt",Inputs!$B:$B,Inputs!Q:Q)*1000/(+_xlfn.XLOOKUP("Shareholder's Equity",Inputs!$B:$B,Inputs!Q:Q)+_xlfn.XLOOKUP("Total Debt",Inputs!$B:$B,Inputs!Q:Q)*1000),"")</f>
        <v>0.99775797963038515</v>
      </c>
      <c r="Q41" s="357">
        <f ca="1">IFERROR((_xlfn.XLOOKUP("Total Borrowings",DCF!$B:$B,DCF!G:G)+_xlfn.XLOOKUP("Total Leases",DCF!$B:$B,DCF!G:G))/(_xlfn.XLOOKUP("Shareholder's Equity",DCF!$6:$6,DCF!10:10)+_xlfn.XLOOKUP("Total Borrowings",DCF!$B:$B,DCF!G:G)+_xlfn.XLOOKUP("Total Leases",DCF!$B:$B,DCF!G:G)),"")</f>
        <v>-1.3078843985129571E-14</v>
      </c>
      <c r="R41" s="357">
        <f ca="1">IFERROR((_xlfn.XLOOKUP("Total Borrowings",DCF!$B:$B,DCF!H:H)+_xlfn.XLOOKUP("Total Leases",DCF!$B:$B,DCF!H:H))/(_xlfn.XLOOKUP("Shareholder's Equity",DCF!$6:$6,DCF!10:10)+_xlfn.XLOOKUP("Total Borrowings",DCF!$B:$B,DCF!H:H)+_xlfn.XLOOKUP("Total Leases",DCF!$B:$B,DCF!H:H)),"")</f>
        <v>-1.8149291080704054E-14</v>
      </c>
    </row>
    <row r="42" spans="2:18" ht="15.6">
      <c r="B42" s="244" t="s">
        <v>80</v>
      </c>
      <c r="F42" s="15">
        <f>IFERROR(_xlfn.XLOOKUP("Total Liabilities",Inputs!$B:$B,Inputs!G:G)/_xlfn.XLOOKUP("Total Assets",Inputs!$B:$B,Inputs!G:G),"")</f>
        <v>0.38218715995647445</v>
      </c>
      <c r="G42" s="15">
        <f>IFERROR(_xlfn.XLOOKUP("Total Liabilities",Inputs!$B:$B,Inputs!H:H)/_xlfn.XLOOKUP("Total Assets",Inputs!$B:$B,Inputs!H:H),"")</f>
        <v>0.4073157716004463</v>
      </c>
      <c r="H42" s="15">
        <f>IFERROR(_xlfn.XLOOKUP("Total Liabilities",Inputs!$B:$B,Inputs!I:I)/_xlfn.XLOOKUP("Total Assets",Inputs!$B:$B,Inputs!I:I),"")</f>
        <v>0.40783749680129183</v>
      </c>
      <c r="I42" s="15">
        <f>IFERROR(_xlfn.XLOOKUP("Total Liabilities",Inputs!$B:$B,Inputs!J:J)/_xlfn.XLOOKUP("Total Assets",Inputs!$B:$B,Inputs!J:J),"")</f>
        <v>0.43297714383078156</v>
      </c>
      <c r="J42" s="15">
        <f>IFERROR(_xlfn.XLOOKUP("Total Liabilities",Inputs!$B:$B,Inputs!K:K)/_xlfn.XLOOKUP("Total Assets",Inputs!$B:$B,Inputs!K:K),"")</f>
        <v>0.41403374412916233</v>
      </c>
      <c r="K42" s="15">
        <f>IFERROR(_xlfn.XLOOKUP("Total Liabilities",Inputs!$B:$B,Inputs!L:L)/_xlfn.XLOOKUP("Total Assets",Inputs!$B:$B,Inputs!L:L),"")</f>
        <v>0.43116961120389091</v>
      </c>
      <c r="L42" s="15">
        <f>IFERROR(_xlfn.XLOOKUP("Total Liabilities",Inputs!$B:$B,Inputs!M:M)/_xlfn.XLOOKUP("Total Assets",Inputs!$B:$B,Inputs!M:M),"")</f>
        <v>0.47065470863734643</v>
      </c>
      <c r="M42" s="15">
        <f>IFERROR(_xlfn.XLOOKUP("Total Liabilities",Inputs!$B:$B,Inputs!N:N)/_xlfn.XLOOKUP("Total Assets",Inputs!$B:$B,Inputs!N:N),"")</f>
        <v>0.43356531239979573</v>
      </c>
      <c r="N42" s="15">
        <f>IFERROR(_xlfn.XLOOKUP("Total Liabilities",Inputs!$B:$B,Inputs!O:O)/_xlfn.XLOOKUP("Total Assets",Inputs!$B:$B,Inputs!O:O),"")</f>
        <v>0.43281549452782214</v>
      </c>
      <c r="O42" s="15">
        <f>IFERROR(_xlfn.XLOOKUP("Total Liabilities",Inputs!$B:$B,Inputs!P:P)/_xlfn.XLOOKUP("Total Assets",Inputs!$B:$B,Inputs!P:P),"")</f>
        <v>0.42598605224145492</v>
      </c>
      <c r="P42" s="350">
        <f>IFERROR(_xlfn.XLOOKUP("Total Liabilities",Inputs!$B:$B,Inputs!Q:Q)/_xlfn.XLOOKUP("Total Assets",Inputs!$B:$B,Inputs!Q:Q),"")</f>
        <v>0.46544519937908746</v>
      </c>
      <c r="Q42" s="357">
        <f ca="1">IFERROR((_xlfn.XLOOKUP("Total Borrowings",DCF!$B:$B,DCF!G:G)+_xlfn.XLOOKUP("Total Leases",DCF!$B:$B,DCF!G:G))/(_xlfn.XLOOKUP("Shareholder's Equity",DCF!$6:$6,DCF!11:11)+_xlfn.XLOOKUP("Total Borrowings",DCF!$B:$B,DCF!G:G)+_xlfn.XLOOKUP("Total Leases",DCF!$B:$B,DCF!G:G)),"")</f>
        <v>-3.7846661223110855E-15</v>
      </c>
      <c r="R42" s="357">
        <f ca="1">IFERROR((_xlfn.XLOOKUP("Total Borrowings",DCF!$B:$B,DCF!H:H)+_xlfn.XLOOKUP("Total Leases",DCF!$B:$B,DCF!H:H))/(_xlfn.XLOOKUP("Shareholder's Equity",DCF!$6:$6,DCF!11:11)+_xlfn.XLOOKUP("Total Borrowings",DCF!$B:$B,DCF!H:H)+_xlfn.XLOOKUP("Total Leases",DCF!$B:$B,DCF!H:H)),"")</f>
        <v>-5.2519173082270415E-15</v>
      </c>
    </row>
    <row r="43" spans="2:18" ht="15.6">
      <c r="B43" s="17" t="s">
        <v>81</v>
      </c>
      <c r="F43" s="15">
        <f>+IFERROR(_xlfn.XLOOKUP("Total Debt",Inputs!$B:$B,Inputs!G:G,,,-1)/_xlfn.XLOOKUP("EBITDA",Inputs!$B:$B,Inputs!G:G),"")</f>
        <v>0.51949071968914062</v>
      </c>
      <c r="G43" s="15">
        <f>+IFERROR(_xlfn.XLOOKUP("Total Debt",Inputs!$B:$B,Inputs!H:H,,,-1)/_xlfn.XLOOKUP("EBITDA",Inputs!$B:$B,Inputs!H:H),"")</f>
        <v>0.86953507517656747</v>
      </c>
      <c r="H43" s="15">
        <f>+IFERROR(_xlfn.XLOOKUP("Total Debt",Inputs!$B:$B,Inputs!I:I,,,-1)/_xlfn.XLOOKUP("EBITDA",Inputs!$B:$B,Inputs!I:I),"")</f>
        <v>0.90767338691966437</v>
      </c>
      <c r="I43" s="15">
        <f>+IFERROR(_xlfn.XLOOKUP("Total Debt",Inputs!$B:$B,Inputs!J:J,,,-1)/_xlfn.XLOOKUP("EBITDA",Inputs!$B:$B,Inputs!J:J),"")</f>
        <v>0.953782951044163</v>
      </c>
      <c r="J43" s="15">
        <f>+IFERROR(_xlfn.XLOOKUP("Total Debt",Inputs!$B:$B,Inputs!K:K,,,-1)/_xlfn.XLOOKUP("EBITDA",Inputs!$B:$B,Inputs!K:K),"")</f>
        <v>0.79179683875158524</v>
      </c>
      <c r="K43" s="15">
        <f>+IFERROR(_xlfn.XLOOKUP("Total Debt",Inputs!$B:$B,Inputs!L:L,,,-1)/_xlfn.XLOOKUP("EBITDA",Inputs!$B:$B,Inputs!L:L),"")</f>
        <v>0.76380929875347081</v>
      </c>
      <c r="L43" s="15">
        <f>+IFERROR(_xlfn.XLOOKUP("Total Debt",Inputs!$B:$B,Inputs!M:M,,,-1)/_xlfn.XLOOKUP("EBITDA",Inputs!$B:$B,Inputs!M:M),"")</f>
        <v>0.97856614929785657</v>
      </c>
      <c r="M43" s="15">
        <f>+IFERROR(_xlfn.XLOOKUP("Total Debt",Inputs!$B:$B,Inputs!N:N,,,-1)/_xlfn.XLOOKUP("EBITDA",Inputs!$B:$B,Inputs!N:N),"")</f>
        <v>1.0455314566989693</v>
      </c>
      <c r="N43" s="15">
        <f>+IFERROR(_xlfn.XLOOKUP("Total Debt",Inputs!$B:$B,Inputs!O:O,,,-1)/_xlfn.XLOOKUP("EBITDA",Inputs!$B:$B,Inputs!O:O),"")</f>
        <v>2.9174127281560138</v>
      </c>
      <c r="O43" s="15">
        <f>+IFERROR(_xlfn.XLOOKUP("Total Debt",Inputs!$B:$B,Inputs!P:P,,,-1)/_xlfn.XLOOKUP("EBITDA",Inputs!$B:$B,Inputs!P:P),"")</f>
        <v>5.0009493670886078</v>
      </c>
      <c r="P43" s="350">
        <f>+IFERROR(_xlfn.XLOOKUP("Total Debt",Inputs!$B:$B,Inputs!Q:Q,,,-1)/_xlfn.XLOOKUP("EBITDA",Inputs!$B:$B,Inputs!Q:Q),"")</f>
        <v>7.8492023509655748</v>
      </c>
      <c r="Q43" s="357">
        <f ca="1">IFERROR((_xlfn.XLOOKUP("Total Borrowings",DCF!$B:$B,DCF!G:G)+_xlfn.XLOOKUP("Total Leases",DCF!$B:$B,DCF!G:G))/_xlfn.XLOOKUP("EBITDA",DCF!$B:$B,DCF!H:H),"")</f>
        <v>-6.0279746332060782</v>
      </c>
      <c r="R43" s="357">
        <f ca="1">IFERROR((_xlfn.XLOOKUP("Total Borrowings",DCF!$B:$B,DCF!H:H)+_xlfn.XLOOKUP("Total Leases",DCF!$B:$B,DCF!H:H))/_xlfn.XLOOKUP("EBITDA",DCF!$B:$B,DCF!I:I),"")</f>
        <v>-28.958234494559523</v>
      </c>
    </row>
    <row r="44" spans="2:18" ht="15.6">
      <c r="B44" s="17" t="s">
        <v>83</v>
      </c>
      <c r="F44" s="15">
        <f>IFERROR(_xlfn.XLOOKUP("Total Debt",Inputs!$B:$B,Inputs!G:G,,,-1)/(_xlfn.XLOOKUP("EBITDA",Inputs!$B:$B,Inputs!G:G)+_xlfn.XLOOKUP("Net Capex",Inputs!$B:$B,Inputs!G:G)),"")</f>
        <v>0.89216243078233703</v>
      </c>
      <c r="G44" s="15">
        <f>IFERROR(_xlfn.XLOOKUP("Total Debt",Inputs!$B:$B,Inputs!H:H,,,-1)/(_xlfn.XLOOKUP("EBITDA",Inputs!$B:$B,Inputs!H:H)+_xlfn.XLOOKUP("Net Capex",Inputs!$B:$B,Inputs!H:H)),"")</f>
        <v>1.2836947482888761</v>
      </c>
      <c r="H44" s="15">
        <f>IFERROR(_xlfn.XLOOKUP("Total Debt",Inputs!$B:$B,Inputs!I:I,,,-1)/(_xlfn.XLOOKUP("EBITDA",Inputs!$B:$B,Inputs!I:I)+_xlfn.XLOOKUP("Net Capex",Inputs!$B:$B,Inputs!I:I)),"")</f>
        <v>1.5724395069243646</v>
      </c>
      <c r="I44" s="15">
        <f>IFERROR(_xlfn.XLOOKUP("Total Debt",Inputs!$B:$B,Inputs!J:J,,,-1)/(_xlfn.XLOOKUP("EBITDA",Inputs!$B:$B,Inputs!J:J)+_xlfn.XLOOKUP("Net Capex",Inputs!$B:$B,Inputs!J:J)),"")</f>
        <v>1.7279305354558612</v>
      </c>
      <c r="J44" s="15">
        <f>IFERROR(_xlfn.XLOOKUP("Total Debt",Inputs!$B:$B,Inputs!K:K,,,-1)/(_xlfn.XLOOKUP("EBITDA",Inputs!$B:$B,Inputs!K:K)+_xlfn.XLOOKUP("Net Capex",Inputs!$B:$B,Inputs!K:K)),"")</f>
        <v>1.492768836015862</v>
      </c>
      <c r="K44" s="15">
        <f>IFERROR(_xlfn.XLOOKUP("Total Debt",Inputs!$B:$B,Inputs!L:L,,,-1)/(_xlfn.XLOOKUP("EBITDA",Inputs!$B:$B,Inputs!L:L)+_xlfn.XLOOKUP("Net Capex",Inputs!$B:$B,Inputs!L:L)),"")</f>
        <v>1.4657899212062808</v>
      </c>
      <c r="L44" s="15">
        <f>IFERROR(_xlfn.XLOOKUP("Total Debt",Inputs!$B:$B,Inputs!M:M,,,-1)/(_xlfn.XLOOKUP("EBITDA",Inputs!$B:$B,Inputs!M:M)+_xlfn.XLOOKUP("Net Capex",Inputs!$B:$B,Inputs!M:M)),"")</f>
        <v>1.6609891435464414</v>
      </c>
      <c r="M44" s="15">
        <f>IFERROR(_xlfn.XLOOKUP("Total Debt",Inputs!$B:$B,Inputs!N:N,,,-1)/(_xlfn.XLOOKUP("EBITDA",Inputs!$B:$B,Inputs!N:N)+_xlfn.XLOOKUP("Net Capex",Inputs!$B:$B,Inputs!N:N)),"")</f>
        <v>2.7911465177398158</v>
      </c>
      <c r="N44" s="15">
        <f>IFERROR(_xlfn.XLOOKUP("Total Debt",Inputs!$B:$B,Inputs!O:O,,,-1)/(_xlfn.XLOOKUP("EBITDA",Inputs!$B:$B,Inputs!O:O)+_xlfn.XLOOKUP("Net Capex",Inputs!$B:$B,Inputs!O:O)),"")</f>
        <v>-3.9504745794568179</v>
      </c>
      <c r="O44" s="15">
        <f>IFERROR(_xlfn.XLOOKUP("Total Debt",Inputs!$B:$B,Inputs!P:P,,,-1)/(_xlfn.XLOOKUP("EBITDA",Inputs!$B:$B,Inputs!P:P)+_xlfn.XLOOKUP("Net Capex",Inputs!$B:$B,Inputs!P:P)),"")</f>
        <v>-2.9138905961893053</v>
      </c>
      <c r="P44" s="350">
        <f>IFERROR(_xlfn.XLOOKUP("Total Debt",Inputs!$B:$B,Inputs!Q:Q,,,-1)/(_xlfn.XLOOKUP("EBITDA",Inputs!$B:$B,Inputs!Q:Q)+_xlfn.XLOOKUP("Net Capex",Inputs!$B:$B,Inputs!Q:Q)),"")</f>
        <v>-2.5983656679081659</v>
      </c>
      <c r="Q44" s="357">
        <f ca="1">IFERROR((_xlfn.XLOOKUP("Total Borrowings",DCF!$B:$B,DCF!G:G)+_xlfn.XLOOKUP("Total Leases",DCF!$B:$B,DCF!G:G))/(_xlfn.XLOOKUP("EBITDA",DCF!$B:$B,DCF!H:H)+_xlfn.XLOOKUP("Net Capex",DCF!$B:$B,DCF!H:H)),"")</f>
        <v>-4.3013187057530473</v>
      </c>
      <c r="R44" s="357">
        <f ca="1">IFERROR((_xlfn.XLOOKUP("Total Borrowings",DCF!$B:$B,DCF!H:H)+_xlfn.XLOOKUP("Total Leases",DCF!$B:$B,DCF!H:H))/(_xlfn.XLOOKUP("EBITDA",DCF!$B:$B,DCF!I:I)+_xlfn.XLOOKUP("Net Capex",DCF!$B:$B,DCF!I:I)),"")</f>
        <v>-11.452066604161757</v>
      </c>
    </row>
    <row r="45" spans="2:18" ht="15.6">
      <c r="B45" s="17" t="s">
        <v>85</v>
      </c>
      <c r="F45" s="15">
        <f>+IFERROR(_xlfn.XLOOKUP("Net Debt",Inputs!$B:$B,Inputs!G:G,,,-1)/_xlfn.XLOOKUP("EBITDA",Inputs!$B:$B,Inputs!G:G),"")</f>
        <v>-6.1469141416229174E-2</v>
      </c>
      <c r="G45" s="15">
        <f>+IFERROR(_xlfn.XLOOKUP("Net Debt",Inputs!$B:$B,Inputs!H:H,,,-1)/_xlfn.XLOOKUP("EBITDA",Inputs!$B:$B,Inputs!H:H),"")</f>
        <v>-0.22726287967416267</v>
      </c>
      <c r="H45" s="15">
        <f>+IFERROR(_xlfn.XLOOKUP("Net Debt",Inputs!$B:$B,Inputs!I:I,,,-1)/_xlfn.XLOOKUP("EBITDA",Inputs!$B:$B,Inputs!I:I),"")</f>
        <v>0.15663021039223438</v>
      </c>
      <c r="I45" s="15">
        <f>+IFERROR(_xlfn.XLOOKUP("Net Debt",Inputs!$B:$B,Inputs!J:J,,,-1)/_xlfn.XLOOKUP("EBITDA",Inputs!$B:$B,Inputs!J:J),"")</f>
        <v>0.42116474571113394</v>
      </c>
      <c r="J45" s="15">
        <f>+IFERROR(_xlfn.XLOOKUP("Net Debt",Inputs!$B:$B,Inputs!K:K,,,-1)/_xlfn.XLOOKUP("EBITDA",Inputs!$B:$B,Inputs!K:K),"")</f>
        <v>0.43143926505614155</v>
      </c>
      <c r="K45" s="15">
        <f>+IFERROR(_xlfn.XLOOKUP("Net Debt",Inputs!$B:$B,Inputs!L:L,,,-1)/_xlfn.XLOOKUP("EBITDA",Inputs!$B:$B,Inputs!L:L),"")</f>
        <v>0.37617415962663203</v>
      </c>
      <c r="L45" s="15">
        <f>+IFERROR(_xlfn.XLOOKUP("Net Debt",Inputs!$B:$B,Inputs!M:M,,,-1)/_xlfn.XLOOKUP("EBITDA",Inputs!$B:$B,Inputs!M:M),"")</f>
        <v>0.29930638467223836</v>
      </c>
      <c r="M45" s="15">
        <f>+IFERROR(_xlfn.XLOOKUP("Net Debt",Inputs!$B:$B,Inputs!N:N,,,-1)/_xlfn.XLOOKUP("EBITDA",Inputs!$B:$B,Inputs!N:N),"")</f>
        <v>0.17141978157206583</v>
      </c>
      <c r="N45" s="15">
        <f>+IFERROR(_xlfn.XLOOKUP("Net Debt",Inputs!$B:$B,Inputs!O:O,,,-1)/_xlfn.XLOOKUP("EBITDA",Inputs!$B:$B,Inputs!O:O),"")</f>
        <v>0.95072524116871404</v>
      </c>
      <c r="O45" s="15">
        <f>+IFERROR(_xlfn.XLOOKUP("Net Debt",Inputs!$B:$B,Inputs!P:P,,,-1)/_xlfn.XLOOKUP("EBITDA",Inputs!$B:$B,Inputs!P:P),"")</f>
        <v>2.3602320675105486</v>
      </c>
      <c r="P45" s="350">
        <f>+IFERROR(_xlfn.XLOOKUP("Net Debt",Inputs!$B:$B,Inputs!Q:Q,,,-1)/_xlfn.XLOOKUP("EBITDA",Inputs!$B:$B,Inputs!Q:Q),"")</f>
        <v>4.1444164567590258</v>
      </c>
      <c r="Q45" s="357">
        <f ca="1">IFERROR((_xlfn.XLOOKUP("Total Borrowings",DCF!$B:$B,DCF!G:G)+_xlfn.XLOOKUP("Total Leases",DCF!$B:$B,DCF!G:G)-_xlfn.XLOOKUP("Cash &amp; Cash Equivalents &amp; ST Investments",DCF!$B:$B,DCF!G:G))/_xlfn.XLOOKUP("EBITDA",DCF!$B:$B,DCF!H:H),"")</f>
        <v>-3.1827994939781354</v>
      </c>
      <c r="R45" s="357">
        <f ca="1">IFERROR((_xlfn.XLOOKUP("Total Borrowings",DCF!$B:$B,DCF!H:H)+_xlfn.XLOOKUP("Total Leases",DCF!$B:$B,DCF!H:H)-_xlfn.XLOOKUP("Cash &amp; Cash Equivalents &amp; ST Investments",DCF!$B:$B,DCF!H:H))/_xlfn.XLOOKUP("EBITDA",DCF!$B:$B,DCF!I:I),"")</f>
        <v>-3.6097210621806481</v>
      </c>
    </row>
    <row r="46" spans="2:18" ht="8.1" customHeight="1">
      <c r="B46" s="244"/>
      <c r="N46" s="246"/>
      <c r="O46" s="246"/>
      <c r="P46" s="353"/>
      <c r="Q46" s="358"/>
      <c r="R46" s="358"/>
    </row>
    <row r="47" spans="2:18" ht="15.6">
      <c r="B47" s="7" t="s">
        <v>626</v>
      </c>
      <c r="C47" s="52"/>
      <c r="D47" s="54"/>
      <c r="E47" s="54"/>
      <c r="F47" s="370">
        <v>2014</v>
      </c>
      <c r="G47" s="370">
        <f t="shared" ref="G47" si="39">+F47+1</f>
        <v>2015</v>
      </c>
      <c r="H47" s="370">
        <f t="shared" ref="H47" si="40">+G47+1</f>
        <v>2016</v>
      </c>
      <c r="I47" s="370">
        <f t="shared" ref="I47" si="41">+H47+1</f>
        <v>2017</v>
      </c>
      <c r="J47" s="370">
        <f t="shared" ref="J47" si="42">+I47+1</f>
        <v>2018</v>
      </c>
      <c r="K47" s="370">
        <f t="shared" ref="K47" si="43">+J47+1</f>
        <v>2019</v>
      </c>
      <c r="L47" s="370">
        <f t="shared" ref="L47" si="44">+K47+1</f>
        <v>2020</v>
      </c>
      <c r="M47" s="370">
        <f t="shared" ref="M47" si="45">+L47+1</f>
        <v>2021</v>
      </c>
      <c r="N47" s="370">
        <v>2022</v>
      </c>
      <c r="O47" s="370">
        <f t="shared" ref="O47" si="46">+N47+1</f>
        <v>2023</v>
      </c>
      <c r="P47" s="371">
        <f>+O47+1</f>
        <v>2024</v>
      </c>
      <c r="Q47" s="369">
        <f>+P47+1</f>
        <v>2025</v>
      </c>
      <c r="R47" s="369">
        <f>+Q47+1</f>
        <v>2026</v>
      </c>
    </row>
    <row r="48" spans="2:18" ht="3.95" customHeight="1">
      <c r="B48" s="243"/>
      <c r="C48" s="49"/>
      <c r="D48" s="56"/>
      <c r="E48" s="56"/>
      <c r="F48" s="56"/>
      <c r="G48" s="56"/>
      <c r="H48" s="56"/>
      <c r="I48" s="56"/>
      <c r="J48" s="56"/>
      <c r="K48" s="56"/>
      <c r="L48" s="56"/>
      <c r="M48" s="56"/>
      <c r="N48" s="217"/>
      <c r="O48" s="217"/>
      <c r="P48" s="352"/>
      <c r="Q48" s="217"/>
      <c r="R48" s="217"/>
    </row>
    <row r="49" spans="2:18" ht="15.6">
      <c r="B49" s="244" t="s">
        <v>87</v>
      </c>
      <c r="F49" s="15">
        <f>IFERROR(_xlfn.XLOOKUP("Operating Income (EBIT)",Inputs!$B:$B,Inputs!G:G)/_xlfn.XLOOKUP("Interest Expense",Inputs!$B:$B,Inputs!G:G),"N/A")</f>
        <v>81.46875</v>
      </c>
      <c r="G49" s="15">
        <f>IFERROR(_xlfn.XLOOKUP("Operating Income (EBIT)",Inputs!$B:$B,Inputs!H:H)/_xlfn.XLOOKUP("Interest Expense",Inputs!$B:$B,Inputs!H:H),"N/A")</f>
        <v>42.63501483679525</v>
      </c>
      <c r="H49" s="15">
        <f>IFERROR(_xlfn.XLOOKUP("Operating Income (EBIT)",Inputs!$B:$B,Inputs!I:I)/_xlfn.XLOOKUP("Interest Expense",Inputs!$B:$B,Inputs!I:I),"N/A")</f>
        <v>20.432469304229194</v>
      </c>
      <c r="I49" s="15">
        <f>IFERROR(_xlfn.XLOOKUP("Operating Income (EBIT)",Inputs!$B:$B,Inputs!J:J)/_xlfn.XLOOKUP("Interest Expense",Inputs!$B:$B,Inputs!J:J),"N/A")</f>
        <v>28.111455108359134</v>
      </c>
      <c r="J49" s="15">
        <f>IFERROR(_xlfn.XLOOKUP("Operating Income (EBIT)",Inputs!$B:$B,Inputs!K:K)/_xlfn.XLOOKUP("Interest Expense",Inputs!$B:$B,Inputs!K:K),"N/A")</f>
        <v>49.666666666666664</v>
      </c>
      <c r="K49" s="15">
        <f>IFERROR(_xlfn.XLOOKUP("Operating Income (EBIT)",Inputs!$B:$B,Inputs!L:L)/_xlfn.XLOOKUP("Interest Expense",Inputs!$B:$B,Inputs!L:L),"N/A")</f>
        <v>47.092024539877301</v>
      </c>
      <c r="L49" s="15">
        <f>IFERROR(_xlfn.XLOOKUP("Operating Income (EBIT)",Inputs!$B:$B,Inputs!M:M)/_xlfn.XLOOKUP("Interest Expense",Inputs!$B:$B,Inputs!M:M),"N/A")</f>
        <v>36.468998410174883</v>
      </c>
      <c r="M49" s="15">
        <f>IFERROR(_xlfn.XLOOKUP("Operating Income (EBIT)",Inputs!$B:$B,Inputs!N:N)/_xlfn.XLOOKUP("Interest Expense",Inputs!$B:$B,Inputs!N:N),"N/A")</f>
        <v>34.695142378559467</v>
      </c>
      <c r="N49" s="15">
        <f>IFERROR(_xlfn.XLOOKUP("Operating Income (EBIT)",Inputs!$B:$B,Inputs!O:O)/_xlfn.XLOOKUP("Interest Expense",Inputs!$B:$B,Inputs!O:O),"N/A")</f>
        <v>2.7701612903225805</v>
      </c>
      <c r="O49" s="15">
        <f>IFERROR(_xlfn.XLOOKUP("Operating Income (EBIT)",Inputs!$B:$B,Inputs!P:P)/_xlfn.XLOOKUP("Interest Expense",Inputs!$B:$B,Inputs!P:P),"N/A")</f>
        <v>-0.13895216400911162</v>
      </c>
      <c r="P49" s="350">
        <f>IFERROR(_xlfn.XLOOKUP("Operating Income (EBIT)",Inputs!$B:$B,Inputs!Q:Q)/_xlfn.XLOOKUP("Interest Expense",Inputs!$B:$B,Inputs!Q:Q),"N/A")</f>
        <v>-5.2456479690522242</v>
      </c>
      <c r="Q49" s="357" t="str">
        <f ca="1">IFERROR(_xlfn.XLOOKUP("EBIT",DCF!$B:$B,DCF!H:H)/_xlfn.XLOOKUP("Interest Expense",DCF!$B:$B,DCF!H:H),"N/A")</f>
        <v>N/A</v>
      </c>
      <c r="R49" s="357" t="str">
        <f ca="1">IFERROR(_xlfn.XLOOKUP("EBIT",DCF!$B:$B,DCF!I:I)/_xlfn.XLOOKUP("Interest Expense",DCF!$B:$B,DCF!I:I),"N/A")</f>
        <v>N/A</v>
      </c>
    </row>
    <row r="50" spans="2:18" ht="15.6">
      <c r="B50" s="17" t="s">
        <v>88</v>
      </c>
      <c r="F50" s="15">
        <f>IFERROR(_xlfn.XLOOKUP("EBITDA",Inputs!$B:$B,Inputs!G:G)/_xlfn.XLOOKUP("Interest Expense",Inputs!$B:$B,Inputs!G:G),"N/A")</f>
        <v>125.99479166666667</v>
      </c>
      <c r="G50" s="15">
        <f>IFERROR(_xlfn.XLOOKUP("EBITDA",Inputs!$B:$B,Inputs!H:H)/_xlfn.XLOOKUP("Interest Expense",Inputs!$B:$B,Inputs!H:H),"N/A")</f>
        <v>68.483679525222556</v>
      </c>
      <c r="H50" s="15">
        <f>IFERROR(_xlfn.XLOOKUP("EBITDA",Inputs!$B:$B,Inputs!I:I)/_xlfn.XLOOKUP("Interest Expense",Inputs!$B:$B,Inputs!I:I),"N/A")</f>
        <v>31.060027285129603</v>
      </c>
      <c r="I50" s="15">
        <f>IFERROR(_xlfn.XLOOKUP("EBITDA",Inputs!$B:$B,Inputs!J:J)/_xlfn.XLOOKUP("Interest Expense",Inputs!$B:$B,Inputs!J:J),"N/A")</f>
        <v>40.695046439628484</v>
      </c>
      <c r="J50" s="15">
        <f>IFERROR(_xlfn.XLOOKUP("EBITDA",Inputs!$B:$B,Inputs!K:K)/_xlfn.XLOOKUP("Interest Expense",Inputs!$B:$B,Inputs!K:K),"N/A")</f>
        <v>69.07905982905983</v>
      </c>
      <c r="K50" s="15">
        <f>IFERROR(_xlfn.XLOOKUP("EBITDA",Inputs!$B:$B,Inputs!L:L)/_xlfn.XLOOKUP("Interest Expense",Inputs!$B:$B,Inputs!L:L),"N/A")</f>
        <v>69.23108384458078</v>
      </c>
      <c r="L50" s="15">
        <f>IFERROR(_xlfn.XLOOKUP("EBITDA",Inputs!$B:$B,Inputs!M:M)/_xlfn.XLOOKUP("Interest Expense",Inputs!$B:$B,Inputs!M:M),"N/A")</f>
        <v>55.926868044515103</v>
      </c>
      <c r="M50" s="15">
        <f>IFERROR(_xlfn.XLOOKUP("EBITDA",Inputs!$B:$B,Inputs!N:N)/_xlfn.XLOOKUP("Interest Expense",Inputs!$B:$B,Inputs!N:N),"N/A")</f>
        <v>54.447236180904525</v>
      </c>
      <c r="N50" s="15">
        <f>IFERROR(_xlfn.XLOOKUP("EBITDA",Inputs!$B:$B,Inputs!O:O)/_xlfn.XLOOKUP("Interest Expense",Inputs!$B:$B,Inputs!O:O),"N/A")</f>
        <v>29.050403225806452</v>
      </c>
      <c r="O50" s="15">
        <f>IFERROR(_xlfn.XLOOKUP("EBITDA",Inputs!$B:$B,Inputs!P:P)/_xlfn.XLOOKUP("Interest Expense",Inputs!$B:$B,Inputs!P:P),"N/A")</f>
        <v>10.797266514806378</v>
      </c>
      <c r="P50" s="350">
        <f>IFERROR(_xlfn.XLOOKUP("EBITDA",Inputs!$B:$B,Inputs!Q:Q)/_xlfn.XLOOKUP("Interest Expense",Inputs!$B:$B,Inputs!Q:Q),"N/A")</f>
        <v>5.7591876208897483</v>
      </c>
      <c r="Q50" s="357" t="str">
        <f ca="1">IFERROR(_xlfn.XLOOKUP("EBITDA",DCF!$B:$B,DCF!H:H)/_xlfn.XLOOKUP("Interest Expense",DCF!$B:$B,DCF!H:H),"N/A")</f>
        <v>N/A</v>
      </c>
      <c r="R50" s="357" t="str">
        <f ca="1">IFERROR(_xlfn.XLOOKUP("EBITDA",DCF!$B:$B,DCF!I:I)/_xlfn.XLOOKUP("Interest Expense",DCF!$B:$B,DCF!I:I),"N/A")</f>
        <v>N/A</v>
      </c>
    </row>
    <row r="51" spans="2:18" ht="15.6">
      <c r="B51" s="17" t="s">
        <v>89</v>
      </c>
      <c r="F51" s="15">
        <f>IFERROR((_xlfn.XLOOKUP("EBITDA",Inputs!$B:$B,Inputs!G:G)-_xlfn.XLOOKUP("Net Capex",Inputs!$B:$B,Inputs!G:G))/_xlfn.XLOOKUP("Interest Expense",Inputs!$B:$B,Inputs!G:G),"N/A")</f>
        <v>178.625</v>
      </c>
      <c r="G51" s="15">
        <f>IFERROR((_xlfn.XLOOKUP("EBITDA",Inputs!$B:$B,Inputs!H:H)-_xlfn.XLOOKUP("Net Capex",Inputs!$B:$B,Inputs!H:H))/_xlfn.XLOOKUP("Interest Expense",Inputs!$B:$B,Inputs!H:H),"N/A")</f>
        <v>90.578635014836792</v>
      </c>
      <c r="H51" s="15">
        <f>IFERROR((_xlfn.XLOOKUP("EBITDA",Inputs!$B:$B,Inputs!I:I)-_xlfn.XLOOKUP("Net Capex",Inputs!$B:$B,Inputs!I:I))/_xlfn.XLOOKUP("Interest Expense",Inputs!$B:$B,Inputs!I:I),"N/A")</f>
        <v>44.190995907230558</v>
      </c>
      <c r="I51" s="15">
        <f>IFERROR((_xlfn.XLOOKUP("EBITDA",Inputs!$B:$B,Inputs!J:J)-_xlfn.XLOOKUP("Net Capex",Inputs!$B:$B,Inputs!J:J))/_xlfn.XLOOKUP("Interest Expense",Inputs!$B:$B,Inputs!J:J),"N/A")</f>
        <v>58.927244582043343</v>
      </c>
      <c r="J51" s="15">
        <f>IFERROR((_xlfn.XLOOKUP("EBITDA",Inputs!$B:$B,Inputs!K:K)-_xlfn.XLOOKUP("Net Capex",Inputs!$B:$B,Inputs!K:K))/_xlfn.XLOOKUP("Interest Expense",Inputs!$B:$B,Inputs!K:K),"N/A")</f>
        <v>101.51709401709402</v>
      </c>
      <c r="K51" s="15">
        <f>IFERROR((_xlfn.XLOOKUP("EBITDA",Inputs!$B:$B,Inputs!L:L)-_xlfn.XLOOKUP("Net Capex",Inputs!$B:$B,Inputs!L:L))/_xlfn.XLOOKUP("Interest Expense",Inputs!$B:$B,Inputs!L:L),"N/A")</f>
        <v>102.38650306748467</v>
      </c>
      <c r="L51" s="15">
        <f>IFERROR((_xlfn.XLOOKUP("EBITDA",Inputs!$B:$B,Inputs!M:M)-_xlfn.XLOOKUP("Net Capex",Inputs!$B:$B,Inputs!M:M))/_xlfn.XLOOKUP("Interest Expense",Inputs!$B:$B,Inputs!M:M),"N/A")</f>
        <v>78.904610492845791</v>
      </c>
      <c r="M51" s="15">
        <f>IFERROR((_xlfn.XLOOKUP("EBITDA",Inputs!$B:$B,Inputs!N:N)-_xlfn.XLOOKUP("Net Capex",Inputs!$B:$B,Inputs!N:N))/_xlfn.XLOOKUP("Interest Expense",Inputs!$B:$B,Inputs!N:N),"N/A")</f>
        <v>88.49916247906198</v>
      </c>
      <c r="N51" s="15">
        <f>IFERROR((_xlfn.XLOOKUP("EBITDA",Inputs!$B:$B,Inputs!O:O)-_xlfn.XLOOKUP("Net Capex",Inputs!$B:$B,Inputs!O:O))/_xlfn.XLOOKUP("Interest Expense",Inputs!$B:$B,Inputs!O:O),"N/A")</f>
        <v>79.554435483870961</v>
      </c>
      <c r="O51" s="15">
        <f>IFERROR((_xlfn.XLOOKUP("EBITDA",Inputs!$B:$B,Inputs!P:P)-_xlfn.XLOOKUP("Net Capex",Inputs!$B:$B,Inputs!P:P))/_xlfn.XLOOKUP("Interest Expense",Inputs!$B:$B,Inputs!P:P),"N/A")</f>
        <v>40.125284738041003</v>
      </c>
      <c r="P51" s="350">
        <f>IFERROR((_xlfn.XLOOKUP("EBITDA",Inputs!$B:$B,Inputs!Q:Q)-_xlfn.XLOOKUP("Net Capex",Inputs!$B:$B,Inputs!Q:Q))/_xlfn.XLOOKUP("Interest Expense",Inputs!$B:$B,Inputs!Q:Q),"N/A")</f>
        <v>28.915860735009669</v>
      </c>
      <c r="Q51" s="357" t="str">
        <f ca="1">IFERROR((_xlfn.XLOOKUP("EBITDA",DCF!$B:$B,DCF!H:H)-_xlfn.XLOOKUP("Net Capex",DCF!$B:$B,DCF!H:H))/_xlfn.XLOOKUP("Interest Expense",DCF!$B:$B,DCF!H:H),"N/A")</f>
        <v>N/A</v>
      </c>
      <c r="R51" s="357" t="str">
        <f ca="1">IFERROR((_xlfn.XLOOKUP("EBITDA",DCF!$B:$B,DCF!I:I)-_xlfn.XLOOKUP("Net Capex",DCF!$B:$B,DCF!I:I))/_xlfn.XLOOKUP("Interest Expense",DCF!$B:$B,DCF!I:I),"N/A")</f>
        <v>N/A</v>
      </c>
    </row>
    <row r="52" spans="2:18">
      <c r="P52" s="351"/>
      <c r="Q52" s="362"/>
      <c r="R52" s="362"/>
    </row>
    <row r="53" spans="2:18" ht="15.6">
      <c r="B53" s="7" t="s">
        <v>61</v>
      </c>
      <c r="C53" s="52"/>
      <c r="D53" s="54"/>
      <c r="E53" s="54"/>
      <c r="F53" s="370">
        <v>2014</v>
      </c>
      <c r="G53" s="370">
        <f t="shared" ref="G53" si="47">+F53+1</f>
        <v>2015</v>
      </c>
      <c r="H53" s="370">
        <f t="shared" ref="H53" si="48">+G53+1</f>
        <v>2016</v>
      </c>
      <c r="I53" s="370">
        <f t="shared" ref="I53" si="49">+H53+1</f>
        <v>2017</v>
      </c>
      <c r="J53" s="370">
        <f t="shared" ref="J53" si="50">+I53+1</f>
        <v>2018</v>
      </c>
      <c r="K53" s="370">
        <f t="shared" ref="K53" si="51">+J53+1</f>
        <v>2019</v>
      </c>
      <c r="L53" s="370">
        <f t="shared" ref="L53" si="52">+K53+1</f>
        <v>2020</v>
      </c>
      <c r="M53" s="370">
        <f t="shared" ref="M53" si="53">+L53+1</f>
        <v>2021</v>
      </c>
      <c r="N53" s="370">
        <v>2022</v>
      </c>
      <c r="O53" s="370">
        <f t="shared" ref="O53" si="54">+N53+1</f>
        <v>2023</v>
      </c>
      <c r="P53" s="371">
        <f>+O53+1</f>
        <v>2024</v>
      </c>
      <c r="Q53" s="369">
        <f>+P53+1</f>
        <v>2025</v>
      </c>
      <c r="R53" s="369">
        <f>+Q53+1</f>
        <v>2026</v>
      </c>
    </row>
    <row r="54" spans="2:18" ht="3.75" customHeight="1">
      <c r="B54" s="243"/>
      <c r="C54" s="49"/>
      <c r="D54" s="56"/>
      <c r="E54" s="56"/>
      <c r="F54" s="56"/>
      <c r="G54" s="56"/>
      <c r="H54" s="56"/>
      <c r="I54" s="56"/>
      <c r="J54" s="56"/>
      <c r="K54" s="56"/>
      <c r="L54" s="56"/>
      <c r="M54" s="56"/>
      <c r="N54" s="217"/>
      <c r="O54" s="217"/>
      <c r="P54" s="352"/>
      <c r="Q54" s="217"/>
      <c r="R54" s="217"/>
    </row>
    <row r="55" spans="2:18" ht="15.6">
      <c r="B55" s="17" t="s">
        <v>253</v>
      </c>
      <c r="F55" s="366">
        <f>+IFERROR(_xlfn.XLOOKUP("Operating Cash Flow",Inputs!$B:$B,Inputs!G:G,,,-1)/_xlfn.XLOOKUP("Revenue (Sales)",Inputs!$B:$B,Inputs!G:G),"")</f>
        <v>0.36545552174691248</v>
      </c>
      <c r="G55" s="366">
        <f>+IFERROR(_xlfn.XLOOKUP("Operating Cash Flow",Inputs!$B:$B,Inputs!H:H,,,-1)/_xlfn.XLOOKUP("Revenue (Sales)",Inputs!$B:$B,Inputs!H:H),"")</f>
        <v>0.34354620178845635</v>
      </c>
      <c r="H55" s="366">
        <f>+IFERROR(_xlfn.XLOOKUP("Operating Cash Flow",Inputs!$B:$B,Inputs!I:I,,,-1)/_xlfn.XLOOKUP("Revenue (Sales)",Inputs!$B:$B,Inputs!I:I),"")</f>
        <v>0.36721841480458689</v>
      </c>
      <c r="I55" s="366">
        <f>+IFERROR(_xlfn.XLOOKUP("Operating Cash Flow",Inputs!$B:$B,Inputs!J:J,,,-1)/_xlfn.XLOOKUP("Revenue (Sales)",Inputs!$B:$B,Inputs!J:J),"")</f>
        <v>0.35228884179665715</v>
      </c>
      <c r="J55" s="366">
        <f>+IFERROR(_xlfn.XLOOKUP("Operating Cash Flow",Inputs!$B:$B,Inputs!K:K,,,-1)/_xlfn.XLOOKUP("Revenue (Sales)",Inputs!$B:$B,Inputs!K:K),"")</f>
        <v>0.41542457091237578</v>
      </c>
      <c r="K55" s="366">
        <f>+IFERROR(_xlfn.XLOOKUP("Operating Cash Flow",Inputs!$B:$B,Inputs!L:L,,,-1)/_xlfn.XLOOKUP("Revenue (Sales)",Inputs!$B:$B,Inputs!L:L),"")</f>
        <v>0.48810119871587193</v>
      </c>
      <c r="L55" s="366">
        <f>+IFERROR(_xlfn.XLOOKUP("Operating Cash Flow",Inputs!$B:$B,Inputs!M:M,,,-1)/_xlfn.XLOOKUP("Revenue (Sales)",Inputs!$B:$B,Inputs!M:M),"")</f>
        <v>0.49196159122085048</v>
      </c>
      <c r="M55" s="366">
        <f>+IFERROR(_xlfn.XLOOKUP("Operating Cash Flow",Inputs!$B:$B,Inputs!N:N,,,-1)/_xlfn.XLOOKUP("Revenue (Sales)",Inputs!$B:$B,Inputs!N:N),"")</f>
        <v>0.40138922348028588</v>
      </c>
      <c r="N55" s="366">
        <f>+IFERROR(_xlfn.XLOOKUP("Operating Cash Flow",Inputs!$B:$B,Inputs!O:O,,,-1)/_xlfn.XLOOKUP("Revenue (Sales)",Inputs!$B:$B,Inputs!O:O),"")</f>
        <v>0.24475846100168111</v>
      </c>
      <c r="O55" s="366">
        <f>+IFERROR(_xlfn.XLOOKUP("Operating Cash Flow",Inputs!$B:$B,Inputs!P:P,,,-1)/_xlfn.XLOOKUP("Revenue (Sales)",Inputs!$B:$B,Inputs!P:P),"")</f>
        <v>0.21153278748985763</v>
      </c>
      <c r="P55" s="367">
        <f>+IFERROR(_xlfn.XLOOKUP("Operating Cash Flow",Inputs!$B:$B,Inputs!Q:Q,,,-1)/_xlfn.XLOOKUP("Revenue (Sales)",Inputs!$B:$B,Inputs!Q:Q),"")</f>
        <v>0.15607992316528879</v>
      </c>
      <c r="Q55" s="368">
        <f ca="1">IFERROR(_xlfn.XLOOKUP("Operating Cash Flow",DCF!$B:$B,DCF!H:H)/_xlfn.XLOOKUP("Revenue (Sales)",DCF!$B:$B,DCF!H:H),"")</f>
        <v>0.15926371966257657</v>
      </c>
      <c r="R55" s="368">
        <f ca="1">IFERROR(_xlfn.XLOOKUP("Operating Cash Flow",DCF!$B:$B,DCF!I:I)/_xlfn.XLOOKUP("Revenue (Sales)",DCF!$B:$B,DCF!I:I),"")</f>
        <v>0.17477889383456033</v>
      </c>
    </row>
    <row r="56" spans="2:18" ht="15.6">
      <c r="B56" s="17" t="s">
        <v>254</v>
      </c>
      <c r="F56" s="366">
        <f>IFERROR(_xlfn.XLOOKUP("Net Changes in Cash",Inputs!$B:$B,Inputs!G:G,,,-1)/_xlfn.XLOOKUP("Net Income",Inputs!$B:$B,Inputs!G:G),"")</f>
        <v>-0.24945909127333921</v>
      </c>
      <c r="G56" s="366">
        <f>IFERROR(_xlfn.XLOOKUP("Net Changes in Cash",Inputs!$B:$B,Inputs!H:H,,,-1)/_xlfn.XLOOKUP("Net Income",Inputs!$B:$B,Inputs!H:H),"")</f>
        <v>1.1021096316790593</v>
      </c>
      <c r="H56" s="366">
        <f>IFERROR(_xlfn.XLOOKUP("Net Changes in Cash",Inputs!$B:$B,Inputs!I:I,,,-1)/_xlfn.XLOOKUP("Net Income",Inputs!$B:$B,Inputs!I:I),"")</f>
        <v>-0.87441693577323287</v>
      </c>
      <c r="I56" s="366">
        <f>IFERROR(_xlfn.XLOOKUP("Net Changes in Cash",Inputs!$B:$B,Inputs!J:J,,,-1)/_xlfn.XLOOKUP("Net Income",Inputs!$B:$B,Inputs!J:J),"")</f>
        <v>-0.30127478753541076</v>
      </c>
      <c r="J56" s="366">
        <f>IFERROR(_xlfn.XLOOKUP("Net Changes in Cash",Inputs!$B:$B,Inputs!K:K,,,-1)/_xlfn.XLOOKUP("Net Income",Inputs!$B:$B,Inputs!K:K),"")</f>
        <v>-2.0085387153114691E-2</v>
      </c>
      <c r="K56" s="366">
        <f>IFERROR(_xlfn.XLOOKUP("Net Changes in Cash",Inputs!$B:$B,Inputs!L:L,,,-1)/_xlfn.XLOOKUP("Net Income",Inputs!$B:$B,Inputs!L:L),"")</f>
        <v>5.7793517288869216E-2</v>
      </c>
      <c r="L56" s="366">
        <f>IFERROR(_xlfn.XLOOKUP("Net Changes in Cash",Inputs!$B:$B,Inputs!M:M,,,-1)/_xlfn.XLOOKUP("Net Income",Inputs!$B:$B,Inputs!M:M),"")</f>
        <v>9.1531551270815081E-2</v>
      </c>
      <c r="M56" s="366">
        <f>IFERROR(_xlfn.XLOOKUP("Net Changes in Cash",Inputs!$B:$B,Inputs!N:N,,,-1)/_xlfn.XLOOKUP("Net Income",Inputs!$B:$B,Inputs!N:N),"")</f>
        <v>-5.6434513129995104E-2</v>
      </c>
      <c r="N56" s="366">
        <f>IFERROR(_xlfn.XLOOKUP("Net Changes in Cash",Inputs!$B:$B,Inputs!O:O,,,-1)/_xlfn.XLOOKUP("Net Income",Inputs!$B:$B,Inputs!O:O),"")</f>
        <v>2.2536567962896896</v>
      </c>
      <c r="O56" s="366">
        <f>IFERROR(_xlfn.XLOOKUP("Net Changes in Cash",Inputs!$B:$B,Inputs!P:P,,,-1)/_xlfn.XLOOKUP("Net Income",Inputs!$B:$B,Inputs!P:P),"")</f>
        <v>-2.1428571428571428</v>
      </c>
      <c r="P56" s="367">
        <f>IFERROR(_xlfn.XLOOKUP("Net Changes in Cash",Inputs!$B:$B,Inputs!Q:Q,,,-1)/_xlfn.XLOOKUP("Net Income",Inputs!$B:$B,Inputs!Q:Q),"")</f>
        <v>-9.0097027568150315E-2</v>
      </c>
      <c r="Q56" s="368">
        <f ca="1">IFERROR(_xlfn.XLOOKUP("Net Changes in Cash",DCF!$B:$B,DCF!H:H)/_xlfn.XLOOKUP("Net Income",DCF!$B:$B,DCF!H:H),"")</f>
        <v>-2.7078306799926497</v>
      </c>
      <c r="R56" s="368">
        <f ca="1">IFERROR(_xlfn.XLOOKUP("Net Changes in Cash",DCF!$B:$B,DCF!I:I)/_xlfn.XLOOKUP("Net Income",DCF!$B:$B,DCF!I:I),"")</f>
        <v>-7.3445618431548523</v>
      </c>
    </row>
    <row r="57" spans="2:18" ht="15.6">
      <c r="B57" s="17" t="s">
        <v>255</v>
      </c>
      <c r="F57" s="366">
        <f>IFERROR(_xlfn.XLOOKUP("Operating Cash Flow",Inputs!$B:$B,Inputs!G:G,,,-1)/_xlfn.XLOOKUP("Net Income",Inputs!$B:$B,Inputs!G:G),"")</f>
        <v>1.6361887971792612</v>
      </c>
      <c r="G57" s="366">
        <f>IFERROR(_xlfn.XLOOKUP("Operating Cash Flow",Inputs!$B:$B,Inputs!H:H,,,-1)/_xlfn.XLOOKUP("Net Income",Inputs!$B:$B,Inputs!H:H),"")</f>
        <v>1.64421580494553</v>
      </c>
      <c r="H57" s="366">
        <f>IFERROR(_xlfn.XLOOKUP("Operating Cash Flow",Inputs!$B:$B,Inputs!I:I,,,-1)/_xlfn.XLOOKUP("Net Income",Inputs!$B:$B,Inputs!I:I),"")</f>
        <v>1.9562253318980982</v>
      </c>
      <c r="I57" s="366">
        <f>IFERROR(_xlfn.XLOOKUP("Operating Cash Flow",Inputs!$B:$B,Inputs!J:J,,,-1)/_xlfn.XLOOKUP("Net Income",Inputs!$B:$B,Inputs!J:J),"")</f>
        <v>3.131728045325779</v>
      </c>
      <c r="J57" s="366">
        <f>IFERROR(_xlfn.XLOOKUP("Operating Cash Flow",Inputs!$B:$B,Inputs!K:K,,,-1)/_xlfn.XLOOKUP("Net Income",Inputs!$B:$B,Inputs!K:K),"")</f>
        <v>1.4279060741315739</v>
      </c>
      <c r="K57" s="366">
        <f>IFERROR(_xlfn.XLOOKUP("Operating Cash Flow",Inputs!$B:$B,Inputs!L:L,,,-1)/_xlfn.XLOOKUP("Net Income",Inputs!$B:$B,Inputs!L:L),"")</f>
        <v>1.6302690472677193</v>
      </c>
      <c r="L57" s="366">
        <f>IFERROR(_xlfn.XLOOKUP("Operating Cash Flow",Inputs!$B:$B,Inputs!M:M,,,-1)/_xlfn.XLOOKUP("Net Income",Inputs!$B:$B,Inputs!M:M),"")</f>
        <v>1.9645048203330413</v>
      </c>
      <c r="M57" s="366">
        <f>IFERROR(_xlfn.XLOOKUP("Operating Cash Flow",Inputs!$B:$B,Inputs!N:N,,,-1)/_xlfn.XLOOKUP("Net Income",Inputs!$B:$B,Inputs!N:N),"")</f>
        <v>1.6305659761865927</v>
      </c>
      <c r="N57" s="366">
        <f>IFERROR(_xlfn.XLOOKUP("Operating Cash Flow",Inputs!$B:$B,Inputs!O:O,,,-1)/_xlfn.XLOOKUP("Net Income",Inputs!$B:$B,Inputs!O:O),"")</f>
        <v>5.5058865501248659</v>
      </c>
      <c r="O57" s="366">
        <f>IFERROR(_xlfn.XLOOKUP("Operating Cash Flow",Inputs!$B:$B,Inputs!P:P,,,-1)/_xlfn.XLOOKUP("Net Income",Inputs!$B:$B,Inputs!P:P),"")</f>
        <v>6.0469161834475491</v>
      </c>
      <c r="P57" s="367">
        <f>IFERROR(_xlfn.XLOOKUP("Operating Cash Flow",Inputs!$B:$B,Inputs!Q:Q,,,-1)/_xlfn.XLOOKUP("Net Income",Inputs!$B:$B,Inputs!Q:Q),"")</f>
        <v>-0.63822578161096566</v>
      </c>
      <c r="Q57" s="368">
        <f ca="1">IFERROR(_xlfn.XLOOKUP("Operating Cash Flow",DCF!$B:$B,DCF!H:H)/_xlfn.XLOOKUP("Net Income",DCF!$B:$B,DCF!H:H),"")</f>
        <v>-0.83615830387361911</v>
      </c>
      <c r="R57" s="368">
        <f ca="1">IFERROR(_xlfn.XLOOKUP("Operating Cash Flow",DCF!$B:$B,DCF!I:I)/_xlfn.XLOOKUP("Net Income",DCF!$B:$B,DCF!I:I),"")</f>
        <v>-3.7741299249449329</v>
      </c>
    </row>
    <row r="58" spans="2:18" ht="15.6">
      <c r="B58" s="17" t="s">
        <v>256</v>
      </c>
      <c r="F58" s="366">
        <f>IFERROR(_xlfn.XLOOKUP("Net Capex",Inputs!$B:$B,Inputs!G:G,,,-1)/_xlfn.XLOOKUP("Operating Cash Flow",Inputs!$B:$B,Inputs!G:G),"")</f>
        <v>-0.49490645508864728</v>
      </c>
      <c r="G58" s="366">
        <f>IFERROR(_xlfn.XLOOKUP("Net Capex",Inputs!$B:$B,Inputs!H:H,,,-1)/_xlfn.XLOOKUP("Operating Cash Flow",Inputs!$B:$B,Inputs!H:H),"")</f>
        <v>-0.39154440763527371</v>
      </c>
      <c r="H58" s="366">
        <f>IFERROR(_xlfn.XLOOKUP("Net Capex",Inputs!$B:$B,Inputs!I:I,,,-1)/_xlfn.XLOOKUP("Operating Cash Flow",Inputs!$B:$B,Inputs!I:I),"")</f>
        <v>-0.44135179750550257</v>
      </c>
      <c r="I58" s="366">
        <f>IFERROR(_xlfn.XLOOKUP("Net Capex",Inputs!$B:$B,Inputs!J:J,,,-1)/_xlfn.XLOOKUP("Operating Cash Flow",Inputs!$B:$B,Inputs!J:J),"")</f>
        <v>-0.53270013568521035</v>
      </c>
      <c r="J58" s="366">
        <f>IFERROR(_xlfn.XLOOKUP("Net Capex",Inputs!$B:$B,Inputs!K:K,,,-1)/_xlfn.XLOOKUP("Operating Cash Flow",Inputs!$B:$B,Inputs!K:K),"")</f>
        <v>-0.51579913019842349</v>
      </c>
      <c r="K58" s="366">
        <f>IFERROR(_xlfn.XLOOKUP("Net Capex",Inputs!$B:$B,Inputs!L:L,,,-1)/_xlfn.XLOOKUP("Operating Cash Flow",Inputs!$B:$B,Inputs!L:L),"")</f>
        <v>-0.48915371850957912</v>
      </c>
      <c r="L58" s="366">
        <f>IFERROR(_xlfn.XLOOKUP("Net Capex",Inputs!$B:$B,Inputs!M:M,,,-1)/_xlfn.XLOOKUP("Operating Cash Flow",Inputs!$B:$B,Inputs!M:M),"")</f>
        <v>-0.40299464644211463</v>
      </c>
      <c r="M58" s="366">
        <f>IFERROR(_xlfn.XLOOKUP("Net Capex",Inputs!$B:$B,Inputs!N:N,,,-1)/_xlfn.XLOOKUP("Operating Cash Flow",Inputs!$B:$B,Inputs!N:N),"")</f>
        <v>-0.67783668433863498</v>
      </c>
      <c r="N58" s="366">
        <f>IFERROR(_xlfn.XLOOKUP("Net Capex",Inputs!$B:$B,Inputs!O:O,,,-1)/_xlfn.XLOOKUP("Operating Cash Flow",Inputs!$B:$B,Inputs!O:O),"")</f>
        <v>-1.6231452083198341</v>
      </c>
      <c r="O58" s="366">
        <f>IFERROR(_xlfn.XLOOKUP("Net Capex",Inputs!$B:$B,Inputs!P:P,,,-1)/_xlfn.XLOOKUP("Operating Cash Flow",Inputs!$B:$B,Inputs!P:P),"")</f>
        <v>-2.2447912126231366</v>
      </c>
      <c r="P58" s="367">
        <f>IFERROR(_xlfn.XLOOKUP("Net Capex",Inputs!$B:$B,Inputs!Q:Q,,,-1)/_xlfn.XLOOKUP("Operating Cash Flow",Inputs!$B:$B,Inputs!Q:Q),"")</f>
        <v>-2.8889961389961392</v>
      </c>
      <c r="Q58" s="368">
        <f ca="1">IFERROR(_xlfn.XLOOKUP("Net Capex",DCF!$B:$B,DCF!H:H)/_xlfn.XLOOKUP("Operating Cash Flow",DCF!$B:$B,DCF!H:H),"")</f>
        <v>-0.29036667570198132</v>
      </c>
      <c r="R58" s="368">
        <f ca="1">IFERROR(_xlfn.XLOOKUP("Net Capex",DCF!$B:$B,DCF!I:I)/_xlfn.XLOOKUP("Operating Cash Flow",DCF!$B:$B,DCF!I:I),"")</f>
        <v>-0.2785027863965196</v>
      </c>
    </row>
    <row r="59" spans="2:18" ht="15.6">
      <c r="B59" s="17" t="s">
        <v>257</v>
      </c>
      <c r="F59" s="366">
        <f>IFERROR(_xlfn.XLOOKUP("Investing Cash Flow",Inputs!$B:$B,Inputs!G:G,,,-1)/_xlfn.XLOOKUP("Operating Cash Flow",Inputs!$B:$B,Inputs!G:G),"")</f>
        <v>-0.48511117641296897</v>
      </c>
      <c r="G59" s="366">
        <f>IFERROR(_xlfn.XLOOKUP("Investing Cash Flow",Inputs!$B:$B,Inputs!H:H,,,-1)/_xlfn.XLOOKUP("Operating Cash Flow",Inputs!$B:$B,Inputs!H:H),"")</f>
        <v>-0.43029920597360255</v>
      </c>
      <c r="H59" s="366">
        <f>IFERROR(_xlfn.XLOOKUP("Investing Cash Flow",Inputs!$B:$B,Inputs!I:I,,,-1)/_xlfn.XLOOKUP("Operating Cash Flow",Inputs!$B:$B,Inputs!I:I),"")</f>
        <v>-1.1838316214233309</v>
      </c>
      <c r="I59" s="366">
        <f>IFERROR(_xlfn.XLOOKUP("Investing Cash Flow",Inputs!$B:$B,Inputs!J:J,,,-1)/_xlfn.XLOOKUP("Operating Cash Flow",Inputs!$B:$B,Inputs!J:J),"")</f>
        <v>-0.71289009497964717</v>
      </c>
      <c r="J59" s="366">
        <f>IFERROR(_xlfn.XLOOKUP("Investing Cash Flow",Inputs!$B:$B,Inputs!K:K,,,-1)/_xlfn.XLOOKUP("Operating Cash Flow",Inputs!$B:$B,Inputs!K:K),"")</f>
        <v>-0.3818632780646915</v>
      </c>
      <c r="K59" s="366">
        <f>IFERROR(_xlfn.XLOOKUP("Investing Cash Flow",Inputs!$B:$B,Inputs!L:L,,,-1)/_xlfn.XLOOKUP("Operating Cash Flow",Inputs!$B:$B,Inputs!L:L),"")</f>
        <v>-0.43460552119475032</v>
      </c>
      <c r="L59" s="366">
        <f>IFERROR(_xlfn.XLOOKUP("Investing Cash Flow",Inputs!$B:$B,Inputs!M:M,,,-1)/_xlfn.XLOOKUP("Operating Cash Flow",Inputs!$B:$B,Inputs!M:M),"")</f>
        <v>-0.60015614543832252</v>
      </c>
      <c r="M59" s="366">
        <f>IFERROR(_xlfn.XLOOKUP("Investing Cash Flow",Inputs!$B:$B,Inputs!N:N,,,-1)/_xlfn.XLOOKUP("Operating Cash Flow",Inputs!$B:$B,Inputs!N:N),"")</f>
        <v>-0.83915174552365712</v>
      </c>
      <c r="N59" s="366">
        <f>IFERROR(_xlfn.XLOOKUP("Investing Cash Flow",Inputs!$B:$B,Inputs!O:O,,,-1)/_xlfn.XLOOKUP("Operating Cash Flow",Inputs!$B:$B,Inputs!O:O),"")</f>
        <v>-0.66293008488304284</v>
      </c>
      <c r="O59" s="366">
        <f>IFERROR(_xlfn.XLOOKUP("Investing Cash Flow",Inputs!$B:$B,Inputs!P:P,,,-1)/_xlfn.XLOOKUP("Operating Cash Flow",Inputs!$B:$B,Inputs!P:P),"")</f>
        <v>-2.0958068171911779</v>
      </c>
      <c r="P59" s="367">
        <f>IFERROR(_xlfn.XLOOKUP("Investing Cash Flow",Inputs!$B:$B,Inputs!Q:Q,,,-1)/_xlfn.XLOOKUP("Operating Cash Flow",Inputs!$B:$B,Inputs!Q:Q),"")</f>
        <v>-2.2027027027027026</v>
      </c>
      <c r="Q59" s="368">
        <f ca="1">IFERROR(_xlfn.XLOOKUP("Investing Cash Flow",DCF!$B:$B,DCF!H:H)/_xlfn.XLOOKUP("Operating Cash Flow",DCF!$B:$B,DCF!H:H),"")</f>
        <v>0.15088187177969178</v>
      </c>
      <c r="R59" s="368">
        <f ca="1">IFERROR(_xlfn.XLOOKUP("Investing Cash Flow",DCF!$B:$B,DCF!I:I)/_xlfn.XLOOKUP("Operating Cash Flow",DCF!$B:$B,DCF!I:I),"")</f>
        <v>6.5367707344371404E-2</v>
      </c>
    </row>
    <row r="60" spans="2:18" ht="15.6">
      <c r="B60" s="17" t="s">
        <v>258</v>
      </c>
      <c r="F60" s="366">
        <f>IFERROR((_xlfn.XLOOKUP("Debt Borrowing",Inputs!$B:$B,Inputs!G:G,,,-1)-_xlfn.XLOOKUP("Debt Repayment",Inputs!$B:$B,Inputs!G:G))/_xlfn.XLOOKUP("Operating Cash Flow",Inputs!$B:$B,Inputs!G:G),"")</f>
        <v>0</v>
      </c>
      <c r="G60" s="366">
        <f>IFERROR((_xlfn.XLOOKUP("Debt Borrowing",Inputs!$B:$B,Inputs!H:H,,,-1)-_xlfn.XLOOKUP("Debt Repayment",Inputs!$B:$B,Inputs!H:H))/_xlfn.XLOOKUP("Operating Cash Flow",Inputs!$B:$B,Inputs!H:H),"")</f>
        <v>0.5038123783982752</v>
      </c>
      <c r="H60" s="366">
        <f>IFERROR((_xlfn.XLOOKUP("Debt Borrowing",Inputs!$B:$B,Inputs!I:I,,,-1)-_xlfn.XLOOKUP("Debt Repayment",Inputs!$B:$B,Inputs!I:I))/_xlfn.XLOOKUP("Operating Cash Flow",Inputs!$B:$B,Inputs!I:I),"")</f>
        <v>0.19414893617021275</v>
      </c>
      <c r="I60" s="366">
        <f>IFERROR((_xlfn.XLOOKUP("Debt Borrowing",Inputs!$B:$B,Inputs!J:J,,,-1)-_xlfn.XLOOKUP("Debt Repayment",Inputs!$B:$B,Inputs!J:J))/_xlfn.XLOOKUP("Operating Cash Flow",Inputs!$B:$B,Inputs!J:J),"")</f>
        <v>0.71442786069651742</v>
      </c>
      <c r="J60" s="366">
        <f>IFERROR((_xlfn.XLOOKUP("Debt Borrowing",Inputs!$B:$B,Inputs!K:K,,,-1)-_xlfn.XLOOKUP("Debt Repayment",Inputs!$B:$B,Inputs!K:K))/_xlfn.XLOOKUP("Operating Cash Flow",Inputs!$B:$B,Inputs!K:K),"")</f>
        <v>0.11718537646099483</v>
      </c>
      <c r="K60" s="366">
        <f>IFERROR((_xlfn.XLOOKUP("Debt Borrowing",Inputs!$B:$B,Inputs!L:L,,,-1)-_xlfn.XLOOKUP("Debt Repayment",Inputs!$B:$B,Inputs!L:L))/_xlfn.XLOOKUP("Operating Cash Flow",Inputs!$B:$B,Inputs!L:L),"")</f>
        <v>0.18159601749886861</v>
      </c>
      <c r="L60" s="366">
        <f>IFERROR((_xlfn.XLOOKUP("Debt Borrowing",Inputs!$B:$B,Inputs!M:M,,,-1)-_xlfn.XLOOKUP("Debt Repayment",Inputs!$B:$B,Inputs!M:M))/_xlfn.XLOOKUP("Operating Cash Flow",Inputs!$B:$B,Inputs!M:M),"")</f>
        <v>0.41188935980370289</v>
      </c>
      <c r="M60" s="366">
        <f>IFERROR((_xlfn.XLOOKUP("Debt Borrowing",Inputs!$B:$B,Inputs!N:N,,,-1)-_xlfn.XLOOKUP("Debt Repayment",Inputs!$B:$B,Inputs!N:N))/_xlfn.XLOOKUP("Operating Cash Flow",Inputs!$B:$B,Inputs!N:N),"")</f>
        <v>0.24920809576206196</v>
      </c>
      <c r="N60" s="366">
        <f>IFERROR((_xlfn.XLOOKUP("Debt Borrowing",Inputs!$B:$B,Inputs!O:O,,,-1)-_xlfn.XLOOKUP("Debt Repayment",Inputs!$B:$B,Inputs!O:O))/_xlfn.XLOOKUP("Operating Cash Flow",Inputs!$B:$B,Inputs!O:O),"")</f>
        <v>0.76958465625607464</v>
      </c>
      <c r="O60" s="366">
        <f>IFERROR((_xlfn.XLOOKUP("Debt Borrowing",Inputs!$B:$B,Inputs!P:P,,,-1)-_xlfn.XLOOKUP("Debt Repayment",Inputs!$B:$B,Inputs!P:P))/_xlfn.XLOOKUP("Operating Cash Flow",Inputs!$B:$B,Inputs!P:P),"")</f>
        <v>1.0382704210618081</v>
      </c>
      <c r="P60" s="367">
        <f>IFERROR((_xlfn.XLOOKUP("Debt Borrowing",Inputs!$B:$B,Inputs!Q:Q,,,-1)-_xlfn.XLOOKUP("Debt Repayment",Inputs!$B:$B,Inputs!Q:Q))/_xlfn.XLOOKUP("Operating Cash Flow",Inputs!$B:$B,Inputs!Q:Q),"")</f>
        <v>0.63501447876447881</v>
      </c>
      <c r="Q60" s="368">
        <f ca="1">IFERROR((_xlfn.XLOOKUP("Debt Borrowing",DCF!$B:$B,DCF!H:H)-_xlfn.XLOOKUP("Debt Repayment",DCF!$B:$B,DCF!H:H))/_xlfn.XLOOKUP("Operating Cash Flow",DCF!$B:$B,DCF!H:H),"")</f>
        <v>1.6789237160053776</v>
      </c>
      <c r="R60" s="368">
        <f ca="1">IFERROR((_xlfn.XLOOKUP("Debt Borrowing",DCF!$B:$B,DCF!I:I)-_xlfn.XLOOKUP("Debt Repayment",DCF!$B:$B,DCF!I:I))/_xlfn.XLOOKUP("Operating Cash Flow",DCF!$B:$B,DCF!I:I),"")</f>
        <v>-0.56126627614544455</v>
      </c>
    </row>
    <row r="61" spans="2:18" ht="15.6">
      <c r="B61" s="17" t="s">
        <v>627</v>
      </c>
      <c r="F61" s="366" t="str">
        <f>IFERROR(-_xlfn.XLOOKUP("Debt Repayment",Inputs!$B:$B,Inputs!G:G,,,-1)/_xlfn.XLOOKUP("Debt Borrowing",Inputs!$B:$B,Inputs!G:G),"")</f>
        <v/>
      </c>
      <c r="G61" s="366">
        <f>IFERROR(-_xlfn.XLOOKUP("Debt Repayment",Inputs!$B:$B,Inputs!H:H,,,-1)/_xlfn.XLOOKUP("Debt Borrowing",Inputs!$B:$B,Inputs!H:H),"")</f>
        <v>0</v>
      </c>
      <c r="H61" s="366">
        <f>IFERROR(-_xlfn.XLOOKUP("Debt Repayment",Inputs!$B:$B,Inputs!I:I,,,-1)/_xlfn.XLOOKUP("Debt Borrowing",Inputs!$B:$B,Inputs!I:I),"")</f>
        <v>0.54864667154352598</v>
      </c>
      <c r="I61" s="366">
        <f>IFERROR(-_xlfn.XLOOKUP("Debt Repayment",Inputs!$B:$B,Inputs!J:J,,,-1)/_xlfn.XLOOKUP("Debt Borrowing",Inputs!$B:$B,Inputs!J:J),"")</f>
        <v>1.0471747019180924</v>
      </c>
      <c r="J61" s="366">
        <f>IFERROR(-_xlfn.XLOOKUP("Debt Repayment",Inputs!$B:$B,Inputs!K:K,,,-1)/_xlfn.XLOOKUP("Debt Borrowing",Inputs!$B:$B,Inputs!K:K),"")</f>
        <v>7.1536643026004727</v>
      </c>
      <c r="K61" s="366">
        <f>IFERROR(-_xlfn.XLOOKUP("Debt Repayment",Inputs!$B:$B,Inputs!L:L,,,-1)/_xlfn.XLOOKUP("Debt Borrowing",Inputs!$B:$B,Inputs!L:L),"")</f>
        <v>0.77446933962264153</v>
      </c>
      <c r="L61" s="366">
        <f>IFERROR(-_xlfn.XLOOKUP("Debt Repayment",Inputs!$B:$B,Inputs!M:M,,,-1)/_xlfn.XLOOKUP("Debt Borrowing",Inputs!$B:$B,Inputs!M:M),"")</f>
        <v>0.44159266126671221</v>
      </c>
      <c r="M61" s="366">
        <f>IFERROR(-_xlfn.XLOOKUP("Debt Repayment",Inputs!$B:$B,Inputs!N:N,,,-1)/_xlfn.XLOOKUP("Debt Borrowing",Inputs!$B:$B,Inputs!N:N),"")</f>
        <v>0.50261359067149181</v>
      </c>
      <c r="N61" s="366">
        <f>IFERROR(-_xlfn.XLOOKUP("Debt Repayment",Inputs!$B:$B,Inputs!O:O,,,-1)/_xlfn.XLOOKUP("Debt Borrowing",Inputs!$B:$B,Inputs!O:O),"")</f>
        <v>0.81383628588882106</v>
      </c>
      <c r="O61" s="366">
        <f>IFERROR(-_xlfn.XLOOKUP("Debt Repayment",Inputs!$B:$B,Inputs!P:P,,,-1)/_xlfn.XLOOKUP("Debt Borrowing",Inputs!$B:$B,Inputs!P:P),"")</f>
        <v>4.5562286015275219E-2</v>
      </c>
      <c r="P61" s="367">
        <f>IFERROR(-_xlfn.XLOOKUP("Debt Repayment",Inputs!$B:$B,Inputs!Q:Q,,,-1)/_xlfn.XLOOKUP("Debt Borrowing",Inputs!$B:$B,Inputs!Q:Q),"")</f>
        <v>0.76907563025210079</v>
      </c>
      <c r="Q61" s="368">
        <f ca="1">IFERROR(-_xlfn.XLOOKUP("Debt Repayment",DCF!$B:$B,DCF!H:H)/_xlfn.XLOOKUP("Debt Borrowing",DCF!$B:$B,DCF!H:H),"")</f>
        <v>0</v>
      </c>
      <c r="R61" s="368" t="str">
        <f ca="1">IFERROR(-_xlfn.XLOOKUP("Debt Repayment",DCF!$B:$B,DCF!I:I)/_xlfn.XLOOKUP("Debt Borrowing",DCF!$B:$B,DCF!I:I),"")</f>
        <v/>
      </c>
    </row>
    <row r="62" spans="2:18" ht="15.6">
      <c r="B62" s="17" t="s">
        <v>260</v>
      </c>
      <c r="F62" s="366">
        <f>IFERROR(_xlfn.XLOOKUP("Financing Cash Flow",Inputs!$B:$B,Inputs!G:G,,,-1)/_xlfn.XLOOKUP("Operating Cash Flow",Inputs!$B:$B,Inputs!G:G),"")</f>
        <v>-0.66661769027328832</v>
      </c>
      <c r="G62" s="366">
        <f>IFERROR(_xlfn.XLOOKUP("Financing Cash Flow",Inputs!$B:$B,Inputs!H:H,,,-1)/_xlfn.XLOOKUP("Operating Cash Flow",Inputs!$B:$B,Inputs!H:H),"")</f>
        <v>0.10054162065520324</v>
      </c>
      <c r="H62" s="366">
        <f>IFERROR(_xlfn.XLOOKUP("Financing Cash Flow",Inputs!$B:$B,Inputs!I:I,,,-1)/_xlfn.XLOOKUP("Operating Cash Flow",Inputs!$B:$B,Inputs!I:I),"")</f>
        <v>-0.26316030814380043</v>
      </c>
      <c r="I62" s="366">
        <f>IFERROR(_xlfn.XLOOKUP("Financing Cash Flow",Inputs!$B:$B,Inputs!J:J,,,-1)/_xlfn.XLOOKUP("Operating Cash Flow",Inputs!$B:$B,Inputs!J:J),"")</f>
        <v>-0.38331071913161463</v>
      </c>
      <c r="J62" s="366">
        <f>IFERROR(_xlfn.XLOOKUP("Financing Cash Flow",Inputs!$B:$B,Inputs!K:K,,,-1)/_xlfn.XLOOKUP("Operating Cash Flow",Inputs!$B:$B,Inputs!K:K),"")</f>
        <v>-0.63220304430551777</v>
      </c>
      <c r="K62" s="366">
        <f>IFERROR(_xlfn.XLOOKUP("Financing Cash Flow",Inputs!$B:$B,Inputs!L:L,,,-1)/_xlfn.XLOOKUP("Operating Cash Flow",Inputs!$B:$B,Inputs!L:L),"")</f>
        <v>-0.52994418464323423</v>
      </c>
      <c r="L62" s="366">
        <f>IFERROR(_xlfn.XLOOKUP("Financing Cash Flow",Inputs!$B:$B,Inputs!M:M,,,-1)/_xlfn.XLOOKUP("Operating Cash Flow",Inputs!$B:$B,Inputs!M:M),"")</f>
        <v>-0.35325117109078741</v>
      </c>
      <c r="M62" s="366">
        <f>IFERROR(_xlfn.XLOOKUP("Financing Cash Flow",Inputs!$B:$B,Inputs!N:N,,,-1)/_xlfn.XLOOKUP("Operating Cash Flow",Inputs!$B:$B,Inputs!N:N),"")</f>
        <v>-0.19545863759127738</v>
      </c>
      <c r="N62" s="366">
        <f>IFERROR(_xlfn.XLOOKUP("Financing Cash Flow",Inputs!$B:$B,Inputs!O:O,,,-1)/_xlfn.XLOOKUP("Operating Cash Flow",Inputs!$B:$B,Inputs!O:O),"")</f>
        <v>7.2247780729605388E-2</v>
      </c>
      <c r="O62" s="366">
        <f>IFERROR(_xlfn.XLOOKUP("Financing Cash Flow",Inputs!$B:$B,Inputs!P:P,,,-1)/_xlfn.XLOOKUP("Operating Cash Flow",Inputs!$B:$B,Inputs!P:P),"")</f>
        <v>0.74143492284892332</v>
      </c>
      <c r="P62" s="367">
        <f>IFERROR(_xlfn.XLOOKUP("Financing Cash Flow",Inputs!$B:$B,Inputs!Q:Q,,,-1)/_xlfn.XLOOKUP("Operating Cash Flow",Inputs!$B:$B,Inputs!Q:Q),"")</f>
        <v>1.3438706563706564</v>
      </c>
      <c r="Q62" s="368">
        <f ca="1">IFERROR(_xlfn.XLOOKUP("Financing Cash Flow",DCF!$B:$B,DCF!H:H)/_xlfn.XLOOKUP("Operating Cash Flow",DCF!$B:$B,DCF!H:H),"")</f>
        <v>2.0875368193320862</v>
      </c>
      <c r="R62" s="368">
        <f ca="1">IFERROR(_xlfn.XLOOKUP("Financing Cash Flow",DCF!$B:$B,DCF!I:I)/_xlfn.XLOOKUP("Operating Cash Flow",DCF!$B:$B,DCF!I:I),"")</f>
        <v>0.88066011607827199</v>
      </c>
    </row>
    <row r="63" spans="2:18" ht="15.6">
      <c r="B63" s="17" t="s">
        <v>67</v>
      </c>
      <c r="F63" s="366">
        <f>IFERROR(_xlfn.XLOOKUP("Net Income",Inputs!$B:$B,Inputs!G:G,,,-1)/_xlfn.XLOOKUP("Operating Cash Flow",Inputs!$B:$B,Inputs!G:G),"")</f>
        <v>0.61117641296894898</v>
      </c>
      <c r="G63" s="366">
        <f>IFERROR(_xlfn.XLOOKUP("Net Income",Inputs!$B:$B,Inputs!H:H,,,-1)/_xlfn.XLOOKUP("Operating Cash Flow",Inputs!$B:$B,Inputs!H:H),"")</f>
        <v>0.60819266971656938</v>
      </c>
      <c r="H63" s="366">
        <f>IFERROR(_xlfn.XLOOKUP("Net Income",Inputs!$B:$B,Inputs!I:I,,,-1)/_xlfn.XLOOKUP("Operating Cash Flow",Inputs!$B:$B,Inputs!I:I),"")</f>
        <v>0.51118855465884083</v>
      </c>
      <c r="I63" s="366">
        <f>IFERROR(_xlfn.XLOOKUP("Net Income",Inputs!$B:$B,Inputs!J:J,,,-1)/_xlfn.XLOOKUP("Operating Cash Flow",Inputs!$B:$B,Inputs!J:J),"")</f>
        <v>0.31931252826775214</v>
      </c>
      <c r="J63" s="366">
        <f>IFERROR(_xlfn.XLOOKUP("Net Income",Inputs!$B:$B,Inputs!K:K,,,-1)/_xlfn.XLOOKUP("Operating Cash Flow",Inputs!$B:$B,Inputs!K:K),"")</f>
        <v>0.70032617559119326</v>
      </c>
      <c r="K63" s="366">
        <f>IFERROR(_xlfn.XLOOKUP("Net Income",Inputs!$B:$B,Inputs!L:L,,,-1)/_xlfn.XLOOKUP("Operating Cash Flow",Inputs!$B:$B,Inputs!L:L),"")</f>
        <v>0.61339568562377433</v>
      </c>
      <c r="L63" s="366">
        <f>IFERROR(_xlfn.XLOOKUP("Net Income",Inputs!$B:$B,Inputs!M:M,,,-1)/_xlfn.XLOOKUP("Operating Cash Flow",Inputs!$B:$B,Inputs!M:M),"")</f>
        <v>0.50903412893151911</v>
      </c>
      <c r="M63" s="366">
        <f>IFERROR(_xlfn.XLOOKUP("Net Income",Inputs!$B:$B,Inputs!N:N,,,-1)/_xlfn.XLOOKUP("Operating Cash Flow",Inputs!$B:$B,Inputs!N:N),"")</f>
        <v>0.61328398519555871</v>
      </c>
      <c r="N63" s="366">
        <f>IFERROR(_xlfn.XLOOKUP("Net Income",Inputs!$B:$B,Inputs!O:O,,,-1)/_xlfn.XLOOKUP("Operating Cash Flow",Inputs!$B:$B,Inputs!O:O),"")</f>
        <v>0.18162379317047883</v>
      </c>
      <c r="O63" s="366">
        <f>IFERROR(_xlfn.XLOOKUP("Net Income",Inputs!$B:$B,Inputs!P:P,,,-1)/_xlfn.XLOOKUP("Operating Cash Flow",Inputs!$B:$B,Inputs!P:P),"")</f>
        <v>0.16537355069305204</v>
      </c>
      <c r="P63" s="367">
        <f>IFERROR(_xlfn.XLOOKUP("Net Income",Inputs!$B:$B,Inputs!Q:Q,,,-1)/_xlfn.XLOOKUP("Operating Cash Flow",Inputs!$B:$B,Inputs!Q:Q),"")</f>
        <v>-1.5668436293436294</v>
      </c>
      <c r="Q63" s="368">
        <f ca="1">IFERROR(_xlfn.XLOOKUP("Net Income",DCF!$B:$B,DCF!H:H)/_xlfn.XLOOKUP("Operating Cash Flow",DCF!$B:$B,DCF!H:H),"")</f>
        <v>-1.1959457860639087</v>
      </c>
      <c r="R63" s="368">
        <f ca="1">IFERROR(_xlfn.XLOOKUP("Net Income",DCF!$B:$B,DCF!I:I)/_xlfn.XLOOKUP("Operating Cash Flow",DCF!$B:$B,DCF!I:I),"")</f>
        <v>-0.26496173154785885</v>
      </c>
    </row>
    <row r="64" spans="2:18" ht="15.6">
      <c r="B64" s="29" t="s">
        <v>69</v>
      </c>
      <c r="F64" s="366">
        <f>IFERROR(_xlfn.XLOOKUP("Net Changes in Cash",Inputs!$B:$B,Inputs!G:G,,,-1)/_xlfn.XLOOKUP("Operating Cash Flow",Inputs!$B:$B,Inputs!G:G),"")</f>
        <v>-0.15246351258693311</v>
      </c>
      <c r="G64" s="366">
        <f>IFERROR(_xlfn.XLOOKUP("Net Changes in Cash",Inputs!$B:$B,Inputs!H:H,,,-1)/_xlfn.XLOOKUP("Operating Cash Flow",Inputs!$B:$B,Inputs!H:H),"")</f>
        <v>0.67029499921123203</v>
      </c>
      <c r="H64" s="366">
        <f>IFERROR(_xlfn.XLOOKUP("Net Changes in Cash",Inputs!$B:$B,Inputs!I:I,,,-1)/_xlfn.XLOOKUP("Operating Cash Flow",Inputs!$B:$B,Inputs!I:I),"")</f>
        <v>-0.44699192956713135</v>
      </c>
      <c r="I64" s="366">
        <f>IFERROR(_xlfn.XLOOKUP("Net Changes in Cash",Inputs!$B:$B,Inputs!J:J,,,-1)/_xlfn.XLOOKUP("Operating Cash Flow",Inputs!$B:$B,Inputs!J:J),"")</f>
        <v>-9.620081411126187E-2</v>
      </c>
      <c r="J64" s="366">
        <f>IFERROR(_xlfn.XLOOKUP("Net Changes in Cash",Inputs!$B:$B,Inputs!K:K,,,-1)/_xlfn.XLOOKUP("Operating Cash Flow",Inputs!$B:$B,Inputs!K:K),"")</f>
        <v>-1.4066322370209296E-2</v>
      </c>
      <c r="K64" s="366">
        <f>IFERROR(_xlfn.XLOOKUP("Net Changes in Cash",Inputs!$B:$B,Inputs!L:L,,,-1)/_xlfn.XLOOKUP("Operating Cash Flow",Inputs!$B:$B,Inputs!L:L),"")</f>
        <v>3.5450294162015387E-2</v>
      </c>
      <c r="L64" s="366">
        <f>IFERROR(_xlfn.XLOOKUP("Net Changes in Cash",Inputs!$B:$B,Inputs!M:M,,,-1)/_xlfn.XLOOKUP("Operating Cash Flow",Inputs!$B:$B,Inputs!M:M),"")</f>
        <v>4.6592683470890031E-2</v>
      </c>
      <c r="M64" s="366">
        <f>IFERROR(_xlfn.XLOOKUP("Net Changes in Cash",Inputs!$B:$B,Inputs!N:N,,,-1)/_xlfn.XLOOKUP("Operating Cash Flow",Inputs!$B:$B,Inputs!N:N),"")</f>
        <v>-3.461038311493448E-2</v>
      </c>
      <c r="N64" s="366">
        <f>IFERROR(_xlfn.XLOOKUP("Net Changes in Cash",Inputs!$B:$B,Inputs!O:O,,,-1)/_xlfn.XLOOKUP("Operating Cash Flow",Inputs!$B:$B,Inputs!O:O),"")</f>
        <v>0.40931769584656258</v>
      </c>
      <c r="O64" s="366">
        <f>IFERROR(_xlfn.XLOOKUP("Net Changes in Cash",Inputs!$B:$B,Inputs!P:P,,,-1)/_xlfn.XLOOKUP("Operating Cash Flow",Inputs!$B:$B,Inputs!P:P),"")</f>
        <v>-0.35437189434225436</v>
      </c>
      <c r="P64" s="367">
        <f>IFERROR(_xlfn.XLOOKUP("Net Changes in Cash",Inputs!$B:$B,Inputs!Q:Q,,,-1)/_xlfn.XLOOKUP("Operating Cash Flow",Inputs!$B:$B,Inputs!Q:Q),"")</f>
        <v>0.14116795366795368</v>
      </c>
      <c r="Q64" s="368">
        <f ca="1">IFERROR(_xlfn.XLOOKUP("Net Changes in Cash",DCF!$B:$B,DCF!H:H)/_xlfn.XLOOKUP("Operating Cash Flow",DCF!$B:$B,DCF!H:H),"")</f>
        <v>3.2384186911117778</v>
      </c>
      <c r="R64" s="368">
        <f ca="1">IFERROR(_xlfn.XLOOKUP("Net Changes in Cash",DCF!$B:$B,DCF!I:I)/_xlfn.XLOOKUP("Operating Cash Flow",DCF!$B:$B,DCF!I:I),"")</f>
        <v>1.9460278234226434</v>
      </c>
    </row>
    <row r="67" spans="2:20" ht="20.100000000000001" customHeight="1">
      <c r="T67" s="1"/>
    </row>
    <row r="69" spans="2:20">
      <c r="B69" s="398"/>
    </row>
    <row r="70" spans="2:20">
      <c r="B70" s="398"/>
    </row>
    <row r="71" spans="2:20">
      <c r="B71" s="398"/>
    </row>
    <row r="72" spans="2:20">
      <c r="B72" s="398"/>
    </row>
    <row r="73" spans="2:20">
      <c r="B73" s="398"/>
    </row>
    <row r="74" spans="2:20">
      <c r="B74" s="398"/>
    </row>
    <row r="75" spans="2:20">
      <c r="B75" s="398"/>
    </row>
    <row r="76" spans="2:20">
      <c r="B76" s="398"/>
    </row>
  </sheetData>
  <pageMargins left="0.7" right="0.7" top="0.75" bottom="0.75" header="0.3" footer="0.3"/>
  <pageSetup paperSize="9" orientation="portrait" r:id="rId1"/>
  <drawing r:id="rId2"/>
  <extLst>
    <ext xmlns:x14="http://schemas.microsoft.com/office/spreadsheetml/2009/9/main" uri="{05C60535-1F16-4fd2-B633-F4F36F0B64E0}">
      <x14:sparklineGroups xmlns:xm="http://schemas.microsoft.com/office/excel/2006/main">
        <x14:sparklineGroup displayEmptyCellsAs="gap" xr2:uid="{00000000-0003-0000-0A00-000061000000}">
          <x14:colorSeries rgb="FF7B1314"/>
          <x14:colorNegative rgb="FFD00000"/>
          <x14:colorAxis rgb="FF000000"/>
          <x14:colorMarkers rgb="FFD00000"/>
          <x14:colorFirst rgb="FFD00000"/>
          <x14:colorLast rgb="FFD00000"/>
          <x14:colorHigh rgb="FFD00000"/>
          <x14:colorLow rgb="FFD00000"/>
          <x14:sparklines>
            <x14:sparkline>
              <xm:f>Multiples!F61:R61</xm:f>
              <xm:sqref>E61</xm:sqref>
            </x14:sparkline>
          </x14:sparklines>
        </x14:sparklineGroup>
        <x14:sparklineGroup displayEmptyCellsAs="gap" xr2:uid="{00000000-0003-0000-0A00-000062000000}">
          <x14:colorSeries rgb="FF7B1314"/>
          <x14:colorNegative rgb="FFD00000"/>
          <x14:colorAxis rgb="FF000000"/>
          <x14:colorMarkers rgb="FFD00000"/>
          <x14:colorFirst rgb="FFD00000"/>
          <x14:colorLast rgb="FFD00000"/>
          <x14:colorHigh rgb="FFD00000"/>
          <x14:colorLow rgb="FFD00000"/>
          <x14:sparklines>
            <x14:sparkline>
              <xm:f>Multiples!F62:R62</xm:f>
              <xm:sqref>E62</xm:sqref>
            </x14:sparkline>
          </x14:sparklines>
        </x14:sparklineGroup>
        <x14:sparklineGroup displayEmptyCellsAs="gap" xr2:uid="{00000000-0003-0000-0A00-000063000000}">
          <x14:colorSeries rgb="FF7B1314"/>
          <x14:colorNegative rgb="FFD00000"/>
          <x14:colorAxis rgb="FF000000"/>
          <x14:colorMarkers rgb="FFD00000"/>
          <x14:colorFirst rgb="FFD00000"/>
          <x14:colorLast rgb="FFD00000"/>
          <x14:colorHigh rgb="FFD00000"/>
          <x14:colorLow rgb="FFD00000"/>
          <x14:sparklines>
            <x14:sparkline>
              <xm:f>Multiples!F60:R60</xm:f>
              <xm:sqref>E60</xm:sqref>
            </x14:sparkline>
          </x14:sparklines>
        </x14:sparklineGroup>
        <x14:sparklineGroup displayEmptyCellsAs="gap" xr2:uid="{00000000-0003-0000-0A00-000064000000}">
          <x14:colorSeries rgb="FF7B1314"/>
          <x14:colorNegative rgb="FFD00000"/>
          <x14:colorAxis rgb="FF000000"/>
          <x14:colorMarkers rgb="FFD00000"/>
          <x14:colorFirst rgb="FFD00000"/>
          <x14:colorLast rgb="FFD00000"/>
          <x14:colorHigh rgb="FFD00000"/>
          <x14:colorLow rgb="FFD00000"/>
          <x14:sparklines>
            <x14:sparkline>
              <xm:f>Multiples!F59:R59</xm:f>
              <xm:sqref>E59</xm:sqref>
            </x14:sparkline>
          </x14:sparklines>
        </x14:sparklineGroup>
        <x14:sparklineGroup displayEmptyCellsAs="gap" xr2:uid="{00000000-0003-0000-0A00-000065000000}">
          <x14:colorSeries rgb="FF7B1314"/>
          <x14:colorNegative rgb="FFD00000"/>
          <x14:colorAxis rgb="FF000000"/>
          <x14:colorMarkers rgb="FFD00000"/>
          <x14:colorFirst rgb="FFD00000"/>
          <x14:colorLast rgb="FFD00000"/>
          <x14:colorHigh rgb="FFD00000"/>
          <x14:colorLow rgb="FFD00000"/>
          <x14:sparklines>
            <x14:sparkline>
              <xm:f>Multiples!F58:R58</xm:f>
              <xm:sqref>E58</xm:sqref>
            </x14:sparkline>
          </x14:sparklines>
        </x14:sparklineGroup>
        <x14:sparklineGroup displayEmptyCellsAs="gap" xr2:uid="{00000000-0003-0000-0A00-000066000000}">
          <x14:colorSeries rgb="FF7B1314"/>
          <x14:colorNegative rgb="FFD00000"/>
          <x14:colorAxis rgb="FF000000"/>
          <x14:colorMarkers rgb="FFD00000"/>
          <x14:colorFirst rgb="FFD00000"/>
          <x14:colorLast rgb="FFD00000"/>
          <x14:colorHigh rgb="FFD00000"/>
          <x14:colorLow rgb="FFD00000"/>
          <x14:sparklines>
            <x14:sparkline>
              <xm:f>Multiples!F57:R57</xm:f>
              <xm:sqref>E57</xm:sqref>
            </x14:sparkline>
          </x14:sparklines>
        </x14:sparklineGroup>
        <x14:sparklineGroup displayEmptyCellsAs="gap" xr2:uid="{00000000-0003-0000-0A00-000067000000}">
          <x14:colorSeries rgb="FF7B1314"/>
          <x14:colorNegative rgb="FFD00000"/>
          <x14:colorAxis rgb="FF000000"/>
          <x14:colorMarkers rgb="FFD00000"/>
          <x14:colorFirst rgb="FFD00000"/>
          <x14:colorLast rgb="FFD00000"/>
          <x14:colorHigh rgb="FFD00000"/>
          <x14:colorLow rgb="FFD00000"/>
          <x14:sparklines>
            <x14:sparkline>
              <xm:f>Multiples!F56:R56</xm:f>
              <xm:sqref>E56</xm:sqref>
            </x14:sparkline>
          </x14:sparklines>
        </x14:sparklineGroup>
        <x14:sparklineGroup displayEmptyCellsAs="gap" xr2:uid="{00000000-0003-0000-0A00-000068000000}">
          <x14:colorSeries rgb="FF7B1314"/>
          <x14:colorNegative rgb="FFD00000"/>
          <x14:colorAxis rgb="FF000000"/>
          <x14:colorMarkers rgb="FFD00000"/>
          <x14:colorFirst rgb="FFD00000"/>
          <x14:colorLast rgb="FFD00000"/>
          <x14:colorHigh rgb="FFD00000"/>
          <x14:colorLow rgb="FFD00000"/>
          <x14:sparklines>
            <x14:sparkline>
              <xm:f>Multiples!F64:R64</xm:f>
              <xm:sqref>E64</xm:sqref>
            </x14:sparkline>
          </x14:sparklines>
        </x14:sparklineGroup>
        <x14:sparklineGroup displayEmptyCellsAs="gap" xr2:uid="{00000000-0003-0000-0A00-000069000000}">
          <x14:colorSeries rgb="FF7B1314"/>
          <x14:colorNegative rgb="FFD00000"/>
          <x14:colorAxis rgb="FF000000"/>
          <x14:colorMarkers rgb="FFD00000"/>
          <x14:colorFirst rgb="FFD00000"/>
          <x14:colorLast rgb="FFD00000"/>
          <x14:colorHigh rgb="FFD00000"/>
          <x14:colorLow rgb="FFD00000"/>
          <x14:sparklines>
            <x14:sparkline>
              <xm:f>Multiples!F45:R45</xm:f>
              <xm:sqref>E45</xm:sqref>
            </x14:sparkline>
          </x14:sparklines>
        </x14:sparklineGroup>
        <x14:sparklineGroup displayEmptyCellsAs="gap" xr2:uid="{00000000-0003-0000-0A00-00006A000000}">
          <x14:colorSeries rgb="FF7B1314"/>
          <x14:colorNegative rgb="FFD00000"/>
          <x14:colorAxis rgb="FF000000"/>
          <x14:colorMarkers rgb="FFD00000"/>
          <x14:colorFirst rgb="FFD00000"/>
          <x14:colorLast rgb="FFD00000"/>
          <x14:colorHigh rgb="FFD00000"/>
          <x14:colorLow rgb="FFD00000"/>
          <x14:sparklines>
            <x14:sparkline>
              <xm:f>Multiples!F36:R36</xm:f>
              <xm:sqref>E36</xm:sqref>
            </x14:sparkline>
          </x14:sparklines>
        </x14:sparklineGroup>
        <x14:sparklineGroup displayEmptyCellsAs="gap" xr2:uid="{00000000-0003-0000-0A00-00006B000000}">
          <x14:colorSeries rgb="FF7B1314"/>
          <x14:colorNegative rgb="FFD00000"/>
          <x14:colorAxis rgb="FF000000"/>
          <x14:colorMarkers rgb="FFD00000"/>
          <x14:colorFirst rgb="FFD00000"/>
          <x14:colorLast rgb="FFD00000"/>
          <x14:colorHigh rgb="FFD00000"/>
          <x14:colorLow rgb="FFD00000"/>
          <x14:sparklines>
            <x14:sparkline>
              <xm:f>Multiples!F29:R29</xm:f>
              <xm:sqref>E29</xm:sqref>
            </x14:sparkline>
          </x14:sparklines>
        </x14:sparklineGroup>
        <x14:sparklineGroup displayEmptyCellsAs="gap" xr2:uid="{00000000-0003-0000-0A00-00006C000000}">
          <x14:colorSeries rgb="FF7B1314"/>
          <x14:colorNegative rgb="FFD00000"/>
          <x14:colorAxis rgb="FF000000"/>
          <x14:colorMarkers rgb="FFD00000"/>
          <x14:colorFirst rgb="FFD00000"/>
          <x14:colorLast rgb="FFD00000"/>
          <x14:colorHigh rgb="FFD00000"/>
          <x14:colorLow rgb="FFD00000"/>
          <x14:sparklines>
            <x14:sparkline>
              <xm:f>Multiples!F11:R11</xm:f>
              <xm:sqref>E11</xm:sqref>
            </x14:sparkline>
          </x14:sparklines>
        </x14:sparklineGroup>
        <x14:sparklineGroup displayEmptyCellsAs="gap" xr2:uid="{00000000-0003-0000-0A00-00006D000000}">
          <x14:colorSeries rgb="FF7B1314"/>
          <x14:colorNegative rgb="FFD00000"/>
          <x14:colorAxis rgb="FF000000"/>
          <x14:colorMarkers rgb="FFD00000"/>
          <x14:colorFirst rgb="FFD00000"/>
          <x14:colorLast rgb="FFD00000"/>
          <x14:colorHigh rgb="FFD00000"/>
          <x14:colorLow rgb="FFD00000"/>
          <x14:sparklines>
            <x14:sparkline>
              <xm:f>Multiples!F23:R23</xm:f>
              <xm:sqref>E23</xm:sqref>
            </x14:sparkline>
          </x14:sparklines>
        </x14:sparklineGroup>
        <x14:sparklineGroup displayEmptyCellsAs="gap" xr2:uid="{00000000-0003-0000-0A00-00006E000000}">
          <x14:colorSeries rgb="FF7B1314"/>
          <x14:colorNegative rgb="FFD00000"/>
          <x14:colorAxis rgb="FF000000"/>
          <x14:colorMarkers rgb="FFD00000"/>
          <x14:colorFirst rgb="FFD00000"/>
          <x14:colorLast rgb="FFD00000"/>
          <x14:colorHigh rgb="FFD00000"/>
          <x14:colorLow rgb="FFD00000"/>
          <x14:sparklines>
            <x14:sparkline>
              <xm:f>Multiples!F17:R17</xm:f>
              <xm:sqref>E17</xm:sqref>
            </x14:sparkline>
          </x14:sparklines>
        </x14:sparklineGroup>
        <x14:sparklineGroup displayEmptyCellsAs="gap" xr2:uid="{00000000-0003-0000-0A00-00006F000000}">
          <x14:colorSeries rgb="FF7B1314"/>
          <x14:colorNegative rgb="FFD00000"/>
          <x14:colorAxis rgb="FF000000"/>
          <x14:colorMarkers rgb="FFD00000"/>
          <x14:colorFirst rgb="FFD00000"/>
          <x14:colorLast rgb="FFD00000"/>
          <x14:colorHigh rgb="FFD00000"/>
          <x14:colorLow rgb="FFD00000"/>
          <x14:sparklines>
            <x14:sparkline>
              <xm:f>Multiples!F51:R51</xm:f>
              <xm:sqref>E51</xm:sqref>
            </x14:sparkline>
          </x14:sparklines>
        </x14:sparklineGroup>
        <x14:sparklineGroup displayEmptyCellsAs="gap" xr2:uid="{00000000-0003-0000-0A00-000070000000}">
          <x14:colorSeries rgb="FF7B1314"/>
          <x14:colorNegative rgb="FFD00000"/>
          <x14:colorAxis rgb="FF000000"/>
          <x14:colorMarkers rgb="FFD00000"/>
          <x14:colorFirst rgb="FFD00000"/>
          <x14:colorLast rgb="FFD00000"/>
          <x14:colorHigh rgb="FFD00000"/>
          <x14:colorLow rgb="FFD00000"/>
          <x14:sparklines>
            <x14:sparkline>
              <xm:f>Multiples!F6:R6</xm:f>
              <xm:sqref>E6</xm:sqref>
            </x14:sparkline>
          </x14:sparklines>
        </x14:sparklineGroup>
        <x14:sparklineGroup displayEmptyCellsAs="gap" xr2:uid="{00000000-0003-0000-0A00-000071000000}">
          <x14:colorSeries rgb="FF7B1314"/>
          <x14:colorNegative rgb="FFD00000"/>
          <x14:colorAxis rgb="FF000000"/>
          <x14:colorMarkers rgb="FFD00000"/>
          <x14:colorFirst rgb="FFD00000"/>
          <x14:colorLast rgb="FFD00000"/>
          <x14:colorHigh rgb="FFD00000"/>
          <x14:colorLow rgb="FFD00000"/>
          <x14:sparklines>
            <x14:sparkline>
              <xm:f>Multiples!F7:R7</xm:f>
              <xm:sqref>E7</xm:sqref>
            </x14:sparkline>
          </x14:sparklines>
        </x14:sparklineGroup>
        <x14:sparklineGroup displayEmptyCellsAs="gap" xr2:uid="{00000000-0003-0000-0A00-000072000000}">
          <x14:colorSeries rgb="FF7B1314"/>
          <x14:colorNegative rgb="FFD00000"/>
          <x14:colorAxis rgb="FF000000"/>
          <x14:colorMarkers rgb="FFD00000"/>
          <x14:colorFirst rgb="FFD00000"/>
          <x14:colorLast rgb="FFD00000"/>
          <x14:colorHigh rgb="FFD00000"/>
          <x14:colorLow rgb="FFD00000"/>
          <x14:sparklines>
            <x14:sparkline>
              <xm:f>Multiples!F8:R8</xm:f>
              <xm:sqref>E8</xm:sqref>
            </x14:sparkline>
          </x14:sparklines>
        </x14:sparklineGroup>
        <x14:sparklineGroup displayEmptyCellsAs="gap" xr2:uid="{00000000-0003-0000-0A00-000073000000}">
          <x14:colorSeries rgb="FF7B1314"/>
          <x14:colorNegative rgb="FFD00000"/>
          <x14:colorAxis rgb="FF000000"/>
          <x14:colorMarkers rgb="FFD00000"/>
          <x14:colorFirst rgb="FFD00000"/>
          <x14:colorLast rgb="FFD00000"/>
          <x14:colorHigh rgb="FFD00000"/>
          <x14:colorLow rgb="FFD00000"/>
          <x14:sparklines>
            <x14:sparkline>
              <xm:f>Multiples!F9:R9</xm:f>
              <xm:sqref>E9</xm:sqref>
            </x14:sparkline>
          </x14:sparklines>
        </x14:sparklineGroup>
        <x14:sparklineGroup displayEmptyCellsAs="gap" xr2:uid="{00000000-0003-0000-0A00-000074000000}">
          <x14:colorSeries rgb="FF7B1314"/>
          <x14:colorNegative rgb="FFD00000"/>
          <x14:colorAxis rgb="FF000000"/>
          <x14:colorMarkers rgb="FFD00000"/>
          <x14:colorFirst rgb="FFD00000"/>
          <x14:colorLast rgb="FFD00000"/>
          <x14:colorHigh rgb="FFD00000"/>
          <x14:colorLow rgb="FFD00000"/>
          <x14:sparklines>
            <x14:sparkline>
              <xm:f>Multiples!F10:R10</xm:f>
              <xm:sqref>E10</xm:sqref>
            </x14:sparkline>
          </x14:sparklines>
        </x14:sparklineGroup>
        <x14:sparklineGroup displayEmptyCellsAs="gap" xr2:uid="{00000000-0003-0000-0A00-000075000000}">
          <x14:colorSeries rgb="FF7B1314"/>
          <x14:colorNegative rgb="FFD00000"/>
          <x14:colorAxis rgb="FF000000"/>
          <x14:colorMarkers rgb="FFD00000"/>
          <x14:colorFirst rgb="FFD00000"/>
          <x14:colorLast rgb="FFD00000"/>
          <x14:colorHigh rgb="FFD00000"/>
          <x14:colorLow rgb="FFD00000"/>
          <x14:sparklines>
            <x14:sparkline>
              <xm:f>Multiples!F15:R15</xm:f>
              <xm:sqref>E15</xm:sqref>
            </x14:sparkline>
          </x14:sparklines>
        </x14:sparklineGroup>
        <x14:sparklineGroup displayEmptyCellsAs="gap" xr2:uid="{00000000-0003-0000-0A00-000076000000}">
          <x14:colorSeries rgb="FF7B1314"/>
          <x14:colorNegative rgb="FFD00000"/>
          <x14:colorAxis rgb="FF000000"/>
          <x14:colorMarkers rgb="FFD00000"/>
          <x14:colorFirst rgb="FFD00000"/>
          <x14:colorLast rgb="FFD00000"/>
          <x14:colorHigh rgb="FFD00000"/>
          <x14:colorLow rgb="FFD00000"/>
          <x14:sparklines>
            <x14:sparkline>
              <xm:f>Multiples!F16:R16</xm:f>
              <xm:sqref>E16</xm:sqref>
            </x14:sparkline>
          </x14:sparklines>
        </x14:sparklineGroup>
        <x14:sparklineGroup displayEmptyCellsAs="gap" xr2:uid="{00000000-0003-0000-0A00-000077000000}">
          <x14:colorSeries rgb="FF7B1314"/>
          <x14:colorNegative rgb="FFD00000"/>
          <x14:colorAxis rgb="FF000000"/>
          <x14:colorMarkers rgb="FFD00000"/>
          <x14:colorFirst rgb="FFD00000"/>
          <x14:colorLast rgb="FFD00000"/>
          <x14:colorHigh rgb="FFD00000"/>
          <x14:colorLow rgb="FFD00000"/>
          <x14:sparklines>
            <x14:sparkline>
              <xm:f>Multiples!F18:R18</xm:f>
              <xm:sqref>E18</xm:sqref>
            </x14:sparkline>
          </x14:sparklines>
        </x14:sparklineGroup>
        <x14:sparklineGroup displayEmptyCellsAs="gap" xr2:uid="{00000000-0003-0000-0A00-000078000000}">
          <x14:colorSeries rgb="FF7B1314"/>
          <x14:colorNegative rgb="FFD00000"/>
          <x14:colorAxis rgb="FF000000"/>
          <x14:colorMarkers rgb="FFD00000"/>
          <x14:colorFirst rgb="FFD00000"/>
          <x14:colorLast rgb="FFD00000"/>
          <x14:colorHigh rgb="FFD00000"/>
          <x14:colorLow rgb="FFD00000"/>
          <x14:sparklines>
            <x14:sparkline>
              <xm:f>Multiples!F19:R19</xm:f>
              <xm:sqref>E19</xm:sqref>
            </x14:sparkline>
          </x14:sparklines>
        </x14:sparklineGroup>
        <x14:sparklineGroup displayEmptyCellsAs="gap" xr2:uid="{00000000-0003-0000-0A00-000079000000}">
          <x14:colorSeries rgb="FF7B1314"/>
          <x14:colorNegative rgb="FFD00000"/>
          <x14:colorAxis rgb="FF000000"/>
          <x14:colorMarkers rgb="FFD00000"/>
          <x14:colorFirst rgb="FFD00000"/>
          <x14:colorLast rgb="FFD00000"/>
          <x14:colorHigh rgb="FFD00000"/>
          <x14:colorLow rgb="FFD00000"/>
          <x14:sparklines>
            <x14:sparkline>
              <xm:f>Multiples!F20:R20</xm:f>
              <xm:sqref>E20</xm:sqref>
            </x14:sparkline>
          </x14:sparklines>
        </x14:sparklineGroup>
        <x14:sparklineGroup displayEmptyCellsAs="gap" xr2:uid="{00000000-0003-0000-0A00-00007A000000}">
          <x14:colorSeries rgb="FF7B1314"/>
          <x14:colorNegative rgb="FFD00000"/>
          <x14:colorAxis rgb="FF000000"/>
          <x14:colorMarkers rgb="FFD00000"/>
          <x14:colorFirst rgb="FFD00000"/>
          <x14:colorLast rgb="FFD00000"/>
          <x14:colorHigh rgb="FFD00000"/>
          <x14:colorLow rgb="FFD00000"/>
          <x14:sparklines>
            <x14:sparkline>
              <xm:f>Multiples!F21:R21</xm:f>
              <xm:sqref>E21</xm:sqref>
            </x14:sparkline>
          </x14:sparklines>
        </x14:sparklineGroup>
        <x14:sparklineGroup displayEmptyCellsAs="gap" xr2:uid="{00000000-0003-0000-0A00-00007B000000}">
          <x14:colorSeries rgb="FF7B1314"/>
          <x14:colorNegative rgb="FFD00000"/>
          <x14:colorAxis rgb="FF000000"/>
          <x14:colorMarkers rgb="FFD00000"/>
          <x14:colorFirst rgb="FFD00000"/>
          <x14:colorLast rgb="FFD00000"/>
          <x14:colorHigh rgb="FFD00000"/>
          <x14:colorLow rgb="FFD00000"/>
          <x14:sparklines>
            <x14:sparkline>
              <xm:f>Multiples!F22:R22</xm:f>
              <xm:sqref>E22</xm:sqref>
            </x14:sparkline>
          </x14:sparklines>
        </x14:sparklineGroup>
        <x14:sparklineGroup displayEmptyCellsAs="gap" xr2:uid="{00000000-0003-0000-0A00-00007C000000}">
          <x14:colorSeries rgb="FF7B1314"/>
          <x14:colorNegative rgb="FFD00000"/>
          <x14:colorAxis rgb="FF000000"/>
          <x14:colorMarkers rgb="FFD00000"/>
          <x14:colorFirst rgb="FFD00000"/>
          <x14:colorLast rgb="FFD00000"/>
          <x14:colorHigh rgb="FFD00000"/>
          <x14:colorLow rgb="FFD00000"/>
          <x14:sparklines>
            <x14:sparkline>
              <xm:f>Multiples!F27:R27</xm:f>
              <xm:sqref>E27</xm:sqref>
            </x14:sparkline>
          </x14:sparklines>
        </x14:sparklineGroup>
        <x14:sparklineGroup displayEmptyCellsAs="gap" xr2:uid="{00000000-0003-0000-0A00-00007D000000}">
          <x14:colorSeries rgb="FF7B1314"/>
          <x14:colorNegative rgb="FFD00000"/>
          <x14:colorAxis rgb="FF000000"/>
          <x14:colorMarkers rgb="FFD00000"/>
          <x14:colorFirst rgb="FFD00000"/>
          <x14:colorLast rgb="FFD00000"/>
          <x14:colorHigh rgb="FFD00000"/>
          <x14:colorLow rgb="FFD00000"/>
          <x14:sparklines>
            <x14:sparkline>
              <xm:f>Multiples!F28:R28</xm:f>
              <xm:sqref>E28</xm:sqref>
            </x14:sparkline>
          </x14:sparklines>
        </x14:sparklineGroup>
        <x14:sparklineGroup displayEmptyCellsAs="gap" xr2:uid="{00000000-0003-0000-0A00-00007E000000}">
          <x14:colorSeries rgb="FF7B1314"/>
          <x14:colorNegative rgb="FFD00000"/>
          <x14:colorAxis rgb="FF000000"/>
          <x14:colorMarkers rgb="FFD00000"/>
          <x14:colorFirst rgb="FFD00000"/>
          <x14:colorLast rgb="FFD00000"/>
          <x14:colorHigh rgb="FFD00000"/>
          <x14:colorLow rgb="FFD00000"/>
          <x14:sparklines>
            <x14:sparkline>
              <xm:f>Multiples!F33:R33</xm:f>
              <xm:sqref>E33</xm:sqref>
            </x14:sparkline>
          </x14:sparklines>
        </x14:sparklineGroup>
        <x14:sparklineGroup displayEmptyCellsAs="gap" xr2:uid="{00000000-0003-0000-0A00-00007F000000}">
          <x14:colorSeries rgb="FF7B1314"/>
          <x14:colorNegative rgb="FFD00000"/>
          <x14:colorAxis rgb="FF000000"/>
          <x14:colorMarkers rgb="FFD00000"/>
          <x14:colorFirst rgb="FFD00000"/>
          <x14:colorLast rgb="FFD00000"/>
          <x14:colorHigh rgb="FFD00000"/>
          <x14:colorLow rgb="FFD00000"/>
          <x14:sparklines>
            <x14:sparkline>
              <xm:f>Multiples!F34:R34</xm:f>
              <xm:sqref>E34</xm:sqref>
            </x14:sparkline>
          </x14:sparklines>
        </x14:sparklineGroup>
        <x14:sparklineGroup displayEmptyCellsAs="gap" xr2:uid="{00000000-0003-0000-0A00-000080000000}">
          <x14:colorSeries rgb="FF7B1314"/>
          <x14:colorNegative rgb="FFD00000"/>
          <x14:colorAxis rgb="FF000000"/>
          <x14:colorMarkers rgb="FFD00000"/>
          <x14:colorFirst rgb="FFD00000"/>
          <x14:colorLast rgb="FFD00000"/>
          <x14:colorHigh rgb="FFD00000"/>
          <x14:colorLow rgb="FFD00000"/>
          <x14:sparklines>
            <x14:sparkline>
              <xm:f>Multiples!F35:R35</xm:f>
              <xm:sqref>E35</xm:sqref>
            </x14:sparkline>
          </x14:sparklines>
        </x14:sparklineGroup>
        <x14:sparklineGroup displayEmptyCellsAs="gap" xr2:uid="{00000000-0003-0000-0A00-000081000000}">
          <x14:colorSeries rgb="FF7B1314"/>
          <x14:colorNegative rgb="FFD00000"/>
          <x14:colorAxis rgb="FF000000"/>
          <x14:colorMarkers rgb="FFD00000"/>
          <x14:colorFirst rgb="FFD00000"/>
          <x14:colorLast rgb="FFD00000"/>
          <x14:colorHigh rgb="FFD00000"/>
          <x14:colorLow rgb="FFD00000"/>
          <x14:sparklines>
            <x14:sparkline>
              <xm:f>Multiples!F40:R40</xm:f>
              <xm:sqref>E40</xm:sqref>
            </x14:sparkline>
          </x14:sparklines>
        </x14:sparklineGroup>
        <x14:sparklineGroup displayEmptyCellsAs="gap" xr2:uid="{00000000-0003-0000-0A00-000082000000}">
          <x14:colorSeries rgb="FF7B1314"/>
          <x14:colorNegative rgb="FFD00000"/>
          <x14:colorAxis rgb="FF000000"/>
          <x14:colorMarkers rgb="FFD00000"/>
          <x14:colorFirst rgb="FFD00000"/>
          <x14:colorLast rgb="FFD00000"/>
          <x14:colorHigh rgb="FFD00000"/>
          <x14:colorLow rgb="FFD00000"/>
          <x14:sparklines>
            <x14:sparkline>
              <xm:f>Multiples!F41:R41</xm:f>
              <xm:sqref>E41</xm:sqref>
            </x14:sparkline>
          </x14:sparklines>
        </x14:sparklineGroup>
        <x14:sparklineGroup displayEmptyCellsAs="gap" xr2:uid="{00000000-0003-0000-0A00-000083000000}">
          <x14:colorSeries rgb="FF7B1314"/>
          <x14:colorNegative rgb="FFD00000"/>
          <x14:colorAxis rgb="FF000000"/>
          <x14:colorMarkers rgb="FFD00000"/>
          <x14:colorFirst rgb="FFD00000"/>
          <x14:colorLast rgb="FFD00000"/>
          <x14:colorHigh rgb="FFD00000"/>
          <x14:colorLow rgb="FFD00000"/>
          <x14:sparklines>
            <x14:sparkline>
              <xm:f>Multiples!F42:R42</xm:f>
              <xm:sqref>E42</xm:sqref>
            </x14:sparkline>
          </x14:sparklines>
        </x14:sparklineGroup>
        <x14:sparklineGroup displayEmptyCellsAs="gap" xr2:uid="{00000000-0003-0000-0A00-000084000000}">
          <x14:colorSeries rgb="FF7B1314"/>
          <x14:colorNegative rgb="FFD00000"/>
          <x14:colorAxis rgb="FF000000"/>
          <x14:colorMarkers rgb="FFD00000"/>
          <x14:colorFirst rgb="FFD00000"/>
          <x14:colorLast rgb="FFD00000"/>
          <x14:colorHigh rgb="FFD00000"/>
          <x14:colorLow rgb="FFD00000"/>
          <x14:sparklines>
            <x14:sparkline>
              <xm:f>Multiples!F43:R43</xm:f>
              <xm:sqref>E43</xm:sqref>
            </x14:sparkline>
          </x14:sparklines>
        </x14:sparklineGroup>
        <x14:sparklineGroup displayEmptyCellsAs="gap" xr2:uid="{00000000-0003-0000-0A00-000085000000}">
          <x14:colorSeries rgb="FF7B1314"/>
          <x14:colorNegative rgb="FFD00000"/>
          <x14:colorAxis rgb="FF000000"/>
          <x14:colorMarkers rgb="FFD00000"/>
          <x14:colorFirst rgb="FFD00000"/>
          <x14:colorLast rgb="FFD00000"/>
          <x14:colorHigh rgb="FFD00000"/>
          <x14:colorLow rgb="FFD00000"/>
          <x14:sparklines>
            <x14:sparkline>
              <xm:f>Multiples!F44:R44</xm:f>
              <xm:sqref>E44</xm:sqref>
            </x14:sparkline>
          </x14:sparklines>
        </x14:sparklineGroup>
        <x14:sparklineGroup displayEmptyCellsAs="gap" xr2:uid="{00000000-0003-0000-0A00-000086000000}">
          <x14:colorSeries rgb="FF7B1314"/>
          <x14:colorNegative rgb="FFD00000"/>
          <x14:colorAxis rgb="FF000000"/>
          <x14:colorMarkers rgb="FFD00000"/>
          <x14:colorFirst rgb="FFD00000"/>
          <x14:colorLast rgb="FFD00000"/>
          <x14:colorHigh rgb="FFD00000"/>
          <x14:colorLow rgb="FFD00000"/>
          <x14:sparklines>
            <x14:sparkline>
              <xm:f>Multiples!F49:R49</xm:f>
              <xm:sqref>E49</xm:sqref>
            </x14:sparkline>
          </x14:sparklines>
        </x14:sparklineGroup>
        <x14:sparklineGroup displayEmptyCellsAs="gap" xr2:uid="{00000000-0003-0000-0A00-000087000000}">
          <x14:colorSeries rgb="FF7B1314"/>
          <x14:colorNegative rgb="FFD00000"/>
          <x14:colorAxis rgb="FF000000"/>
          <x14:colorMarkers rgb="FFD00000"/>
          <x14:colorFirst rgb="FFD00000"/>
          <x14:colorLast rgb="FFD00000"/>
          <x14:colorHigh rgb="FFD00000"/>
          <x14:colorLow rgb="FFD00000"/>
          <x14:sparklines>
            <x14:sparkline>
              <xm:f>Multiples!F50:R50</xm:f>
              <xm:sqref>E50</xm:sqref>
            </x14:sparkline>
          </x14:sparklines>
        </x14:sparklineGroup>
        <x14:sparklineGroup displayEmptyCellsAs="gap" xr2:uid="{00000000-0003-0000-0A00-000088000000}">
          <x14:colorSeries rgb="FF7B1314"/>
          <x14:colorNegative rgb="FFD00000"/>
          <x14:colorAxis rgb="FF000000"/>
          <x14:colorMarkers rgb="FFD00000"/>
          <x14:colorFirst rgb="FFD00000"/>
          <x14:colorLast rgb="FFD00000"/>
          <x14:colorHigh rgb="FFD00000"/>
          <x14:colorLow rgb="FFD00000"/>
          <x14:sparklines>
            <x14:sparkline>
              <xm:f>Multiples!F52:R52</xm:f>
              <xm:sqref>E52</xm:sqref>
            </x14:sparkline>
          </x14:sparklines>
        </x14:sparklineGroup>
        <x14:sparklineGroup displayEmptyCellsAs="gap" xr2:uid="{00000000-0003-0000-0A00-000089000000}">
          <x14:colorSeries rgb="FF7B1314"/>
          <x14:colorNegative rgb="FFD00000"/>
          <x14:colorAxis rgb="FF000000"/>
          <x14:colorMarkers rgb="FFD00000"/>
          <x14:colorFirst rgb="FFD00000"/>
          <x14:colorLast rgb="FFD00000"/>
          <x14:colorHigh rgb="FFD00000"/>
          <x14:colorLow rgb="FFD00000"/>
          <x14:sparklines>
            <x14:sparkline>
              <xm:f>Multiples!F55:R55</xm:f>
              <xm:sqref>E55</xm:sqref>
            </x14:sparkline>
          </x14:sparklines>
        </x14:sparklineGroup>
        <x14:sparklineGroup displayEmptyCellsAs="gap" xr2:uid="{00000000-0003-0000-0A00-00008A000000}">
          <x14:colorSeries rgb="FF7B1314"/>
          <x14:colorNegative rgb="FFD00000"/>
          <x14:colorAxis rgb="FF000000"/>
          <x14:colorMarkers rgb="FFD00000"/>
          <x14:colorFirst rgb="FFD00000"/>
          <x14:colorLast rgb="FFD00000"/>
          <x14:colorHigh rgb="FFD00000"/>
          <x14:colorLow rgb="FFD00000"/>
          <x14:sparklines>
            <x14:sparkline>
              <xm:f>Multiples!F63:R63</xm:f>
              <xm:sqref>E63</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B2:L10055"/>
  <sheetViews>
    <sheetView showGridLines="0" topLeftCell="A2" zoomScale="64" zoomScaleNormal="85" workbookViewId="0">
      <selection activeCell="B4" sqref="B4"/>
    </sheetView>
  </sheetViews>
  <sheetFormatPr defaultRowHeight="14.1"/>
  <cols>
    <col min="1" max="1" width="4" customWidth="1"/>
    <col min="3" max="7" width="8.625" customWidth="1"/>
    <col min="10" max="10" width="15.5" customWidth="1"/>
  </cols>
  <sheetData>
    <row r="2" spans="2:12" s="33" customFormat="1" ht="20.100000000000001" customHeight="1">
      <c r="B2" s="36" t="s">
        <v>628</v>
      </c>
    </row>
    <row r="4" spans="2:12">
      <c r="B4" s="635" t="str">
        <f ca="1">IFERROR(Peers!C6&amp;" Fair Value - Blended Discount Rate and Terminal Growth Rate","")</f>
        <v>INTC Fair Value - Blended Discount Rate and Terminal Growth Rate</v>
      </c>
      <c r="J4" s="635" t="str">
        <f ca="1">IFERROR(Peers!C6&amp;" Fair Value - Monte-Carlo Simulations Discount Rate and Terminal Growth Rate","")</f>
        <v>INTC Fair Value - Monte-Carlo Simulations Discount Rate and Terminal Growth Rate</v>
      </c>
    </row>
    <row r="5" spans="2:12" ht="14.45" thickBot="1">
      <c r="B5" t="s">
        <v>555</v>
      </c>
      <c r="F5" s="86" t="s">
        <v>447</v>
      </c>
    </row>
    <row r="6" spans="2:12" ht="14.45" thickBot="1">
      <c r="B6" s="625"/>
      <c r="C6" s="632"/>
      <c r="D6" s="636" t="e">
        <f>DCF!AP290</f>
        <v>#VALUE!</v>
      </c>
      <c r="E6" s="636" t="e">
        <f>DCF!AQ290</f>
        <v>#VALUE!</v>
      </c>
      <c r="F6" s="636" t="str">
        <f>DCF!AR290</f>
        <v>7.99%</v>
      </c>
      <c r="G6" s="636" t="e">
        <f>DCF!AS290</f>
        <v>#VALUE!</v>
      </c>
      <c r="H6" s="636" t="e">
        <f>DCF!AT290</f>
        <v>#VALUE!</v>
      </c>
      <c r="J6" s="737" t="s">
        <v>629</v>
      </c>
      <c r="K6" s="737" t="s">
        <v>214</v>
      </c>
      <c r="L6" s="737" t="s">
        <v>630</v>
      </c>
    </row>
    <row r="7" spans="2:12">
      <c r="C7" s="630">
        <f>DCF!AO291</f>
        <v>0.01</v>
      </c>
      <c r="D7" s="727">
        <f ca="1">IFERROR(DCF!AP291/DCF!$Q$213-1,"")</f>
        <v>-0.87725769570562362</v>
      </c>
      <c r="E7" s="727">
        <f ca="1">IFERROR(DCF!AQ291/DCF!$Q$213-1,"")</f>
        <v>-0.87725769570562362</v>
      </c>
      <c r="F7" s="727">
        <f ca="1">IFERROR(DCF!AR291/DCF!$Q$213-1,"")</f>
        <v>-0.87725769570562362</v>
      </c>
      <c r="G7" s="727">
        <f ca="1">IFERROR(DCF!AS291/DCF!$Q$213-1,"")</f>
        <v>-0.87725769570562362</v>
      </c>
      <c r="H7" s="727">
        <f ca="1">IFERROR(DCF!AT291/DCF!$Q$213-1,"")</f>
        <v>-0.87725769570562362</v>
      </c>
      <c r="J7" t="s">
        <v>447</v>
      </c>
      <c r="K7" s="16">
        <v>0.1009</v>
      </c>
      <c r="L7" s="16">
        <v>0.01</v>
      </c>
    </row>
    <row r="8" spans="2:12">
      <c r="C8" s="630">
        <f>DCF!AO292</f>
        <v>1.4999999999999999E-2</v>
      </c>
      <c r="D8" s="727">
        <f ca="1">IFERROR(DCF!AP292/DCF!$Q$213-1,"")</f>
        <v>-0.86979748814737823</v>
      </c>
      <c r="E8" s="727">
        <f ca="1">IFERROR(DCF!AQ292/DCF!$Q$213-1,"")</f>
        <v>-0.86979748814737823</v>
      </c>
      <c r="F8" s="727" t="str">
        <f ca="1">IFERROR(DCF!#REF!/DCF!$Q$213-1,"")</f>
        <v/>
      </c>
      <c r="G8" s="727">
        <f ca="1">IFERROR(DCF!AS292/DCF!$Q$213-1,"")</f>
        <v>-0.86979748814737823</v>
      </c>
      <c r="H8" s="727">
        <f ca="1">IFERROR(DCF!AT292/DCF!$Q$213-1,"")</f>
        <v>-0.86979748814737823</v>
      </c>
      <c r="J8" t="s">
        <v>205</v>
      </c>
      <c r="K8" s="16">
        <f>+DCF!I7</f>
        <v>0</v>
      </c>
      <c r="L8" s="28">
        <f>+DCF!L7</f>
        <v>0.02</v>
      </c>
    </row>
    <row r="9" spans="2:12" ht="14.45" thickBot="1">
      <c r="B9" s="20" t="s">
        <v>449</v>
      </c>
      <c r="C9" s="630">
        <f>DCF!AO293</f>
        <v>0.02</v>
      </c>
      <c r="D9" s="727">
        <f ca="1">IFERROR(DCF!AP293/DCF!$Q$213-1,"")</f>
        <v>-0.86145963650825508</v>
      </c>
      <c r="E9" s="727">
        <f ca="1">IFERROR(DCF!AQ293/DCF!$Q$213-1,"")</f>
        <v>-0.86145963650825508</v>
      </c>
      <c r="F9" s="727">
        <f ca="1">IFERROR(DCF!AR292/DCF!$Q$213-1,"")</f>
        <v>-0.86979748814737823</v>
      </c>
      <c r="G9" s="727">
        <f ca="1">IFERROR(DCF!AS293/DCF!$Q$213-1,"")</f>
        <v>-0.86145963650825508</v>
      </c>
      <c r="H9" s="727">
        <f ca="1">IFERROR(DCF!AT293/DCF!$Q$213-1,"")</f>
        <v>-0.86145963650825508</v>
      </c>
      <c r="J9" s="625" t="s">
        <v>26</v>
      </c>
      <c r="K9" s="636">
        <f>+DCF!I8</f>
        <v>0</v>
      </c>
      <c r="L9" s="636">
        <f>+DCF!L8</f>
        <v>0.01</v>
      </c>
    </row>
    <row r="10" spans="2:12" ht="14.45" thickBot="1">
      <c r="C10" s="630">
        <f>DCF!AO294</f>
        <v>2.5000000000000001E-2</v>
      </c>
      <c r="D10" s="727">
        <f ca="1">IFERROR(DCF!AP294/DCF!$Q$213-1,"")</f>
        <v>-0.85207958798081784</v>
      </c>
      <c r="E10" s="727">
        <f ca="1">IFERROR(DCF!AQ294/DCF!$Q$213-1,"")</f>
        <v>-0.85207958798081784</v>
      </c>
      <c r="F10" s="727">
        <f ca="1">IFERROR(DCF!AR294/DCF!$Q$213-1,"")</f>
        <v>-0.85207958798081784</v>
      </c>
      <c r="G10" s="727">
        <f ca="1">IFERROR(DCF!AS294/DCF!$Q$213-1,"")</f>
        <v>-0.85207958798081784</v>
      </c>
      <c r="H10" s="727">
        <f ca="1">IFERROR(DCF!AT294/DCF!$Q$213-1,"")</f>
        <v>-0.85207958798081784</v>
      </c>
      <c r="L10" s="738"/>
    </row>
    <row r="11" spans="2:12" ht="14.45" thickBot="1">
      <c r="B11" s="625"/>
      <c r="C11" s="631">
        <f>DCF!AO295</f>
        <v>0.03</v>
      </c>
      <c r="D11" s="728">
        <f ca="1">IFERROR(DCF!AP295/DCF!$Q$213-1,"")</f>
        <v>-0.84144891056134563</v>
      </c>
      <c r="E11" s="728">
        <f ca="1">IFERROR(DCF!AQ295/DCF!$Q$213-1,"")</f>
        <v>-0.84144891056134563</v>
      </c>
      <c r="F11" s="728">
        <f ca="1">IFERROR(DCF!AR295/DCF!$Q$213-1,"")</f>
        <v>-0.84144891056134563</v>
      </c>
      <c r="G11" s="728">
        <f ca="1">IFERROR(DCF!AS295/DCF!$Q$213-1,"")</f>
        <v>-0.84144891056134563</v>
      </c>
      <c r="H11" s="728">
        <f ca="1">IFERROR(DCF!AT295/DCF!$Q$213-1,"")</f>
        <v>-0.84144891056134563</v>
      </c>
      <c r="J11" s="737" t="s">
        <v>631</v>
      </c>
      <c r="K11" s="624"/>
      <c r="L11" s="624" t="s">
        <v>632</v>
      </c>
    </row>
    <row r="12" spans="2:12">
      <c r="J12" s="634" t="s">
        <v>633</v>
      </c>
      <c r="K12" s="736">
        <f>MIN(B56:B10055)</f>
        <v>17.475827900437238</v>
      </c>
      <c r="L12" s="61">
        <f ca="1">IFERROR(K12/DCF!$Q$213-1,"")</f>
        <v>-0.44547587179320203</v>
      </c>
    </row>
    <row r="13" spans="2:12">
      <c r="B13" s="635" t="str">
        <f ca="1">IFERROR(Peers!C6&amp;" Fair Value - Blended Revenue Growth and Operating Margin","")</f>
        <v>INTC Fair Value - Blended Revenue Growth and Operating Margin</v>
      </c>
      <c r="J13" s="741" t="s">
        <v>634</v>
      </c>
      <c r="K13" s="742">
        <f>AVERAGE(B56:B10055)</f>
        <v>18.148281864516868</v>
      </c>
      <c r="L13" s="64">
        <f ca="1">IFERROR(K13/DCF!$Q$213-1,"")</f>
        <v>-0.42413828765613626</v>
      </c>
    </row>
    <row r="14" spans="2:12" ht="14.45" thickBot="1">
      <c r="B14" t="s">
        <v>555</v>
      </c>
      <c r="J14" s="739" t="s">
        <v>635</v>
      </c>
      <c r="K14" s="736">
        <f>MEDIAN(B56:B10055)</f>
        <v>18.147952026778164</v>
      </c>
      <c r="L14" s="743">
        <f ca="1">IFERROR(K14/DCF!$Q$213-1,"")</f>
        <v>-0.42414875371162419</v>
      </c>
    </row>
    <row r="15" spans="2:12">
      <c r="B15" s="633"/>
      <c r="C15" s="634"/>
      <c r="D15" s="633"/>
      <c r="E15" s="637" t="s">
        <v>223</v>
      </c>
      <c r="F15" s="633"/>
      <c r="J15" s="739" t="s">
        <v>636</v>
      </c>
      <c r="K15" s="736">
        <f>MAX(B56:B10055)</f>
        <v>18.952945282230857</v>
      </c>
      <c r="L15" s="61">
        <f ca="1">IFERROR(K15/DCF!$Q$213-1,"")</f>
        <v>-0.39860557568678867</v>
      </c>
    </row>
    <row r="16" spans="2:12" ht="14.45" thickBot="1">
      <c r="B16" s="625"/>
      <c r="C16" s="632"/>
      <c r="D16" s="636">
        <f>DCF!F7</f>
        <v>-0.02</v>
      </c>
      <c r="E16" s="636">
        <f>DCF!I7</f>
        <v>0</v>
      </c>
      <c r="F16" s="636">
        <f>DCF!L7</f>
        <v>0.02</v>
      </c>
      <c r="J16" s="632" t="s">
        <v>637</v>
      </c>
      <c r="K16" s="740">
        <f>_xlfn.STDEV.P(B56:B10055)</f>
        <v>0.19544643514303564</v>
      </c>
      <c r="L16" s="729"/>
    </row>
    <row r="17" spans="2:8">
      <c r="C17" s="638">
        <f>DCF!F8</f>
        <v>-0.01</v>
      </c>
      <c r="D17" s="61">
        <f ca="1">IFERROR(DCF!AP301/DCF!$Q$213-1,"")</f>
        <v>-1</v>
      </c>
      <c r="E17" s="61">
        <f ca="1">IFERROR(DCF!AQ301/DCF!$Q$213-1,"")</f>
        <v>-1</v>
      </c>
      <c r="F17" s="61">
        <f ca="1">IFERROR(DCF!AR301/DCF!$Q$213-1,"")</f>
        <v>-1</v>
      </c>
    </row>
    <row r="18" spans="2:8">
      <c r="B18" s="20" t="s">
        <v>445</v>
      </c>
      <c r="C18" s="638">
        <f>DCF!I8</f>
        <v>0</v>
      </c>
      <c r="D18" s="61">
        <f ca="1">IFERROR(DCF!AP302/DCF!$Q$213-1,"")</f>
        <v>-1</v>
      </c>
      <c r="E18" s="61">
        <f ca="1">IFERROR(DCF!AQ302/DCF!$Q$213-1,"")</f>
        <v>-1</v>
      </c>
      <c r="F18" s="61">
        <f ca="1">IFERROR(DCF!AR302/DCF!$Q$213-1,"")</f>
        <v>-1</v>
      </c>
    </row>
    <row r="19" spans="2:8" ht="14.45" thickBot="1">
      <c r="B19" s="625"/>
      <c r="C19" s="639">
        <f>DCF!L8</f>
        <v>0.01</v>
      </c>
      <c r="D19" s="729">
        <f ca="1">IFERROR(DCF!AP303/DCF!$Q$213-1,"")</f>
        <v>-1</v>
      </c>
      <c r="E19" s="729">
        <f ca="1">IFERROR(DCF!AQ303/DCF!$Q$213-1,"")</f>
        <v>-1</v>
      </c>
      <c r="F19" s="729">
        <f ca="1">IFERROR(DCF!AR303/DCF!$Q$213-1,"")</f>
        <v>-1</v>
      </c>
    </row>
    <row r="22" spans="2:8">
      <c r="B22" s="641" t="s">
        <v>558</v>
      </c>
      <c r="C22" s="33"/>
      <c r="D22" s="33"/>
      <c r="E22" s="33"/>
      <c r="F22" s="33"/>
      <c r="G22" s="33"/>
      <c r="H22" s="33"/>
    </row>
    <row r="26" spans="2:8">
      <c r="E26" s="738"/>
    </row>
    <row r="42" spans="2:2">
      <c r="B42" s="1"/>
    </row>
    <row r="43" spans="2:2">
      <c r="B43" s="1"/>
    </row>
    <row r="44" spans="2:2">
      <c r="B44" s="1"/>
    </row>
    <row r="45" spans="2:2">
      <c r="B45" s="1"/>
    </row>
    <row r="46" spans="2:2">
      <c r="B46" s="1"/>
    </row>
    <row r="47" spans="2:2">
      <c r="B47" s="1"/>
    </row>
    <row r="48" spans="2:2">
      <c r="B48" s="1"/>
    </row>
    <row r="49" spans="2:6">
      <c r="B49" s="1"/>
    </row>
    <row r="50" spans="2:6">
      <c r="B50" s="1"/>
    </row>
    <row r="51" spans="2:6">
      <c r="B51" s="1"/>
    </row>
    <row r="52" spans="2:6">
      <c r="B52" s="1"/>
    </row>
    <row r="53" spans="2:6">
      <c r="B53" s="1"/>
    </row>
    <row r="54" spans="2:6">
      <c r="B54" s="1"/>
    </row>
    <row r="55" spans="2:6">
      <c r="B55" s="1" t="s">
        <v>638</v>
      </c>
      <c r="E55" s="28"/>
      <c r="F55" s="28"/>
    </row>
    <row r="56" spans="2:6" ht="15.6">
      <c r="B56" s="197">
        <v>18.433611122539013</v>
      </c>
      <c r="E56" s="28"/>
      <c r="F56" s="28"/>
    </row>
    <row r="57" spans="2:6" ht="15.6">
      <c r="B57" s="197">
        <v>18.217121755245156</v>
      </c>
      <c r="E57" s="28"/>
      <c r="F57" s="640"/>
    </row>
    <row r="58" spans="2:6" ht="15.6">
      <c r="B58" s="197">
        <v>18.444274537314381</v>
      </c>
      <c r="E58" s="28"/>
      <c r="F58" s="640"/>
    </row>
    <row r="59" spans="2:6" ht="15.6">
      <c r="B59" s="197">
        <v>18.047828915360881</v>
      </c>
    </row>
    <row r="60" spans="2:6" ht="15.6">
      <c r="B60" s="197">
        <v>18.103767648710566</v>
      </c>
    </row>
    <row r="61" spans="2:6" ht="15.6">
      <c r="B61" s="197">
        <v>18.121068230624946</v>
      </c>
    </row>
    <row r="62" spans="2:6" ht="15.6">
      <c r="B62" s="197">
        <v>17.787361894654584</v>
      </c>
    </row>
    <row r="63" spans="2:6" ht="15.6">
      <c r="B63" s="197">
        <v>18.376393310451885</v>
      </c>
    </row>
    <row r="64" spans="2:6" ht="15.6">
      <c r="B64" s="197">
        <v>18.065431959318353</v>
      </c>
    </row>
    <row r="65" spans="2:2" ht="15.6">
      <c r="B65" s="197">
        <v>17.669318452125744</v>
      </c>
    </row>
    <row r="66" spans="2:2" ht="15.6">
      <c r="B66" s="197">
        <v>18.19925870007976</v>
      </c>
    </row>
    <row r="67" spans="2:2" ht="15.6">
      <c r="B67" s="197">
        <v>18.233626537518958</v>
      </c>
    </row>
    <row r="68" spans="2:2" ht="15.6">
      <c r="B68" s="197">
        <v>18.198916910176813</v>
      </c>
    </row>
    <row r="69" spans="2:2" ht="15.6">
      <c r="B69" s="197">
        <v>18.14005731157707</v>
      </c>
    </row>
    <row r="70" spans="2:2" ht="15.6">
      <c r="B70" s="197">
        <v>18.260529766133509</v>
      </c>
    </row>
    <row r="71" spans="2:2" ht="15.6">
      <c r="B71" s="197">
        <v>18.085232972154216</v>
      </c>
    </row>
    <row r="72" spans="2:2" ht="15.6">
      <c r="B72" s="197">
        <v>18.17205297430306</v>
      </c>
    </row>
    <row r="73" spans="2:2" ht="15.6">
      <c r="B73" s="197">
        <v>18.095769659809417</v>
      </c>
    </row>
    <row r="74" spans="2:2" ht="15.6">
      <c r="B74" s="197">
        <v>18.463505448178928</v>
      </c>
    </row>
    <row r="75" spans="2:2" ht="15.6">
      <c r="B75" s="197">
        <v>18.052026559523632</v>
      </c>
    </row>
    <row r="76" spans="2:2" ht="15.6">
      <c r="B76" s="197">
        <v>17.920435378517961</v>
      </c>
    </row>
    <row r="77" spans="2:2" ht="15.6">
      <c r="B77" s="197">
        <v>17.935337902627584</v>
      </c>
    </row>
    <row r="78" spans="2:2" ht="15.6">
      <c r="B78" s="197">
        <v>18.453843667394896</v>
      </c>
    </row>
    <row r="79" spans="2:2" ht="15.6">
      <c r="B79" s="197">
        <v>17.977049495000507</v>
      </c>
    </row>
    <row r="80" spans="2:2" ht="15.6">
      <c r="B80" s="197">
        <v>18.303939204069589</v>
      </c>
    </row>
    <row r="81" spans="2:2" ht="15.6">
      <c r="B81" s="197">
        <v>18.412902360584926</v>
      </c>
    </row>
    <row r="82" spans="2:2" ht="15.6">
      <c r="B82" s="197">
        <v>18.030082683459931</v>
      </c>
    </row>
    <row r="83" spans="2:2" ht="15.6">
      <c r="B83" s="197">
        <v>18.166937241399701</v>
      </c>
    </row>
    <row r="84" spans="2:2" ht="15.6">
      <c r="B84" s="197">
        <v>18.023525393739444</v>
      </c>
    </row>
    <row r="85" spans="2:2" ht="15.6">
      <c r="B85" s="197">
        <v>18.037043822018315</v>
      </c>
    </row>
    <row r="86" spans="2:2" ht="15.6">
      <c r="B86" s="197">
        <v>18.246326175794408</v>
      </c>
    </row>
    <row r="87" spans="2:2" ht="15.6">
      <c r="B87" s="197">
        <v>18.340385314778558</v>
      </c>
    </row>
    <row r="88" spans="2:2" ht="15.6">
      <c r="B88" s="197">
        <v>18.274664711286668</v>
      </c>
    </row>
    <row r="89" spans="2:2" ht="15.6">
      <c r="B89" s="197">
        <v>17.934819323147533</v>
      </c>
    </row>
    <row r="90" spans="2:2" ht="15.6">
      <c r="B90" s="197">
        <v>18.282456398009366</v>
      </c>
    </row>
    <row r="91" spans="2:2" ht="15.6">
      <c r="B91" s="197">
        <v>18.410423558064334</v>
      </c>
    </row>
    <row r="92" spans="2:2" ht="15.6">
      <c r="B92" s="197">
        <v>18.249656547035958</v>
      </c>
    </row>
    <row r="93" spans="2:2" ht="15.6">
      <c r="B93" s="197">
        <v>18.032618924006353</v>
      </c>
    </row>
    <row r="94" spans="2:2" ht="15.6">
      <c r="B94" s="197">
        <v>17.970576394466288</v>
      </c>
    </row>
    <row r="95" spans="2:2" ht="15.6">
      <c r="B95" s="197">
        <v>18.03554308732113</v>
      </c>
    </row>
    <row r="96" spans="2:2" ht="15.6">
      <c r="B96" s="197">
        <v>18.170887907543769</v>
      </c>
    </row>
    <row r="97" spans="2:2" ht="15.6">
      <c r="B97" s="197">
        <v>18.372618609893721</v>
      </c>
    </row>
    <row r="98" spans="2:2" ht="15.6">
      <c r="B98" s="197">
        <v>17.837910804927727</v>
      </c>
    </row>
    <row r="99" spans="2:2" ht="15.6">
      <c r="B99" s="197">
        <v>18.137052433822038</v>
      </c>
    </row>
    <row r="100" spans="2:2" ht="15.6">
      <c r="B100" s="197">
        <v>18.242065942043283</v>
      </c>
    </row>
    <row r="101" spans="2:2" ht="15.6">
      <c r="B101" s="197">
        <v>18.086399743120214</v>
      </c>
    </row>
    <row r="102" spans="2:2" ht="15.6">
      <c r="B102" s="197">
        <v>18.124724974039225</v>
      </c>
    </row>
    <row r="103" spans="2:2" ht="15.6">
      <c r="B103" s="197">
        <v>18.329809987653125</v>
      </c>
    </row>
    <row r="104" spans="2:2" ht="15.6">
      <c r="B104" s="197">
        <v>18.377837208205428</v>
      </c>
    </row>
    <row r="105" spans="2:2" ht="15.6">
      <c r="B105" s="197">
        <v>18.010793270518295</v>
      </c>
    </row>
    <row r="106" spans="2:2" ht="15.6">
      <c r="B106" s="197">
        <v>18.051948489686882</v>
      </c>
    </row>
    <row r="107" spans="2:2" ht="15.6">
      <c r="B107" s="197">
        <v>18.236463996936148</v>
      </c>
    </row>
    <row r="108" spans="2:2" ht="15.6">
      <c r="B108" s="197">
        <v>18.247439233367654</v>
      </c>
    </row>
    <row r="109" spans="2:2" ht="15.6">
      <c r="B109" s="197">
        <v>17.994960575737661</v>
      </c>
    </row>
    <row r="110" spans="2:2" ht="15.6">
      <c r="B110" s="197">
        <v>18.217245694237846</v>
      </c>
    </row>
    <row r="111" spans="2:2" ht="15.6">
      <c r="B111" s="197">
        <v>18.193820236480832</v>
      </c>
    </row>
    <row r="112" spans="2:2" ht="15.6">
      <c r="B112" s="197">
        <v>17.937966652759556</v>
      </c>
    </row>
    <row r="113" spans="2:2" ht="15.6">
      <c r="B113" s="197">
        <v>17.987825911287104</v>
      </c>
    </row>
    <row r="114" spans="2:2" ht="15.6">
      <c r="B114" s="197">
        <v>18.063472578825063</v>
      </c>
    </row>
    <row r="115" spans="2:2" ht="15.6">
      <c r="B115" s="197">
        <v>18.499840242948078</v>
      </c>
    </row>
    <row r="116" spans="2:2" ht="15.6">
      <c r="B116" s="197">
        <v>18.37816940253245</v>
      </c>
    </row>
    <row r="117" spans="2:2" ht="15.6">
      <c r="B117" s="197">
        <v>17.763930698359435</v>
      </c>
    </row>
    <row r="118" spans="2:2" ht="15.6">
      <c r="B118" s="197">
        <v>17.943655508482991</v>
      </c>
    </row>
    <row r="119" spans="2:2" ht="15.6">
      <c r="B119" s="197">
        <v>17.988601523267967</v>
      </c>
    </row>
    <row r="120" spans="2:2" ht="15.6">
      <c r="B120" s="197">
        <v>18.33298586105677</v>
      </c>
    </row>
    <row r="121" spans="2:2" ht="15.6">
      <c r="B121" s="197">
        <v>18.118573381571803</v>
      </c>
    </row>
    <row r="122" spans="2:2" ht="15.6">
      <c r="B122" s="197">
        <v>18.075202894324864</v>
      </c>
    </row>
    <row r="123" spans="2:2" ht="15.6">
      <c r="B123" s="197">
        <v>18.16789221706286</v>
      </c>
    </row>
    <row r="124" spans="2:2" ht="15.6">
      <c r="B124" s="197">
        <v>18.042401611455514</v>
      </c>
    </row>
    <row r="125" spans="2:2" ht="15.6">
      <c r="B125" s="197">
        <v>18.220081997015861</v>
      </c>
    </row>
    <row r="126" spans="2:2" ht="15.6">
      <c r="B126" s="197">
        <v>18.237145367620993</v>
      </c>
    </row>
    <row r="127" spans="2:2" ht="15.6">
      <c r="B127" s="197">
        <v>17.974456150717199</v>
      </c>
    </row>
    <row r="128" spans="2:2" ht="15.6">
      <c r="B128" s="197">
        <v>18.179176152743779</v>
      </c>
    </row>
    <row r="129" spans="2:2" ht="15.6">
      <c r="B129" s="197">
        <v>18.121016803508819</v>
      </c>
    </row>
    <row r="130" spans="2:2" ht="15.6">
      <c r="B130" s="197">
        <v>18.200882637384481</v>
      </c>
    </row>
    <row r="131" spans="2:2" ht="15.6">
      <c r="B131" s="197">
        <v>18.423254895948823</v>
      </c>
    </row>
    <row r="132" spans="2:2" ht="15.6">
      <c r="B132" s="197">
        <v>17.854651019791362</v>
      </c>
    </row>
    <row r="133" spans="2:2" ht="15.6">
      <c r="B133" s="197">
        <v>18.616138150647661</v>
      </c>
    </row>
    <row r="134" spans="2:2" ht="15.6">
      <c r="B134" s="197">
        <v>18.422753428902201</v>
      </c>
    </row>
    <row r="135" spans="2:2" ht="15.6">
      <c r="B135" s="197">
        <v>18.070576577308366</v>
      </c>
    </row>
    <row r="136" spans="2:2" ht="15.6">
      <c r="B136" s="197">
        <v>18.006690168741315</v>
      </c>
    </row>
    <row r="137" spans="2:2" ht="15.6">
      <c r="B137" s="197">
        <v>17.978619668308184</v>
      </c>
    </row>
    <row r="138" spans="2:2" ht="15.6">
      <c r="B138" s="197">
        <v>18.020478592312905</v>
      </c>
    </row>
    <row r="139" spans="2:2" ht="15.6">
      <c r="B139" s="197">
        <v>18.350429706539501</v>
      </c>
    </row>
    <row r="140" spans="2:2" ht="15.6">
      <c r="B140" s="197">
        <v>18.174196968637265</v>
      </c>
    </row>
    <row r="141" spans="2:2" ht="15.6">
      <c r="B141" s="197">
        <v>18.252878764423983</v>
      </c>
    </row>
    <row r="142" spans="2:2" ht="15.6">
      <c r="B142" s="197">
        <v>18.450339247380107</v>
      </c>
    </row>
    <row r="143" spans="2:2" ht="15.6">
      <c r="B143" s="197">
        <v>18.337916458740356</v>
      </c>
    </row>
    <row r="144" spans="2:2" ht="15.6">
      <c r="B144" s="197">
        <v>18.526404193977495</v>
      </c>
    </row>
    <row r="145" spans="2:2" ht="15.6">
      <c r="B145" s="197">
        <v>18.59632331974262</v>
      </c>
    </row>
    <row r="146" spans="2:2" ht="15.6">
      <c r="B146" s="197">
        <v>17.774947461512429</v>
      </c>
    </row>
    <row r="147" spans="2:2" ht="15.6">
      <c r="B147" s="197">
        <v>17.915014295950137</v>
      </c>
    </row>
    <row r="148" spans="2:2" ht="15.6">
      <c r="B148" s="197">
        <v>17.896045190272638</v>
      </c>
    </row>
    <row r="149" spans="2:2" ht="15.6">
      <c r="B149" s="197">
        <v>18.015751165183847</v>
      </c>
    </row>
    <row r="150" spans="2:2" ht="15.6">
      <c r="B150" s="197">
        <v>18.208196474400054</v>
      </c>
    </row>
    <row r="151" spans="2:2" ht="15.6">
      <c r="B151" s="197">
        <v>18.038784988156884</v>
      </c>
    </row>
    <row r="152" spans="2:2" ht="15.6">
      <c r="B152" s="197">
        <v>18.255358008150399</v>
      </c>
    </row>
    <row r="153" spans="2:2" ht="15.6">
      <c r="B153" s="197">
        <v>18.253511906361179</v>
      </c>
    </row>
    <row r="154" spans="2:2" ht="15.6">
      <c r="B154" s="197">
        <v>17.913591034867853</v>
      </c>
    </row>
    <row r="155" spans="2:2" ht="15.6">
      <c r="B155" s="197">
        <v>18.430126894472981</v>
      </c>
    </row>
    <row r="156" spans="2:2" ht="15.6">
      <c r="B156" s="197">
        <v>18.351224051498725</v>
      </c>
    </row>
    <row r="157" spans="2:2" ht="15.6">
      <c r="B157" s="197">
        <v>18.422737271960717</v>
      </c>
    </row>
    <row r="158" spans="2:2" ht="15.6">
      <c r="B158" s="197">
        <v>18.343018345831659</v>
      </c>
    </row>
    <row r="159" spans="2:2" ht="15.6">
      <c r="B159" s="197">
        <v>18.209741107550119</v>
      </c>
    </row>
    <row r="160" spans="2:2" ht="15.6">
      <c r="B160" s="197">
        <v>18.061577171668954</v>
      </c>
    </row>
    <row r="161" spans="2:2" ht="15.6">
      <c r="B161" s="197">
        <v>18.041987777188876</v>
      </c>
    </row>
    <row r="162" spans="2:2" ht="15.6">
      <c r="B162" s="197">
        <v>18.304058559754655</v>
      </c>
    </row>
    <row r="163" spans="2:2" ht="15.6">
      <c r="B163" s="197">
        <v>17.910164186219049</v>
      </c>
    </row>
    <row r="164" spans="2:2" ht="15.6">
      <c r="B164" s="197">
        <v>18.282701514650601</v>
      </c>
    </row>
    <row r="165" spans="2:2" ht="15.6">
      <c r="B165" s="197">
        <v>18.088554147339725</v>
      </c>
    </row>
    <row r="166" spans="2:2" ht="15.6">
      <c r="B166" s="197">
        <v>18.17439364340396</v>
      </c>
    </row>
    <row r="167" spans="2:2" ht="15.6">
      <c r="B167" s="197">
        <v>18.136344242318881</v>
      </c>
    </row>
    <row r="168" spans="2:2" ht="15.6">
      <c r="B168" s="197">
        <v>18.366081474071592</v>
      </c>
    </row>
    <row r="169" spans="2:2" ht="15.6">
      <c r="B169" s="197">
        <v>17.897683623164856</v>
      </c>
    </row>
    <row r="170" spans="2:2" ht="15.6">
      <c r="B170" s="197">
        <v>17.909385972665145</v>
      </c>
    </row>
    <row r="171" spans="2:2" ht="15.6">
      <c r="B171" s="197">
        <v>18.300768997441178</v>
      </c>
    </row>
    <row r="172" spans="2:2" ht="15.6">
      <c r="B172" s="197">
        <v>18.499733981126468</v>
      </c>
    </row>
    <row r="173" spans="2:2" ht="15.6">
      <c r="B173" s="197">
        <v>18.493280918969035</v>
      </c>
    </row>
    <row r="174" spans="2:2" ht="15.6">
      <c r="B174" s="197">
        <v>18.089079863816668</v>
      </c>
    </row>
    <row r="175" spans="2:2" ht="15.6">
      <c r="B175" s="197">
        <v>18.210804315069851</v>
      </c>
    </row>
    <row r="176" spans="2:2" ht="15.6">
      <c r="B176" s="197">
        <v>18.083302126651347</v>
      </c>
    </row>
    <row r="177" spans="2:2" ht="15.6">
      <c r="B177" s="197">
        <v>18.631270334318554</v>
      </c>
    </row>
    <row r="178" spans="2:2" ht="15.6">
      <c r="B178" s="197">
        <v>18.040566223754826</v>
      </c>
    </row>
    <row r="179" spans="2:2" ht="15.6">
      <c r="B179" s="197">
        <v>18.177768913555717</v>
      </c>
    </row>
    <row r="180" spans="2:2" ht="15.6">
      <c r="B180" s="197">
        <v>18.322786770596622</v>
      </c>
    </row>
    <row r="181" spans="2:2" ht="15.6">
      <c r="B181" s="197">
        <v>18.401254557538426</v>
      </c>
    </row>
    <row r="182" spans="2:2" ht="15.6">
      <c r="B182" s="197">
        <v>18.197793927522905</v>
      </c>
    </row>
    <row r="183" spans="2:2" ht="15.6">
      <c r="B183" s="197">
        <v>18.256096947734939</v>
      </c>
    </row>
    <row r="184" spans="2:2" ht="15.6">
      <c r="B184" s="197">
        <v>18.027333443203453</v>
      </c>
    </row>
    <row r="185" spans="2:2" ht="15.6">
      <c r="B185" s="197">
        <v>18.211527955991087</v>
      </c>
    </row>
    <row r="186" spans="2:2" ht="15.6">
      <c r="B186" s="197">
        <v>18.059499185798689</v>
      </c>
    </row>
    <row r="187" spans="2:2" ht="15.6">
      <c r="B187" s="197">
        <v>18.182789603198238</v>
      </c>
    </row>
    <row r="188" spans="2:2" ht="15.6">
      <c r="B188" s="197">
        <v>18.175920185807037</v>
      </c>
    </row>
    <row r="189" spans="2:2" ht="15.6">
      <c r="B189" s="197">
        <v>17.958330653695217</v>
      </c>
    </row>
    <row r="190" spans="2:2" ht="15.6">
      <c r="B190" s="197">
        <v>18.084150785839107</v>
      </c>
    </row>
    <row r="191" spans="2:2" ht="15.6">
      <c r="B191" s="197">
        <v>18.368695852638627</v>
      </c>
    </row>
    <row r="192" spans="2:2" ht="15.6">
      <c r="B192" s="197">
        <v>18.160382355323343</v>
      </c>
    </row>
    <row r="193" spans="2:2" ht="15.6">
      <c r="B193" s="197">
        <v>18.244796966915878</v>
      </c>
    </row>
    <row r="194" spans="2:2" ht="15.6">
      <c r="B194" s="197">
        <v>18.116468680970627</v>
      </c>
    </row>
    <row r="195" spans="2:2" ht="15.6">
      <c r="B195" s="197">
        <v>17.866767083381209</v>
      </c>
    </row>
    <row r="196" spans="2:2" ht="15.6">
      <c r="B196" s="197">
        <v>18.251670208127884</v>
      </c>
    </row>
    <row r="197" spans="2:2" ht="15.6">
      <c r="B197" s="197">
        <v>18.226677545202669</v>
      </c>
    </row>
    <row r="198" spans="2:2" ht="15.6">
      <c r="B198" s="197">
        <v>18.130846480105227</v>
      </c>
    </row>
    <row r="199" spans="2:2" ht="15.6">
      <c r="B199" s="197">
        <v>18.009125522043036</v>
      </c>
    </row>
    <row r="200" spans="2:2" ht="15.6">
      <c r="B200" s="197">
        <v>18.032531192958626</v>
      </c>
    </row>
    <row r="201" spans="2:2" ht="15.6">
      <c r="B201" s="197">
        <v>18.026074479002869</v>
      </c>
    </row>
    <row r="202" spans="2:2" ht="15.6">
      <c r="B202" s="197">
        <v>17.998742642633264</v>
      </c>
    </row>
    <row r="203" spans="2:2" ht="15.6">
      <c r="B203" s="197">
        <v>18.083026188675408</v>
      </c>
    </row>
    <row r="204" spans="2:2" ht="15.6">
      <c r="B204" s="197">
        <v>17.930980722743428</v>
      </c>
    </row>
    <row r="205" spans="2:2" ht="15.6">
      <c r="B205" s="197">
        <v>18.110063993804157</v>
      </c>
    </row>
    <row r="206" spans="2:2" ht="15.6">
      <c r="B206" s="197">
        <v>18.010067980593622</v>
      </c>
    </row>
    <row r="207" spans="2:2" ht="15.6">
      <c r="B207" s="197">
        <v>17.896582085930035</v>
      </c>
    </row>
    <row r="208" spans="2:2" ht="15.6">
      <c r="B208" s="197">
        <v>18.154095849552331</v>
      </c>
    </row>
    <row r="209" spans="2:2" ht="15.6">
      <c r="B209" s="197">
        <v>18.52172227528639</v>
      </c>
    </row>
    <row r="210" spans="2:2" ht="15.6">
      <c r="B210" s="197">
        <v>18.298248932664961</v>
      </c>
    </row>
    <row r="211" spans="2:2" ht="15.6">
      <c r="B211" s="197">
        <v>17.804674434638617</v>
      </c>
    </row>
    <row r="212" spans="2:2" ht="15.6">
      <c r="B212" s="197">
        <v>18.246706522167823</v>
      </c>
    </row>
    <row r="213" spans="2:2" ht="15.6">
      <c r="B213" s="197">
        <v>17.999654429703664</v>
      </c>
    </row>
    <row r="214" spans="2:2" ht="15.6">
      <c r="B214" s="197">
        <v>17.979212555413074</v>
      </c>
    </row>
    <row r="215" spans="2:2" ht="15.6">
      <c r="B215" s="197">
        <v>18.156222544923047</v>
      </c>
    </row>
    <row r="216" spans="2:2" ht="15.6">
      <c r="B216" s="197">
        <v>18.275881829292118</v>
      </c>
    </row>
    <row r="217" spans="2:2" ht="15.6">
      <c r="B217" s="197">
        <v>18.124111470647495</v>
      </c>
    </row>
    <row r="218" spans="2:2" ht="15.6">
      <c r="B218" s="197">
        <v>18.27258761901448</v>
      </c>
    </row>
    <row r="219" spans="2:2" ht="15.6">
      <c r="B219" s="197">
        <v>18.558714681991702</v>
      </c>
    </row>
    <row r="220" spans="2:2" ht="15.6">
      <c r="B220" s="197">
        <v>18.148268512916751</v>
      </c>
    </row>
    <row r="221" spans="2:2" ht="15.6">
      <c r="B221" s="197">
        <v>18.185132902103838</v>
      </c>
    </row>
    <row r="222" spans="2:2" ht="15.6">
      <c r="B222" s="197">
        <v>17.828509538451801</v>
      </c>
    </row>
    <row r="223" spans="2:2" ht="15.6">
      <c r="B223" s="197">
        <v>18.163223762665915</v>
      </c>
    </row>
    <row r="224" spans="2:2" ht="15.6">
      <c r="B224" s="197">
        <v>17.895561555331607</v>
      </c>
    </row>
    <row r="225" spans="2:2" ht="15.6">
      <c r="B225" s="197">
        <v>17.97721303676861</v>
      </c>
    </row>
    <row r="226" spans="2:2" ht="15.6">
      <c r="B226" s="197">
        <v>18.295960267077408</v>
      </c>
    </row>
    <row r="227" spans="2:2" ht="15.6">
      <c r="B227" s="197">
        <v>18.337853290110367</v>
      </c>
    </row>
    <row r="228" spans="2:2" ht="15.6">
      <c r="B228" s="197">
        <v>18.108506160564161</v>
      </c>
    </row>
    <row r="229" spans="2:2" ht="15.6">
      <c r="B229" s="197">
        <v>18.160896212469225</v>
      </c>
    </row>
    <row r="230" spans="2:2" ht="15.6">
      <c r="B230" s="197">
        <v>18.54956222116919</v>
      </c>
    </row>
    <row r="231" spans="2:2" ht="15.6">
      <c r="B231" s="197">
        <v>17.814987167461858</v>
      </c>
    </row>
    <row r="232" spans="2:2" ht="15.6">
      <c r="B232" s="197">
        <v>17.946660900892336</v>
      </c>
    </row>
    <row r="233" spans="2:2" ht="15.6">
      <c r="B233" s="197">
        <v>18.101248587403941</v>
      </c>
    </row>
    <row r="234" spans="2:2" ht="15.6">
      <c r="B234" s="197">
        <v>18.145731637321834</v>
      </c>
    </row>
    <row r="235" spans="2:2" ht="15.6">
      <c r="B235" s="197">
        <v>18.508567313713293</v>
      </c>
    </row>
    <row r="236" spans="2:2" ht="15.6">
      <c r="B236" s="197">
        <v>18.341218231911764</v>
      </c>
    </row>
    <row r="237" spans="2:2" ht="15.6">
      <c r="B237" s="197">
        <v>17.951960500219425</v>
      </c>
    </row>
    <row r="238" spans="2:2" ht="15.6">
      <c r="B238" s="197">
        <v>18.249965021910768</v>
      </c>
    </row>
    <row r="239" spans="2:2" ht="15.6">
      <c r="B239" s="197">
        <v>18.160981926814912</v>
      </c>
    </row>
    <row r="240" spans="2:2" ht="15.6">
      <c r="B240" s="197">
        <v>18.182055977753407</v>
      </c>
    </row>
    <row r="241" spans="2:2" ht="15.6">
      <c r="B241" s="197">
        <v>18.14722986379995</v>
      </c>
    </row>
    <row r="242" spans="2:2" ht="15.6">
      <c r="B242" s="197">
        <v>17.811643847930046</v>
      </c>
    </row>
    <row r="243" spans="2:2" ht="15.6">
      <c r="B243" s="197">
        <v>17.954679681048145</v>
      </c>
    </row>
    <row r="244" spans="2:2" ht="15.6">
      <c r="B244" s="197">
        <v>18.252667595561057</v>
      </c>
    </row>
    <row r="245" spans="2:2" ht="15.6">
      <c r="B245" s="197">
        <v>18.098187350678181</v>
      </c>
    </row>
    <row r="246" spans="2:2" ht="15.6">
      <c r="B246" s="197">
        <v>18.056306405268096</v>
      </c>
    </row>
    <row r="247" spans="2:2" ht="15.6">
      <c r="B247" s="197">
        <v>18.295181866585093</v>
      </c>
    </row>
    <row r="248" spans="2:2" ht="15.6">
      <c r="B248" s="197">
        <v>17.847103330967865</v>
      </c>
    </row>
    <row r="249" spans="2:2" ht="15.6">
      <c r="B249" s="197">
        <v>18.088978455839108</v>
      </c>
    </row>
    <row r="250" spans="2:2" ht="15.6">
      <c r="B250" s="197">
        <v>18.241412979945167</v>
      </c>
    </row>
    <row r="251" spans="2:2" ht="15.6">
      <c r="B251" s="197">
        <v>18.437367649883786</v>
      </c>
    </row>
    <row r="252" spans="2:2" ht="15.6">
      <c r="B252" s="197">
        <v>18.000145848211165</v>
      </c>
    </row>
    <row r="253" spans="2:2" ht="15.6">
      <c r="B253" s="197">
        <v>18.315943755988563</v>
      </c>
    </row>
    <row r="254" spans="2:2" ht="15.6">
      <c r="B254" s="197">
        <v>18.300169848800266</v>
      </c>
    </row>
    <row r="255" spans="2:2" ht="15.6">
      <c r="B255" s="197">
        <v>18.095460290493047</v>
      </c>
    </row>
    <row r="256" spans="2:2" ht="15.6">
      <c r="B256" s="197">
        <v>18.283231959642791</v>
      </c>
    </row>
    <row r="257" spans="2:2" ht="15.6">
      <c r="B257" s="197">
        <v>18.008488786057118</v>
      </c>
    </row>
    <row r="258" spans="2:2" ht="15.6">
      <c r="B258" s="197">
        <v>18.124025585337282</v>
      </c>
    </row>
    <row r="259" spans="2:2" ht="15.6">
      <c r="B259" s="197">
        <v>17.720911369119186</v>
      </c>
    </row>
    <row r="260" spans="2:2" ht="15.6">
      <c r="B260" s="197">
        <v>18.284230314481462</v>
      </c>
    </row>
    <row r="261" spans="2:2" ht="15.6">
      <c r="B261" s="197">
        <v>18.126713762686258</v>
      </c>
    </row>
    <row r="262" spans="2:2" ht="15.6">
      <c r="B262" s="197">
        <v>18.619634231098413</v>
      </c>
    </row>
    <row r="263" spans="2:2" ht="15.6">
      <c r="B263" s="197">
        <v>18.328934180064795</v>
      </c>
    </row>
    <row r="264" spans="2:2" ht="15.6">
      <c r="B264" s="197">
        <v>17.986592374419335</v>
      </c>
    </row>
    <row r="265" spans="2:2" ht="15.6">
      <c r="B265" s="197">
        <v>17.91837099092518</v>
      </c>
    </row>
    <row r="266" spans="2:2" ht="15.6">
      <c r="B266" s="197">
        <v>18.055927665367552</v>
      </c>
    </row>
    <row r="267" spans="2:2" ht="15.6">
      <c r="B267" s="197">
        <v>18.407586605688145</v>
      </c>
    </row>
    <row r="268" spans="2:2" ht="15.6">
      <c r="B268" s="197">
        <v>18.205916406706908</v>
      </c>
    </row>
    <row r="269" spans="2:2" ht="15.6">
      <c r="B269" s="197">
        <v>18.192244207895474</v>
      </c>
    </row>
    <row r="270" spans="2:2" ht="15.6">
      <c r="B270" s="197">
        <v>18.180093627412564</v>
      </c>
    </row>
    <row r="271" spans="2:2" ht="15.6">
      <c r="B271" s="197">
        <v>18.116730976769563</v>
      </c>
    </row>
    <row r="272" spans="2:2" ht="15.6">
      <c r="B272" s="197">
        <v>18.015200235974728</v>
      </c>
    </row>
    <row r="273" spans="2:2" ht="15.6">
      <c r="B273" s="197">
        <v>17.798814172753008</v>
      </c>
    </row>
    <row r="274" spans="2:2" ht="15.6">
      <c r="B274" s="197">
        <v>18.251974288851365</v>
      </c>
    </row>
    <row r="275" spans="2:2" ht="15.6">
      <c r="B275" s="197">
        <v>18.156739590827435</v>
      </c>
    </row>
    <row r="276" spans="2:2" ht="15.6">
      <c r="B276" s="197">
        <v>18.162608296928589</v>
      </c>
    </row>
    <row r="277" spans="2:2" ht="15.6">
      <c r="B277" s="197">
        <v>18.538367628467103</v>
      </c>
    </row>
    <row r="278" spans="2:2" ht="15.6">
      <c r="B278" s="197">
        <v>18.459352167098533</v>
      </c>
    </row>
    <row r="279" spans="2:2" ht="15.6">
      <c r="B279" s="197">
        <v>18.155933583826478</v>
      </c>
    </row>
    <row r="280" spans="2:2" ht="15.6">
      <c r="B280" s="197">
        <v>18.147086416186514</v>
      </c>
    </row>
    <row r="281" spans="2:2" ht="15.6">
      <c r="B281" s="197">
        <v>17.986695944845955</v>
      </c>
    </row>
    <row r="282" spans="2:2" ht="15.6">
      <c r="B282" s="197">
        <v>17.805745747198813</v>
      </c>
    </row>
    <row r="283" spans="2:2" ht="15.6">
      <c r="B283" s="197">
        <v>18.257722807093231</v>
      </c>
    </row>
    <row r="284" spans="2:2" ht="15.6">
      <c r="B284" s="197">
        <v>17.982901960176179</v>
      </c>
    </row>
    <row r="285" spans="2:2" ht="15.6">
      <c r="B285" s="197">
        <v>18.203772904816979</v>
      </c>
    </row>
    <row r="286" spans="2:2" ht="15.6">
      <c r="B286" s="197">
        <v>18.15410248535877</v>
      </c>
    </row>
    <row r="287" spans="2:2" ht="15.6">
      <c r="B287" s="197">
        <v>18.272089390437358</v>
      </c>
    </row>
    <row r="288" spans="2:2" ht="15.6">
      <c r="B288" s="197">
        <v>18.119865536072453</v>
      </c>
    </row>
    <row r="289" spans="2:2" ht="15.6">
      <c r="B289" s="197">
        <v>18.145200927402254</v>
      </c>
    </row>
    <row r="290" spans="2:2" ht="15.6">
      <c r="B290" s="197">
        <v>18.419087845168725</v>
      </c>
    </row>
    <row r="291" spans="2:2" ht="15.6">
      <c r="B291" s="197">
        <v>18.549239788373619</v>
      </c>
    </row>
    <row r="292" spans="2:2" ht="15.6">
      <c r="B292" s="197">
        <v>17.914482834911112</v>
      </c>
    </row>
    <row r="293" spans="2:2" ht="15.6">
      <c r="B293" s="197">
        <v>18.007287486502786</v>
      </c>
    </row>
    <row r="294" spans="2:2" ht="15.6">
      <c r="B294" s="197">
        <v>18.386086173264591</v>
      </c>
    </row>
    <row r="295" spans="2:2" ht="15.6">
      <c r="B295" s="197">
        <v>18.600847979635045</v>
      </c>
    </row>
    <row r="296" spans="2:2" ht="15.6">
      <c r="B296" s="197">
        <v>18.108804008535252</v>
      </c>
    </row>
    <row r="297" spans="2:2" ht="15.6">
      <c r="B297" s="197">
        <v>17.845185758087659</v>
      </c>
    </row>
    <row r="298" spans="2:2" ht="15.6">
      <c r="B298" s="197">
        <v>18.012435889512869</v>
      </c>
    </row>
    <row r="299" spans="2:2" ht="15.6">
      <c r="B299" s="197">
        <v>17.919032826904342</v>
      </c>
    </row>
    <row r="300" spans="2:2" ht="15.6">
      <c r="B300" s="197">
        <v>18.168455462867779</v>
      </c>
    </row>
    <row r="301" spans="2:2" ht="15.6">
      <c r="B301" s="197">
        <v>17.998120932317271</v>
      </c>
    </row>
    <row r="302" spans="2:2" ht="15.6">
      <c r="B302" s="197">
        <v>18.212537523813463</v>
      </c>
    </row>
    <row r="303" spans="2:2" ht="15.6">
      <c r="B303" s="197">
        <v>18.023822269103686</v>
      </c>
    </row>
    <row r="304" spans="2:2" ht="15.6">
      <c r="B304" s="197">
        <v>17.93835785096476</v>
      </c>
    </row>
    <row r="305" spans="2:2" ht="15.6">
      <c r="B305" s="197">
        <v>18.46029396257024</v>
      </c>
    </row>
    <row r="306" spans="2:2" ht="15.6">
      <c r="B306" s="197">
        <v>17.901090912271162</v>
      </c>
    </row>
    <row r="307" spans="2:2" ht="15.6">
      <c r="B307" s="197">
        <v>18.168770587884651</v>
      </c>
    </row>
    <row r="308" spans="2:2" ht="15.6">
      <c r="B308" s="197">
        <v>17.867750786129747</v>
      </c>
    </row>
    <row r="309" spans="2:2" ht="15.6">
      <c r="B309" s="197">
        <v>18.058382835093166</v>
      </c>
    </row>
    <row r="310" spans="2:2" ht="15.6">
      <c r="B310" s="197">
        <v>18.48513024137646</v>
      </c>
    </row>
    <row r="311" spans="2:2" ht="15.6">
      <c r="B311" s="197">
        <v>17.949032280321038</v>
      </c>
    </row>
    <row r="312" spans="2:2" ht="15.6">
      <c r="B312" s="197">
        <v>18.064481233117544</v>
      </c>
    </row>
    <row r="313" spans="2:2" ht="15.6">
      <c r="B313" s="197">
        <v>18.153538252181129</v>
      </c>
    </row>
    <row r="314" spans="2:2" ht="15.6">
      <c r="B314" s="197">
        <v>17.999412554550325</v>
      </c>
    </row>
    <row r="315" spans="2:2" ht="15.6">
      <c r="B315" s="197">
        <v>18.250438509471241</v>
      </c>
    </row>
    <row r="316" spans="2:2" ht="15.6">
      <c r="B316" s="197">
        <v>18.616578778468728</v>
      </c>
    </row>
    <row r="317" spans="2:2" ht="15.6">
      <c r="B317" s="197">
        <v>18.273118111745273</v>
      </c>
    </row>
    <row r="318" spans="2:2" ht="15.6">
      <c r="B318" s="197">
        <v>18.007052615103479</v>
      </c>
    </row>
    <row r="319" spans="2:2" ht="15.6">
      <c r="B319" s="197">
        <v>17.8952737795213</v>
      </c>
    </row>
    <row r="320" spans="2:2" ht="15.6">
      <c r="B320" s="197">
        <v>17.954011450306204</v>
      </c>
    </row>
    <row r="321" spans="2:2" ht="15.6">
      <c r="B321" s="197">
        <v>18.124941392136584</v>
      </c>
    </row>
    <row r="322" spans="2:2" ht="15.6">
      <c r="B322" s="197">
        <v>18.380420510600345</v>
      </c>
    </row>
    <row r="323" spans="2:2" ht="15.6">
      <c r="B323" s="197">
        <v>18.282459108945702</v>
      </c>
    </row>
    <row r="324" spans="2:2" ht="15.6">
      <c r="B324" s="197">
        <v>18.508965665404645</v>
      </c>
    </row>
    <row r="325" spans="2:2" ht="15.6">
      <c r="B325" s="197">
        <v>18.157868205271111</v>
      </c>
    </row>
    <row r="326" spans="2:2" ht="15.6">
      <c r="B326" s="197">
        <v>18.152406062877645</v>
      </c>
    </row>
    <row r="327" spans="2:2" ht="15.6">
      <c r="B327" s="197">
        <v>18.01579554203013</v>
      </c>
    </row>
    <row r="328" spans="2:2" ht="15.6">
      <c r="B328" s="197">
        <v>17.96942975609343</v>
      </c>
    </row>
    <row r="329" spans="2:2" ht="15.6">
      <c r="B329" s="197">
        <v>17.933833711488909</v>
      </c>
    </row>
    <row r="330" spans="2:2" ht="15.6">
      <c r="B330" s="197">
        <v>18.247419100034573</v>
      </c>
    </row>
    <row r="331" spans="2:2" ht="15.6">
      <c r="B331" s="197">
        <v>17.9493173229333</v>
      </c>
    </row>
    <row r="332" spans="2:2" ht="15.6">
      <c r="B332" s="197">
        <v>18.272617858755801</v>
      </c>
    </row>
    <row r="333" spans="2:2" ht="15.6">
      <c r="B333" s="197">
        <v>18.283680574144892</v>
      </c>
    </row>
    <row r="334" spans="2:2" ht="15.6">
      <c r="B334" s="197">
        <v>18.440513574397713</v>
      </c>
    </row>
    <row r="335" spans="2:2" ht="15.6">
      <c r="B335" s="197">
        <v>18.217756970723062</v>
      </c>
    </row>
    <row r="336" spans="2:2" ht="15.6">
      <c r="B336" s="197">
        <v>17.824784027576317</v>
      </c>
    </row>
    <row r="337" spans="2:2" ht="15.6">
      <c r="B337" s="197">
        <v>18.071824748578326</v>
      </c>
    </row>
    <row r="338" spans="2:2" ht="15.6">
      <c r="B338" s="197">
        <v>18.191833166769261</v>
      </c>
    </row>
    <row r="339" spans="2:2" ht="15.6">
      <c r="B339" s="197">
        <v>18.317442138402523</v>
      </c>
    </row>
    <row r="340" spans="2:2" ht="15.6">
      <c r="B340" s="197">
        <v>18.217769559802893</v>
      </c>
    </row>
    <row r="341" spans="2:2" ht="15.6">
      <c r="B341" s="197">
        <v>17.96542131670039</v>
      </c>
    </row>
    <row r="342" spans="2:2" ht="15.6">
      <c r="B342" s="197">
        <v>18.042997383563399</v>
      </c>
    </row>
    <row r="343" spans="2:2" ht="15.6">
      <c r="B343" s="197">
        <v>18.161758734306616</v>
      </c>
    </row>
    <row r="344" spans="2:2" ht="15.6">
      <c r="B344" s="197">
        <v>18.221935584965969</v>
      </c>
    </row>
    <row r="345" spans="2:2" ht="15.6">
      <c r="B345" s="197">
        <v>17.980843021487836</v>
      </c>
    </row>
    <row r="346" spans="2:2" ht="15.6">
      <c r="B346" s="197">
        <v>18.500223112307253</v>
      </c>
    </row>
    <row r="347" spans="2:2" ht="15.6">
      <c r="B347" s="197">
        <v>18.14651845765469</v>
      </c>
    </row>
    <row r="348" spans="2:2" ht="15.6">
      <c r="B348" s="197">
        <v>18.170402852997828</v>
      </c>
    </row>
    <row r="349" spans="2:2" ht="15.6">
      <c r="B349" s="197">
        <v>18.224052954464522</v>
      </c>
    </row>
    <row r="350" spans="2:2" ht="15.6">
      <c r="B350" s="197">
        <v>18.274006298075403</v>
      </c>
    </row>
    <row r="351" spans="2:2" ht="15.6">
      <c r="B351" s="197">
        <v>18.314930487881103</v>
      </c>
    </row>
    <row r="352" spans="2:2" ht="15.6">
      <c r="B352" s="197">
        <v>18.102932832748433</v>
      </c>
    </row>
    <row r="353" spans="2:2" ht="15.6">
      <c r="B353" s="197">
        <v>18.097827527630606</v>
      </c>
    </row>
    <row r="354" spans="2:2" ht="15.6">
      <c r="B354" s="197">
        <v>18.36601836142151</v>
      </c>
    </row>
    <row r="355" spans="2:2" ht="15.6">
      <c r="B355" s="197">
        <v>18.334152859986915</v>
      </c>
    </row>
    <row r="356" spans="2:2" ht="15.6">
      <c r="B356" s="197">
        <v>18.301689053035474</v>
      </c>
    </row>
    <row r="357" spans="2:2" ht="15.6">
      <c r="B357" s="197">
        <v>18.260832301834082</v>
      </c>
    </row>
    <row r="358" spans="2:2" ht="15.6">
      <c r="B358" s="197">
        <v>18.121638585365503</v>
      </c>
    </row>
    <row r="359" spans="2:2" ht="15.6">
      <c r="B359" s="197">
        <v>18.059609663199868</v>
      </c>
    </row>
    <row r="360" spans="2:2" ht="15.6">
      <c r="B360" s="197">
        <v>18.412628353745333</v>
      </c>
    </row>
    <row r="361" spans="2:2" ht="15.6">
      <c r="B361" s="197">
        <v>17.947511074192501</v>
      </c>
    </row>
    <row r="362" spans="2:2" ht="15.6">
      <c r="B362" s="197">
        <v>18.019302808367392</v>
      </c>
    </row>
    <row r="363" spans="2:2" ht="15.6">
      <c r="B363" s="197">
        <v>18.280762185100478</v>
      </c>
    </row>
    <row r="364" spans="2:2" ht="15.6">
      <c r="B364" s="197">
        <v>18.108394758594041</v>
      </c>
    </row>
    <row r="365" spans="2:2" ht="15.6">
      <c r="B365" s="197">
        <v>17.937120216946369</v>
      </c>
    </row>
    <row r="366" spans="2:2" ht="15.6">
      <c r="B366" s="197">
        <v>18.237777541239812</v>
      </c>
    </row>
    <row r="367" spans="2:2" ht="15.6">
      <c r="B367" s="197">
        <v>17.957971753586271</v>
      </c>
    </row>
    <row r="368" spans="2:2" ht="15.6">
      <c r="B368" s="197">
        <v>18.30045863714248</v>
      </c>
    </row>
    <row r="369" spans="2:2" ht="15.6">
      <c r="B369" s="197">
        <v>17.941566742730256</v>
      </c>
    </row>
    <row r="370" spans="2:2" ht="15.6">
      <c r="B370" s="197">
        <v>18.542525768155343</v>
      </c>
    </row>
    <row r="371" spans="2:2" ht="15.6">
      <c r="B371" s="197">
        <v>18.451399844489178</v>
      </c>
    </row>
    <row r="372" spans="2:2" ht="15.6">
      <c r="B372" s="197">
        <v>18.182738681186027</v>
      </c>
    </row>
    <row r="373" spans="2:2" ht="15.6">
      <c r="B373" s="197">
        <v>18.007307609346178</v>
      </c>
    </row>
    <row r="374" spans="2:2" ht="15.6">
      <c r="B374" s="197">
        <v>18.170945391693376</v>
      </c>
    </row>
    <row r="375" spans="2:2" ht="15.6">
      <c r="B375" s="197">
        <v>17.922225277581678</v>
      </c>
    </row>
    <row r="376" spans="2:2" ht="15.6">
      <c r="B376" s="197">
        <v>18.458751713673038</v>
      </c>
    </row>
    <row r="377" spans="2:2" ht="15.6">
      <c r="B377" s="197">
        <v>18.071148932204707</v>
      </c>
    </row>
    <row r="378" spans="2:2" ht="15.6">
      <c r="B378" s="197">
        <v>18.374307831602163</v>
      </c>
    </row>
    <row r="379" spans="2:2" ht="15.6">
      <c r="B379" s="197">
        <v>18.150891494912546</v>
      </c>
    </row>
    <row r="380" spans="2:2" ht="15.6">
      <c r="B380" s="197">
        <v>17.883884456257704</v>
      </c>
    </row>
    <row r="381" spans="2:2" ht="15.6">
      <c r="B381" s="197">
        <v>18.185906950004828</v>
      </c>
    </row>
    <row r="382" spans="2:2" ht="15.6">
      <c r="B382" s="197">
        <v>17.919979049207065</v>
      </c>
    </row>
    <row r="383" spans="2:2" ht="15.6">
      <c r="B383" s="197">
        <v>18.233646509505245</v>
      </c>
    </row>
    <row r="384" spans="2:2" ht="15.6">
      <c r="B384" s="197">
        <v>18.295568812336398</v>
      </c>
    </row>
    <row r="385" spans="2:2" ht="15.6">
      <c r="B385" s="197">
        <v>17.827166777777595</v>
      </c>
    </row>
    <row r="386" spans="2:2" ht="15.6">
      <c r="B386" s="197">
        <v>18.259868938482228</v>
      </c>
    </row>
    <row r="387" spans="2:2" ht="15.6">
      <c r="B387" s="197">
        <v>18.301361370546381</v>
      </c>
    </row>
    <row r="388" spans="2:2" ht="15.6">
      <c r="B388" s="197">
        <v>18.427279265629259</v>
      </c>
    </row>
    <row r="389" spans="2:2" ht="15.6">
      <c r="B389" s="197">
        <v>18.23948615808645</v>
      </c>
    </row>
    <row r="390" spans="2:2" ht="15.6">
      <c r="B390" s="197">
        <v>17.900551877575648</v>
      </c>
    </row>
    <row r="391" spans="2:2" ht="15.6">
      <c r="B391" s="197">
        <v>18.000422406584796</v>
      </c>
    </row>
    <row r="392" spans="2:2" ht="15.6">
      <c r="B392" s="197">
        <v>18.231670823847224</v>
      </c>
    </row>
    <row r="393" spans="2:2" ht="15.6">
      <c r="B393" s="197">
        <v>18.292532467286424</v>
      </c>
    </row>
    <row r="394" spans="2:2" ht="15.6">
      <c r="B394" s="197">
        <v>18.096696437979343</v>
      </c>
    </row>
    <row r="395" spans="2:2" ht="15.6">
      <c r="B395" s="197">
        <v>18.193909358031004</v>
      </c>
    </row>
    <row r="396" spans="2:2" ht="15.6">
      <c r="B396" s="197">
        <v>17.927713664730881</v>
      </c>
    </row>
    <row r="397" spans="2:2" ht="15.6">
      <c r="B397" s="197">
        <v>18.102916703291456</v>
      </c>
    </row>
    <row r="398" spans="2:2" ht="15.6">
      <c r="B398" s="197">
        <v>18.282057717213259</v>
      </c>
    </row>
    <row r="399" spans="2:2" ht="15.6">
      <c r="B399" s="197">
        <v>17.983275199896017</v>
      </c>
    </row>
    <row r="400" spans="2:2" ht="15.6">
      <c r="B400" s="197">
        <v>18.316045237330925</v>
      </c>
    </row>
    <row r="401" spans="2:2" ht="15.6">
      <c r="B401" s="197">
        <v>18.024110998585055</v>
      </c>
    </row>
    <row r="402" spans="2:2" ht="15.6">
      <c r="B402" s="197">
        <v>18.297376523192654</v>
      </c>
    </row>
    <row r="403" spans="2:2" ht="15.6">
      <c r="B403" s="197">
        <v>18.416890575579508</v>
      </c>
    </row>
    <row r="404" spans="2:2" ht="15.6">
      <c r="B404" s="197">
        <v>17.916216874317879</v>
      </c>
    </row>
    <row r="405" spans="2:2" ht="15.6">
      <c r="B405" s="197">
        <v>18.320497773616864</v>
      </c>
    </row>
    <row r="406" spans="2:2" ht="15.6">
      <c r="B406" s="197">
        <v>17.628754459297959</v>
      </c>
    </row>
    <row r="407" spans="2:2" ht="15.6">
      <c r="B407" s="197">
        <v>18.420137600612104</v>
      </c>
    </row>
    <row r="408" spans="2:2" ht="15.6">
      <c r="B408" s="197">
        <v>18.27277469361923</v>
      </c>
    </row>
    <row r="409" spans="2:2" ht="15.6">
      <c r="B409" s="197">
        <v>18.695334049547551</v>
      </c>
    </row>
    <row r="410" spans="2:2" ht="15.6">
      <c r="B410" s="197">
        <v>18.286073121505396</v>
      </c>
    </row>
    <row r="411" spans="2:2" ht="15.6">
      <c r="B411" s="197">
        <v>18.064954623017449</v>
      </c>
    </row>
    <row r="412" spans="2:2" ht="15.6">
      <c r="B412" s="197">
        <v>18.245378126436751</v>
      </c>
    </row>
    <row r="413" spans="2:2" ht="15.6">
      <c r="B413" s="197">
        <v>17.875020464916606</v>
      </c>
    </row>
    <row r="414" spans="2:2" ht="15.6">
      <c r="B414" s="197">
        <v>18.150034925380304</v>
      </c>
    </row>
    <row r="415" spans="2:2" ht="15.6">
      <c r="B415" s="197">
        <v>18.714555775591577</v>
      </c>
    </row>
    <row r="416" spans="2:2" ht="15.6">
      <c r="B416" s="197">
        <v>18.092432224924096</v>
      </c>
    </row>
    <row r="417" spans="2:2" ht="15.6">
      <c r="B417" s="197">
        <v>18.254495376596978</v>
      </c>
    </row>
    <row r="418" spans="2:2" ht="15.6">
      <c r="B418" s="197">
        <v>17.715618655092218</v>
      </c>
    </row>
    <row r="419" spans="2:2" ht="15.6">
      <c r="B419" s="197">
        <v>18.044445943806569</v>
      </c>
    </row>
    <row r="420" spans="2:2" ht="15.6">
      <c r="B420" s="197">
        <v>18.239193315831585</v>
      </c>
    </row>
    <row r="421" spans="2:2" ht="15.6">
      <c r="B421" s="197">
        <v>17.879823824399967</v>
      </c>
    </row>
    <row r="422" spans="2:2" ht="15.6">
      <c r="B422" s="197">
        <v>18.33099227439833</v>
      </c>
    </row>
    <row r="423" spans="2:2" ht="15.6">
      <c r="B423" s="197">
        <v>17.597097515724773</v>
      </c>
    </row>
    <row r="424" spans="2:2" ht="15.6">
      <c r="B424" s="197">
        <v>18.024342434233997</v>
      </c>
    </row>
    <row r="425" spans="2:2" ht="15.6">
      <c r="B425" s="197">
        <v>18.236405870136288</v>
      </c>
    </row>
    <row r="426" spans="2:2" ht="15.6">
      <c r="B426" s="197">
        <v>17.719391935600584</v>
      </c>
    </row>
    <row r="427" spans="2:2" ht="15.6">
      <c r="B427" s="197">
        <v>17.984444214748876</v>
      </c>
    </row>
    <row r="428" spans="2:2" ht="15.6">
      <c r="B428" s="197">
        <v>17.899364347651836</v>
      </c>
    </row>
    <row r="429" spans="2:2" ht="15.6">
      <c r="B429" s="197">
        <v>18.092748134494773</v>
      </c>
    </row>
    <row r="430" spans="2:2" ht="15.6">
      <c r="B430" s="197">
        <v>18.503827945004854</v>
      </c>
    </row>
    <row r="431" spans="2:2" ht="15.6">
      <c r="B431" s="197">
        <v>18.132804767692004</v>
      </c>
    </row>
    <row r="432" spans="2:2" ht="15.6">
      <c r="B432" s="197">
        <v>17.996931871758711</v>
      </c>
    </row>
    <row r="433" spans="2:2" ht="15.6">
      <c r="B433" s="197">
        <v>18.117457923596461</v>
      </c>
    </row>
    <row r="434" spans="2:2" ht="15.6">
      <c r="B434" s="197">
        <v>18.036718428335476</v>
      </c>
    </row>
    <row r="435" spans="2:2" ht="15.6">
      <c r="B435" s="197">
        <v>17.940278516369862</v>
      </c>
    </row>
    <row r="436" spans="2:2" ht="15.6">
      <c r="B436" s="197">
        <v>17.956374721122266</v>
      </c>
    </row>
    <row r="437" spans="2:2" ht="15.6">
      <c r="B437" s="197">
        <v>18.056064290859272</v>
      </c>
    </row>
    <row r="438" spans="2:2" ht="15.6">
      <c r="B438" s="197">
        <v>18.109885469924937</v>
      </c>
    </row>
    <row r="439" spans="2:2" ht="15.6">
      <c r="B439" s="197">
        <v>17.77787399198446</v>
      </c>
    </row>
    <row r="440" spans="2:2" ht="15.6">
      <c r="B440" s="197">
        <v>18.096695843659091</v>
      </c>
    </row>
    <row r="441" spans="2:2" ht="15.6">
      <c r="B441" s="197">
        <v>18.081658725261086</v>
      </c>
    </row>
    <row r="442" spans="2:2" ht="15.6">
      <c r="B442" s="197">
        <v>18.045133284354957</v>
      </c>
    </row>
    <row r="443" spans="2:2" ht="15.6">
      <c r="B443" s="197">
        <v>18.363722705503942</v>
      </c>
    </row>
    <row r="444" spans="2:2" ht="15.6">
      <c r="B444" s="197">
        <v>18.222901922176593</v>
      </c>
    </row>
    <row r="445" spans="2:2" ht="15.6">
      <c r="B445" s="197">
        <v>18.151145208119704</v>
      </c>
    </row>
    <row r="446" spans="2:2" ht="15.6">
      <c r="B446" s="197">
        <v>18.049522461156236</v>
      </c>
    </row>
    <row r="447" spans="2:2" ht="15.6">
      <c r="B447" s="197">
        <v>18.159860277466304</v>
      </c>
    </row>
    <row r="448" spans="2:2" ht="15.6">
      <c r="B448" s="197">
        <v>18.488756512643207</v>
      </c>
    </row>
    <row r="449" spans="2:2" ht="15.6">
      <c r="B449" s="197">
        <v>17.961403949531057</v>
      </c>
    </row>
    <row r="450" spans="2:2" ht="15.6">
      <c r="B450" s="197">
        <v>17.979771920886442</v>
      </c>
    </row>
    <row r="451" spans="2:2" ht="15.6">
      <c r="B451" s="197">
        <v>18.179394934276832</v>
      </c>
    </row>
    <row r="452" spans="2:2" ht="15.6">
      <c r="B452" s="197">
        <v>18.070426076970627</v>
      </c>
    </row>
    <row r="453" spans="2:2" ht="15.6">
      <c r="B453" s="197">
        <v>18.634486388469515</v>
      </c>
    </row>
    <row r="454" spans="2:2" ht="15.6">
      <c r="B454" s="197">
        <v>17.943704790597046</v>
      </c>
    </row>
    <row r="455" spans="2:2" ht="15.6">
      <c r="B455" s="197">
        <v>18.306317041021948</v>
      </c>
    </row>
    <row r="456" spans="2:2" ht="15.6">
      <c r="B456" s="197">
        <v>18.093818834851191</v>
      </c>
    </row>
    <row r="457" spans="2:2" ht="15.6">
      <c r="B457" s="197">
        <v>18.382843291749261</v>
      </c>
    </row>
    <row r="458" spans="2:2" ht="15.6">
      <c r="B458" s="197">
        <v>18.403862013532077</v>
      </c>
    </row>
    <row r="459" spans="2:2" ht="15.6">
      <c r="B459" s="197">
        <v>18.346517818719654</v>
      </c>
    </row>
    <row r="460" spans="2:2" ht="15.6">
      <c r="B460" s="197">
        <v>18.173610886465546</v>
      </c>
    </row>
    <row r="461" spans="2:2" ht="15.6">
      <c r="B461" s="197">
        <v>18.264423779414418</v>
      </c>
    </row>
    <row r="462" spans="2:2" ht="15.6">
      <c r="B462" s="197">
        <v>18.208403906538365</v>
      </c>
    </row>
    <row r="463" spans="2:2" ht="15.6">
      <c r="B463" s="197">
        <v>18.061872098075671</v>
      </c>
    </row>
    <row r="464" spans="2:2" ht="15.6">
      <c r="B464" s="197">
        <v>18.028482639730214</v>
      </c>
    </row>
    <row r="465" spans="2:2" ht="15.6">
      <c r="B465" s="197">
        <v>18.040744376109526</v>
      </c>
    </row>
    <row r="466" spans="2:2" ht="15.6">
      <c r="B466" s="197">
        <v>18.435058569757871</v>
      </c>
    </row>
    <row r="467" spans="2:2" ht="15.6">
      <c r="B467" s="197">
        <v>17.986514965839142</v>
      </c>
    </row>
    <row r="468" spans="2:2" ht="15.6">
      <c r="B468" s="197">
        <v>18.170005461344257</v>
      </c>
    </row>
    <row r="469" spans="2:2" ht="15.6">
      <c r="B469" s="197">
        <v>18.21535281391888</v>
      </c>
    </row>
    <row r="470" spans="2:2" ht="15.6">
      <c r="B470" s="197">
        <v>17.94092809937235</v>
      </c>
    </row>
    <row r="471" spans="2:2" ht="15.6">
      <c r="B471" s="197">
        <v>18.277831795919646</v>
      </c>
    </row>
    <row r="472" spans="2:2" ht="15.6">
      <c r="B472" s="197">
        <v>18.301886726072183</v>
      </c>
    </row>
    <row r="473" spans="2:2" ht="15.6">
      <c r="B473" s="197">
        <v>18.141055815610422</v>
      </c>
    </row>
    <row r="474" spans="2:2" ht="15.6">
      <c r="B474" s="197">
        <v>18.157533391993042</v>
      </c>
    </row>
    <row r="475" spans="2:2" ht="15.6">
      <c r="B475" s="197">
        <v>18.136764680774739</v>
      </c>
    </row>
    <row r="476" spans="2:2" ht="15.6">
      <c r="B476" s="197">
        <v>17.975683639530004</v>
      </c>
    </row>
    <row r="477" spans="2:2" ht="15.6">
      <c r="B477" s="197">
        <v>18.101326938449432</v>
      </c>
    </row>
    <row r="478" spans="2:2" ht="15.6">
      <c r="B478" s="197">
        <v>18.455815125210769</v>
      </c>
    </row>
    <row r="479" spans="2:2" ht="15.6">
      <c r="B479" s="197">
        <v>18.483831029289412</v>
      </c>
    </row>
    <row r="480" spans="2:2" ht="15.6">
      <c r="B480" s="197">
        <v>18.202299928985735</v>
      </c>
    </row>
    <row r="481" spans="2:2" ht="15.6">
      <c r="B481" s="197">
        <v>17.821551007816222</v>
      </c>
    </row>
    <row r="482" spans="2:2" ht="15.6">
      <c r="B482" s="197">
        <v>18.120647231381238</v>
      </c>
    </row>
    <row r="483" spans="2:2" ht="15.6">
      <c r="B483" s="197">
        <v>17.960132473301055</v>
      </c>
    </row>
    <row r="484" spans="2:2" ht="15.6">
      <c r="B484" s="197">
        <v>18.055111560528292</v>
      </c>
    </row>
    <row r="485" spans="2:2" ht="15.6">
      <c r="B485" s="197">
        <v>18.280296691082938</v>
      </c>
    </row>
    <row r="486" spans="2:2" ht="15.6">
      <c r="B486" s="197">
        <v>18.163506777988644</v>
      </c>
    </row>
    <row r="487" spans="2:2" ht="15.6">
      <c r="B487" s="197">
        <v>18.219400612780628</v>
      </c>
    </row>
    <row r="488" spans="2:2" ht="15.6">
      <c r="B488" s="197">
        <v>18.256223050364532</v>
      </c>
    </row>
    <row r="489" spans="2:2" ht="15.6">
      <c r="B489" s="197">
        <v>18.350985762083681</v>
      </c>
    </row>
    <row r="490" spans="2:2" ht="15.6">
      <c r="B490" s="197">
        <v>18.513805974294048</v>
      </c>
    </row>
    <row r="491" spans="2:2" ht="15.6">
      <c r="B491" s="197">
        <v>17.910450807092765</v>
      </c>
    </row>
    <row r="492" spans="2:2" ht="15.6">
      <c r="B492" s="197">
        <v>18.170105205195025</v>
      </c>
    </row>
    <row r="493" spans="2:2" ht="15.6">
      <c r="B493" s="197">
        <v>18.032916843265895</v>
      </c>
    </row>
    <row r="494" spans="2:2" ht="15.6">
      <c r="B494" s="197">
        <v>18.218381987385367</v>
      </c>
    </row>
    <row r="495" spans="2:2" ht="15.6">
      <c r="B495" s="197">
        <v>18.165578559400306</v>
      </c>
    </row>
    <row r="496" spans="2:2" ht="15.6">
      <c r="B496" s="197">
        <v>18.444669146156045</v>
      </c>
    </row>
    <row r="497" spans="2:2" ht="15.6">
      <c r="B497" s="197">
        <v>18.61346296179061</v>
      </c>
    </row>
    <row r="498" spans="2:2" ht="15.6">
      <c r="B498" s="197">
        <v>17.98746173370305</v>
      </c>
    </row>
    <row r="499" spans="2:2" ht="15.6">
      <c r="B499" s="197">
        <v>18.529186330924723</v>
      </c>
    </row>
    <row r="500" spans="2:2" ht="15.6">
      <c r="B500" s="197">
        <v>18.237737342773876</v>
      </c>
    </row>
    <row r="501" spans="2:2" ht="15.6">
      <c r="B501" s="197">
        <v>18.075427531775574</v>
      </c>
    </row>
    <row r="502" spans="2:2" ht="15.6">
      <c r="B502" s="197">
        <v>18.070562155946369</v>
      </c>
    </row>
    <row r="503" spans="2:2" ht="15.6">
      <c r="B503" s="197">
        <v>17.962642314407223</v>
      </c>
    </row>
    <row r="504" spans="2:2" ht="15.6">
      <c r="B504" s="197">
        <v>18.220434296172503</v>
      </c>
    </row>
    <row r="505" spans="2:2" ht="15.6">
      <c r="B505" s="197">
        <v>18.155258594166909</v>
      </c>
    </row>
    <row r="506" spans="2:2" ht="15.6">
      <c r="B506" s="197">
        <v>17.829065229528922</v>
      </c>
    </row>
    <row r="507" spans="2:2" ht="15.6">
      <c r="B507" s="197">
        <v>18.156802376099318</v>
      </c>
    </row>
    <row r="508" spans="2:2" ht="15.6">
      <c r="B508" s="197">
        <v>18.240754036964095</v>
      </c>
    </row>
    <row r="509" spans="2:2" ht="15.6">
      <c r="B509" s="197">
        <v>17.897464220173756</v>
      </c>
    </row>
    <row r="510" spans="2:2" ht="15.6">
      <c r="B510" s="197">
        <v>18.35682258583287</v>
      </c>
    </row>
    <row r="511" spans="2:2" ht="15.6">
      <c r="B511" s="197">
        <v>18.033573516850126</v>
      </c>
    </row>
    <row r="512" spans="2:2" ht="15.6">
      <c r="B512" s="197">
        <v>18.272826525937539</v>
      </c>
    </row>
    <row r="513" spans="2:2" ht="15.6">
      <c r="B513" s="197">
        <v>18.095811360488984</v>
      </c>
    </row>
    <row r="514" spans="2:2" ht="15.6">
      <c r="B514" s="197">
        <v>17.964466848205447</v>
      </c>
    </row>
    <row r="515" spans="2:2" ht="15.6">
      <c r="B515" s="197">
        <v>18.287030848994245</v>
      </c>
    </row>
    <row r="516" spans="2:2" ht="15.6">
      <c r="B516" s="197">
        <v>18.143641170312065</v>
      </c>
    </row>
    <row r="517" spans="2:2" ht="15.6">
      <c r="B517" s="197">
        <v>18.03842844381489</v>
      </c>
    </row>
    <row r="518" spans="2:2" ht="15.6">
      <c r="B518" s="197">
        <v>18.511968940160642</v>
      </c>
    </row>
    <row r="519" spans="2:2" ht="15.6">
      <c r="B519" s="197">
        <v>18.271537596382249</v>
      </c>
    </row>
    <row r="520" spans="2:2" ht="15.6">
      <c r="B520" s="197">
        <v>17.862064250296605</v>
      </c>
    </row>
    <row r="521" spans="2:2" ht="15.6">
      <c r="B521" s="197">
        <v>18.024822753366827</v>
      </c>
    </row>
    <row r="522" spans="2:2" ht="15.6">
      <c r="B522" s="197">
        <v>17.994697818214668</v>
      </c>
    </row>
    <row r="523" spans="2:2" ht="15.6">
      <c r="B523" s="197">
        <v>18.15181394340069</v>
      </c>
    </row>
    <row r="524" spans="2:2" ht="15.6">
      <c r="B524" s="197">
        <v>17.9826949746504</v>
      </c>
    </row>
    <row r="525" spans="2:2" ht="15.6">
      <c r="B525" s="197">
        <v>18.310171021922866</v>
      </c>
    </row>
    <row r="526" spans="2:2" ht="15.6">
      <c r="B526" s="197">
        <v>17.895225447588501</v>
      </c>
    </row>
    <row r="527" spans="2:2" ht="15.6">
      <c r="B527" s="197">
        <v>18.196758830671087</v>
      </c>
    </row>
    <row r="528" spans="2:2" ht="15.6">
      <c r="B528" s="197">
        <v>18.004266066716632</v>
      </c>
    </row>
    <row r="529" spans="2:2" ht="15.6">
      <c r="B529" s="197">
        <v>18.121090987450955</v>
      </c>
    </row>
    <row r="530" spans="2:2" ht="15.6">
      <c r="B530" s="197">
        <v>18.607225708968294</v>
      </c>
    </row>
    <row r="531" spans="2:2" ht="15.6">
      <c r="B531" s="197">
        <v>18.530964621065458</v>
      </c>
    </row>
    <row r="532" spans="2:2" ht="15.6">
      <c r="B532" s="197">
        <v>18.10521182748289</v>
      </c>
    </row>
    <row r="533" spans="2:2" ht="15.6">
      <c r="B533" s="197">
        <v>18.243984350131367</v>
      </c>
    </row>
    <row r="534" spans="2:2" ht="15.6">
      <c r="B534" s="197">
        <v>18.212960927671386</v>
      </c>
    </row>
    <row r="535" spans="2:2" ht="15.6">
      <c r="B535" s="197">
        <v>18.235520602963454</v>
      </c>
    </row>
    <row r="536" spans="2:2" ht="15.6">
      <c r="B536" s="197">
        <v>18.376802362162344</v>
      </c>
    </row>
    <row r="537" spans="2:2" ht="15.6">
      <c r="B537" s="197">
        <v>18.169304093247316</v>
      </c>
    </row>
    <row r="538" spans="2:2" ht="15.6">
      <c r="B538" s="197">
        <v>18.28217933473795</v>
      </c>
    </row>
    <row r="539" spans="2:2" ht="15.6">
      <c r="B539" s="197">
        <v>18.288197620153053</v>
      </c>
    </row>
    <row r="540" spans="2:2" ht="15.6">
      <c r="B540" s="197">
        <v>18.135391402891543</v>
      </c>
    </row>
    <row r="541" spans="2:2" ht="15.6">
      <c r="B541" s="197">
        <v>18.432321678416521</v>
      </c>
    </row>
    <row r="542" spans="2:2" ht="15.6">
      <c r="B542" s="197">
        <v>17.958882168575929</v>
      </c>
    </row>
    <row r="543" spans="2:2" ht="15.6">
      <c r="B543" s="197">
        <v>18.052004414021013</v>
      </c>
    </row>
    <row r="544" spans="2:2" ht="15.6">
      <c r="B544" s="197">
        <v>18.281787704642241</v>
      </c>
    </row>
    <row r="545" spans="2:2" ht="15.6">
      <c r="B545" s="197">
        <v>18.256821349030506</v>
      </c>
    </row>
    <row r="546" spans="2:2" ht="15.6">
      <c r="B546" s="197">
        <v>18.020973075719628</v>
      </c>
    </row>
    <row r="547" spans="2:2" ht="15.6">
      <c r="B547" s="197">
        <v>18.488037874375149</v>
      </c>
    </row>
    <row r="548" spans="2:2" ht="15.6">
      <c r="B548" s="197">
        <v>18.061843803936057</v>
      </c>
    </row>
    <row r="549" spans="2:2" ht="15.6">
      <c r="B549" s="197">
        <v>18.026910793854757</v>
      </c>
    </row>
    <row r="550" spans="2:2" ht="15.6">
      <c r="B550" s="197">
        <v>18.092041898498685</v>
      </c>
    </row>
    <row r="551" spans="2:2" ht="15.6">
      <c r="B551" s="197">
        <v>18.143349767116462</v>
      </c>
    </row>
    <row r="552" spans="2:2" ht="15.6">
      <c r="B552" s="197">
        <v>18.076151375605825</v>
      </c>
    </row>
    <row r="553" spans="2:2" ht="15.6">
      <c r="B553" s="197">
        <v>17.9869587860811</v>
      </c>
    </row>
    <row r="554" spans="2:2" ht="15.6">
      <c r="B554" s="197">
        <v>18.18664713390195</v>
      </c>
    </row>
    <row r="555" spans="2:2" ht="15.6">
      <c r="B555" s="197">
        <v>18.261904272988584</v>
      </c>
    </row>
    <row r="556" spans="2:2" ht="15.6">
      <c r="B556" s="197">
        <v>18.148457133420077</v>
      </c>
    </row>
    <row r="557" spans="2:2" ht="15.6">
      <c r="B557" s="197">
        <v>18.227599160676412</v>
      </c>
    </row>
    <row r="558" spans="2:2" ht="15.6">
      <c r="B558" s="197">
        <v>18.054887204733959</v>
      </c>
    </row>
    <row r="559" spans="2:2" ht="15.6">
      <c r="B559" s="197">
        <v>18.01237669212804</v>
      </c>
    </row>
    <row r="560" spans="2:2" ht="15.6">
      <c r="B560" s="197">
        <v>17.791427994493276</v>
      </c>
    </row>
    <row r="561" spans="2:2" ht="15.6">
      <c r="B561" s="197">
        <v>17.912881259142424</v>
      </c>
    </row>
    <row r="562" spans="2:2" ht="15.6">
      <c r="B562" s="197">
        <v>18.336705895710125</v>
      </c>
    </row>
    <row r="563" spans="2:2" ht="15.6">
      <c r="B563" s="197">
        <v>18.251248168925933</v>
      </c>
    </row>
    <row r="564" spans="2:2" ht="15.6">
      <c r="B564" s="197">
        <v>18.54232126915937</v>
      </c>
    </row>
    <row r="565" spans="2:2" ht="15.6">
      <c r="B565" s="197">
        <v>18.207050732774984</v>
      </c>
    </row>
    <row r="566" spans="2:2" ht="15.6">
      <c r="B566" s="197">
        <v>17.832871608631194</v>
      </c>
    </row>
    <row r="567" spans="2:2" ht="15.6">
      <c r="B567" s="197">
        <v>18.097301949277895</v>
      </c>
    </row>
    <row r="568" spans="2:2" ht="15.6">
      <c r="B568" s="197">
        <v>18.33089064289603</v>
      </c>
    </row>
    <row r="569" spans="2:2" ht="15.6">
      <c r="B569" s="197">
        <v>18.142041791004363</v>
      </c>
    </row>
    <row r="570" spans="2:2" ht="15.6">
      <c r="B570" s="197">
        <v>18.062337650978954</v>
      </c>
    </row>
    <row r="571" spans="2:2" ht="15.6">
      <c r="B571" s="197">
        <v>18.076729396749279</v>
      </c>
    </row>
    <row r="572" spans="2:2" ht="15.6">
      <c r="B572" s="197">
        <v>18.019446664394348</v>
      </c>
    </row>
    <row r="573" spans="2:2" ht="15.6">
      <c r="B573" s="197">
        <v>17.969409637125285</v>
      </c>
    </row>
    <row r="574" spans="2:2" ht="15.6">
      <c r="B574" s="197">
        <v>18.338102253633405</v>
      </c>
    </row>
    <row r="575" spans="2:2" ht="15.6">
      <c r="B575" s="197">
        <v>18.556963871654187</v>
      </c>
    </row>
    <row r="576" spans="2:2" ht="15.6">
      <c r="B576" s="197">
        <v>18.37611237038487</v>
      </c>
    </row>
    <row r="577" spans="2:2" ht="15.6">
      <c r="B577" s="197">
        <v>17.907503995973233</v>
      </c>
    </row>
    <row r="578" spans="2:2" ht="15.6">
      <c r="B578" s="197">
        <v>18.078791293683555</v>
      </c>
    </row>
    <row r="579" spans="2:2" ht="15.6">
      <c r="B579" s="197">
        <v>17.923635575421169</v>
      </c>
    </row>
    <row r="580" spans="2:2" ht="15.6">
      <c r="B580" s="197">
        <v>18.420801744786331</v>
      </c>
    </row>
    <row r="581" spans="2:2" ht="15.6">
      <c r="B581" s="197">
        <v>17.746274100638043</v>
      </c>
    </row>
    <row r="582" spans="2:2" ht="15.6">
      <c r="B582" s="197">
        <v>18.199733019718064</v>
      </c>
    </row>
    <row r="583" spans="2:2" ht="15.6">
      <c r="B583" s="197">
        <v>18.040912210911326</v>
      </c>
    </row>
    <row r="584" spans="2:2" ht="15.6">
      <c r="B584" s="197">
        <v>18.597163012938179</v>
      </c>
    </row>
    <row r="585" spans="2:2" ht="15.6">
      <c r="B585" s="197">
        <v>17.744484894991732</v>
      </c>
    </row>
    <row r="586" spans="2:2" ht="15.6">
      <c r="B586" s="197">
        <v>17.782772496259806</v>
      </c>
    </row>
    <row r="587" spans="2:2" ht="15.6">
      <c r="B587" s="197">
        <v>18.320980790801816</v>
      </c>
    </row>
    <row r="588" spans="2:2" ht="15.6">
      <c r="B588" s="197">
        <v>18.241029603793361</v>
      </c>
    </row>
    <row r="589" spans="2:2" ht="15.6">
      <c r="B589" s="197">
        <v>18.175847929912116</v>
      </c>
    </row>
    <row r="590" spans="2:2" ht="15.6">
      <c r="B590" s="197">
        <v>18.309247102829755</v>
      </c>
    </row>
    <row r="591" spans="2:2" ht="15.6">
      <c r="B591" s="197">
        <v>18.294618737138769</v>
      </c>
    </row>
    <row r="592" spans="2:2" ht="15.6">
      <c r="B592" s="197">
        <v>18.165901803252751</v>
      </c>
    </row>
    <row r="593" spans="2:2" ht="15.6">
      <c r="B593" s="197">
        <v>18.259366959839603</v>
      </c>
    </row>
    <row r="594" spans="2:2" ht="15.6">
      <c r="B594" s="197">
        <v>18.032988599930892</v>
      </c>
    </row>
    <row r="595" spans="2:2" ht="15.6">
      <c r="B595" s="197">
        <v>17.725492838816461</v>
      </c>
    </row>
    <row r="596" spans="2:2" ht="15.6">
      <c r="B596" s="197">
        <v>18.207065109636588</v>
      </c>
    </row>
    <row r="597" spans="2:2" ht="15.6">
      <c r="B597" s="197">
        <v>17.83848953019281</v>
      </c>
    </row>
    <row r="598" spans="2:2" ht="15.6">
      <c r="B598" s="197">
        <v>18.229985747900308</v>
      </c>
    </row>
    <row r="599" spans="2:2" ht="15.6">
      <c r="B599" s="197">
        <v>18.440350360462393</v>
      </c>
    </row>
    <row r="600" spans="2:2" ht="15.6">
      <c r="B600" s="197">
        <v>17.78363350695567</v>
      </c>
    </row>
    <row r="601" spans="2:2" ht="15.6">
      <c r="B601" s="197">
        <v>18.332740242967763</v>
      </c>
    </row>
    <row r="602" spans="2:2" ht="15.6">
      <c r="B602" s="197">
        <v>18.393791598644157</v>
      </c>
    </row>
    <row r="603" spans="2:2" ht="15.6">
      <c r="B603" s="197">
        <v>17.824511343731871</v>
      </c>
    </row>
    <row r="604" spans="2:2" ht="15.6">
      <c r="B604" s="197">
        <v>17.822680515283366</v>
      </c>
    </row>
    <row r="605" spans="2:2" ht="15.6">
      <c r="B605" s="197">
        <v>18.453387779035168</v>
      </c>
    </row>
    <row r="606" spans="2:2" ht="15.6">
      <c r="B606" s="197">
        <v>18.11271574981085</v>
      </c>
    </row>
    <row r="607" spans="2:2" ht="15.6">
      <c r="B607" s="197">
        <v>18.279953923161372</v>
      </c>
    </row>
    <row r="608" spans="2:2" ht="15.6">
      <c r="B608" s="197">
        <v>18.201827596886165</v>
      </c>
    </row>
    <row r="609" spans="2:2" ht="15.6">
      <c r="B609" s="197">
        <v>18.297257657626634</v>
      </c>
    </row>
    <row r="610" spans="2:2" ht="15.6">
      <c r="B610" s="197">
        <v>18.288071208946985</v>
      </c>
    </row>
    <row r="611" spans="2:2" ht="15.6">
      <c r="B611" s="197">
        <v>18.067749589873394</v>
      </c>
    </row>
    <row r="612" spans="2:2" ht="15.6">
      <c r="B612" s="197">
        <v>17.853387519570678</v>
      </c>
    </row>
    <row r="613" spans="2:2" ht="15.6">
      <c r="B613" s="197">
        <v>17.798912244431975</v>
      </c>
    </row>
    <row r="614" spans="2:2" ht="15.6">
      <c r="B614" s="197">
        <v>18.031663293378269</v>
      </c>
    </row>
    <row r="615" spans="2:2" ht="15.6">
      <c r="B615" s="197">
        <v>18.187282519019249</v>
      </c>
    </row>
    <row r="616" spans="2:2" ht="15.6">
      <c r="B616" s="197">
        <v>17.986414507941678</v>
      </c>
    </row>
    <row r="617" spans="2:2" ht="15.6">
      <c r="B617" s="197">
        <v>18.466296881160776</v>
      </c>
    </row>
    <row r="618" spans="2:2" ht="15.6">
      <c r="B618" s="197">
        <v>18.160003852942374</v>
      </c>
    </row>
    <row r="619" spans="2:2" ht="15.6">
      <c r="B619" s="197">
        <v>18.355934822112708</v>
      </c>
    </row>
    <row r="620" spans="2:2" ht="15.6">
      <c r="B620" s="197">
        <v>18.161900708392007</v>
      </c>
    </row>
    <row r="621" spans="2:2" ht="15.6">
      <c r="B621" s="197">
        <v>18.093689667410022</v>
      </c>
    </row>
    <row r="622" spans="2:2" ht="15.6">
      <c r="B622" s="197">
        <v>17.97184123869291</v>
      </c>
    </row>
    <row r="623" spans="2:2" ht="15.6">
      <c r="B623" s="197">
        <v>18.369221236029766</v>
      </c>
    </row>
    <row r="624" spans="2:2" ht="15.6">
      <c r="B624" s="197">
        <v>18.298057567048094</v>
      </c>
    </row>
    <row r="625" spans="2:2" ht="15.6">
      <c r="B625" s="197">
        <v>17.742122267935205</v>
      </c>
    </row>
    <row r="626" spans="2:2" ht="15.6">
      <c r="B626" s="197">
        <v>18.235522973944608</v>
      </c>
    </row>
    <row r="627" spans="2:2" ht="15.6">
      <c r="B627" s="197">
        <v>18.095250489432118</v>
      </c>
    </row>
    <row r="628" spans="2:2" ht="15.6">
      <c r="B628" s="197">
        <v>18.274966001450831</v>
      </c>
    </row>
    <row r="629" spans="2:2" ht="15.6">
      <c r="B629" s="197">
        <v>18.387250984447082</v>
      </c>
    </row>
    <row r="630" spans="2:2" ht="15.6">
      <c r="B630" s="197">
        <v>18.284390471954449</v>
      </c>
    </row>
    <row r="631" spans="2:2" ht="15.6">
      <c r="B631" s="197">
        <v>18.420117149306041</v>
      </c>
    </row>
    <row r="632" spans="2:2" ht="15.6">
      <c r="B632" s="197">
        <v>17.816124847128076</v>
      </c>
    </row>
    <row r="633" spans="2:2" ht="15.6">
      <c r="B633" s="197">
        <v>17.948745503603966</v>
      </c>
    </row>
    <row r="634" spans="2:2" ht="15.6">
      <c r="B634" s="197">
        <v>18.08668932770874</v>
      </c>
    </row>
    <row r="635" spans="2:2" ht="15.6">
      <c r="B635" s="197">
        <v>18.087264791278393</v>
      </c>
    </row>
    <row r="636" spans="2:2" ht="15.6">
      <c r="B636" s="197">
        <v>17.974021576599668</v>
      </c>
    </row>
    <row r="637" spans="2:2" ht="15.6">
      <c r="B637" s="197">
        <v>18.298478149574805</v>
      </c>
    </row>
    <row r="638" spans="2:2" ht="15.6">
      <c r="B638" s="197">
        <v>18.388873074205431</v>
      </c>
    </row>
    <row r="639" spans="2:2" ht="15.6">
      <c r="B639" s="197">
        <v>18.288512979695319</v>
      </c>
    </row>
    <row r="640" spans="2:2" ht="15.6">
      <c r="B640" s="197">
        <v>18.458812489593175</v>
      </c>
    </row>
    <row r="641" spans="2:2" ht="15.6">
      <c r="B641" s="197">
        <v>18.262618412344441</v>
      </c>
    </row>
    <row r="642" spans="2:2" ht="15.6">
      <c r="B642" s="197">
        <v>18.029069757026566</v>
      </c>
    </row>
    <row r="643" spans="2:2" ht="15.6">
      <c r="B643" s="197">
        <v>18.162460511776253</v>
      </c>
    </row>
    <row r="644" spans="2:2" ht="15.6">
      <c r="B644" s="197">
        <v>18.439936928535346</v>
      </c>
    </row>
    <row r="645" spans="2:2" ht="15.6">
      <c r="B645" s="197">
        <v>18.205627827665165</v>
      </c>
    </row>
    <row r="646" spans="2:2" ht="15.6">
      <c r="B646" s="197">
        <v>18.393115873217173</v>
      </c>
    </row>
    <row r="647" spans="2:2" ht="15.6">
      <c r="B647" s="197">
        <v>17.882246513153458</v>
      </c>
    </row>
    <row r="648" spans="2:2" ht="15.6">
      <c r="B648" s="197">
        <v>18.01531598368128</v>
      </c>
    </row>
    <row r="649" spans="2:2" ht="15.6">
      <c r="B649" s="197">
        <v>18.022010356724188</v>
      </c>
    </row>
    <row r="650" spans="2:2" ht="15.6">
      <c r="B650" s="197">
        <v>18.617747937868106</v>
      </c>
    </row>
    <row r="651" spans="2:2" ht="15.6">
      <c r="B651" s="197">
        <v>18.142133569677377</v>
      </c>
    </row>
    <row r="652" spans="2:2" ht="15.6">
      <c r="B652" s="197">
        <v>18.354210079315649</v>
      </c>
    </row>
    <row r="653" spans="2:2" ht="15.6">
      <c r="B653" s="197">
        <v>18.201797320040455</v>
      </c>
    </row>
    <row r="654" spans="2:2" ht="15.6">
      <c r="B654" s="197">
        <v>18.320288683873507</v>
      </c>
    </row>
    <row r="655" spans="2:2" ht="15.6">
      <c r="B655" s="197">
        <v>18.174747652382973</v>
      </c>
    </row>
    <row r="656" spans="2:2" ht="15.6">
      <c r="B656" s="197">
        <v>18.437819739714325</v>
      </c>
    </row>
    <row r="657" spans="2:2" ht="15.6">
      <c r="B657" s="197">
        <v>18.147959895047478</v>
      </c>
    </row>
    <row r="658" spans="2:2" ht="15.6">
      <c r="B658" s="197">
        <v>17.880402010285934</v>
      </c>
    </row>
    <row r="659" spans="2:2" ht="15.6">
      <c r="B659" s="197">
        <v>18.191783198389992</v>
      </c>
    </row>
    <row r="660" spans="2:2" ht="15.6">
      <c r="B660" s="197">
        <v>18.129277229498996</v>
      </c>
    </row>
    <row r="661" spans="2:2" ht="15.6">
      <c r="B661" s="197">
        <v>18.380972479431318</v>
      </c>
    </row>
    <row r="662" spans="2:2" ht="15.6">
      <c r="B662" s="197">
        <v>18.301495193324779</v>
      </c>
    </row>
    <row r="663" spans="2:2" ht="15.6">
      <c r="B663" s="197">
        <v>17.90833118978858</v>
      </c>
    </row>
    <row r="664" spans="2:2" ht="15.6">
      <c r="B664" s="197">
        <v>18.025711846231776</v>
      </c>
    </row>
    <row r="665" spans="2:2" ht="15.6">
      <c r="B665" s="197">
        <v>18.227922269105139</v>
      </c>
    </row>
    <row r="666" spans="2:2" ht="15.6">
      <c r="B666" s="197">
        <v>17.828102678696304</v>
      </c>
    </row>
    <row r="667" spans="2:2" ht="15.6">
      <c r="B667" s="197">
        <v>18.347064676905422</v>
      </c>
    </row>
    <row r="668" spans="2:2" ht="15.6">
      <c r="B668" s="197">
        <v>18.050764690504035</v>
      </c>
    </row>
    <row r="669" spans="2:2" ht="15.6">
      <c r="B669" s="197">
        <v>17.995255302604146</v>
      </c>
    </row>
    <row r="670" spans="2:2" ht="15.6">
      <c r="B670" s="197">
        <v>18.014505217421597</v>
      </c>
    </row>
    <row r="671" spans="2:2" ht="15.6">
      <c r="B671" s="197">
        <v>18.373162341978613</v>
      </c>
    </row>
    <row r="672" spans="2:2" ht="15.6">
      <c r="B672" s="197">
        <v>17.922368902408234</v>
      </c>
    </row>
    <row r="673" spans="2:2" ht="15.6">
      <c r="B673" s="197">
        <v>18.077995837754145</v>
      </c>
    </row>
    <row r="674" spans="2:2" ht="15.6">
      <c r="B674" s="197">
        <v>18.200421573836021</v>
      </c>
    </row>
    <row r="675" spans="2:2" ht="15.6">
      <c r="B675" s="197">
        <v>18.227347546340134</v>
      </c>
    </row>
    <row r="676" spans="2:2" ht="15.6">
      <c r="B676" s="197">
        <v>18.30702448743514</v>
      </c>
    </row>
    <row r="677" spans="2:2" ht="15.6">
      <c r="B677" s="197">
        <v>18.094440283739257</v>
      </c>
    </row>
    <row r="678" spans="2:2" ht="15.6">
      <c r="B678" s="197">
        <v>18.176929502427562</v>
      </c>
    </row>
    <row r="679" spans="2:2" ht="15.6">
      <c r="B679" s="197">
        <v>18.081604071691856</v>
      </c>
    </row>
    <row r="680" spans="2:2" ht="15.6">
      <c r="B680" s="197">
        <v>18.009866459172923</v>
      </c>
    </row>
    <row r="681" spans="2:2" ht="15.6">
      <c r="B681" s="197">
        <v>18.143238743040321</v>
      </c>
    </row>
    <row r="682" spans="2:2" ht="15.6">
      <c r="B682" s="197">
        <v>17.894764759820394</v>
      </c>
    </row>
    <row r="683" spans="2:2" ht="15.6">
      <c r="B683" s="197">
        <v>18.121384788870746</v>
      </c>
    </row>
    <row r="684" spans="2:2" ht="15.6">
      <c r="B684" s="197">
        <v>18.420148642346767</v>
      </c>
    </row>
    <row r="685" spans="2:2" ht="15.6">
      <c r="B685" s="197">
        <v>18.046123228492466</v>
      </c>
    </row>
    <row r="686" spans="2:2" ht="15.6">
      <c r="B686" s="197">
        <v>18.213778473588047</v>
      </c>
    </row>
    <row r="687" spans="2:2" ht="15.6">
      <c r="B687" s="197">
        <v>18.302032670672066</v>
      </c>
    </row>
    <row r="688" spans="2:2" ht="15.6">
      <c r="B688" s="197">
        <v>18.249896115883214</v>
      </c>
    </row>
    <row r="689" spans="2:2" ht="15.6">
      <c r="B689" s="197">
        <v>18.120656580726042</v>
      </c>
    </row>
    <row r="690" spans="2:2" ht="15.6">
      <c r="B690" s="197">
        <v>18.323984937874062</v>
      </c>
    </row>
    <row r="691" spans="2:2" ht="15.6">
      <c r="B691" s="197">
        <v>17.986769297720102</v>
      </c>
    </row>
    <row r="692" spans="2:2" ht="15.6">
      <c r="B692" s="197">
        <v>18.495809235930064</v>
      </c>
    </row>
    <row r="693" spans="2:2" ht="15.6">
      <c r="B693" s="197">
        <v>17.943105368630857</v>
      </c>
    </row>
    <row r="694" spans="2:2" ht="15.6">
      <c r="B694" s="197">
        <v>17.99733682950156</v>
      </c>
    </row>
    <row r="695" spans="2:2" ht="15.6">
      <c r="B695" s="197">
        <v>18.202913720370212</v>
      </c>
    </row>
    <row r="696" spans="2:2" ht="15.6">
      <c r="B696" s="197">
        <v>18.222188463898171</v>
      </c>
    </row>
    <row r="697" spans="2:2" ht="15.6">
      <c r="B697" s="197">
        <v>18.337751813333909</v>
      </c>
    </row>
    <row r="698" spans="2:2" ht="15.6">
      <c r="B698" s="197">
        <v>17.985086594237515</v>
      </c>
    </row>
    <row r="699" spans="2:2" ht="15.6">
      <c r="B699" s="197">
        <v>17.820254354642795</v>
      </c>
    </row>
    <row r="700" spans="2:2" ht="15.6">
      <c r="B700" s="197">
        <v>17.984975110331028</v>
      </c>
    </row>
    <row r="701" spans="2:2" ht="15.6">
      <c r="B701" s="197">
        <v>18.193467956884849</v>
      </c>
    </row>
    <row r="702" spans="2:2" ht="15.6">
      <c r="B702" s="197">
        <v>18.354049895678415</v>
      </c>
    </row>
    <row r="703" spans="2:2" ht="15.6">
      <c r="B703" s="197">
        <v>18.387585750881176</v>
      </c>
    </row>
    <row r="704" spans="2:2" ht="15.6">
      <c r="B704" s="197">
        <v>17.960235243857312</v>
      </c>
    </row>
    <row r="705" spans="2:2" ht="15.6">
      <c r="B705" s="197">
        <v>17.824715185422217</v>
      </c>
    </row>
    <row r="706" spans="2:2" ht="15.6">
      <c r="B706" s="197">
        <v>18.183890073958644</v>
      </c>
    </row>
    <row r="707" spans="2:2" ht="15.6">
      <c r="B707" s="197">
        <v>18.183938169245771</v>
      </c>
    </row>
    <row r="708" spans="2:2" ht="15.6">
      <c r="B708" s="197">
        <v>18.113893061633075</v>
      </c>
    </row>
    <row r="709" spans="2:2" ht="15.6">
      <c r="B709" s="197">
        <v>18.158287231945899</v>
      </c>
    </row>
    <row r="710" spans="2:2" ht="15.6">
      <c r="B710" s="197">
        <v>18.184781165024468</v>
      </c>
    </row>
    <row r="711" spans="2:2" ht="15.6">
      <c r="B711" s="197">
        <v>18.107998837390646</v>
      </c>
    </row>
    <row r="712" spans="2:2" ht="15.6">
      <c r="B712" s="197">
        <v>18.118762093871467</v>
      </c>
    </row>
    <row r="713" spans="2:2" ht="15.6">
      <c r="B713" s="197">
        <v>18.000501140015071</v>
      </c>
    </row>
    <row r="714" spans="2:2" ht="15.6">
      <c r="B714" s="197">
        <v>18.233330104086356</v>
      </c>
    </row>
    <row r="715" spans="2:2" ht="15.6">
      <c r="B715" s="197">
        <v>18.513577178095808</v>
      </c>
    </row>
    <row r="716" spans="2:2" ht="15.6">
      <c r="B716" s="197">
        <v>18.261680011637257</v>
      </c>
    </row>
    <row r="717" spans="2:2" ht="15.6">
      <c r="B717" s="197">
        <v>18.170580070296388</v>
      </c>
    </row>
    <row r="718" spans="2:2" ht="15.6">
      <c r="B718" s="197">
        <v>18.285376912078195</v>
      </c>
    </row>
    <row r="719" spans="2:2" ht="15.6">
      <c r="B719" s="197">
        <v>17.959467674027767</v>
      </c>
    </row>
    <row r="720" spans="2:2" ht="15.6">
      <c r="B720" s="197">
        <v>18.198189914331106</v>
      </c>
    </row>
    <row r="721" spans="2:2" ht="15.6">
      <c r="B721" s="197">
        <v>18.380264943930474</v>
      </c>
    </row>
    <row r="722" spans="2:2" ht="15.6">
      <c r="B722" s="197">
        <v>18.020541763033471</v>
      </c>
    </row>
    <row r="723" spans="2:2" ht="15.6">
      <c r="B723" s="197">
        <v>17.96414923483665</v>
      </c>
    </row>
    <row r="724" spans="2:2" ht="15.6">
      <c r="B724" s="197">
        <v>18.229022823285746</v>
      </c>
    </row>
    <row r="725" spans="2:2" ht="15.6">
      <c r="B725" s="197">
        <v>18.023184066313213</v>
      </c>
    </row>
    <row r="726" spans="2:2" ht="15.6">
      <c r="B726" s="197">
        <v>18.08298011346821</v>
      </c>
    </row>
    <row r="727" spans="2:2" ht="15.6">
      <c r="B727" s="197">
        <v>18.093005445220211</v>
      </c>
    </row>
    <row r="728" spans="2:2" ht="15.6">
      <c r="B728" s="197">
        <v>17.977356449061496</v>
      </c>
    </row>
    <row r="729" spans="2:2" ht="15.6">
      <c r="B729" s="197">
        <v>18.189408051020354</v>
      </c>
    </row>
    <row r="730" spans="2:2" ht="15.6">
      <c r="B730" s="197">
        <v>18.269445203891696</v>
      </c>
    </row>
    <row r="731" spans="2:2" ht="15.6">
      <c r="B731" s="197">
        <v>18.332513988294732</v>
      </c>
    </row>
    <row r="732" spans="2:2" ht="15.6">
      <c r="B732" s="197">
        <v>18.357427100045665</v>
      </c>
    </row>
    <row r="733" spans="2:2" ht="15.6">
      <c r="B733" s="197">
        <v>18.025084201421571</v>
      </c>
    </row>
    <row r="734" spans="2:2" ht="15.6">
      <c r="B734" s="197">
        <v>18.009172223207969</v>
      </c>
    </row>
    <row r="735" spans="2:2" ht="15.6">
      <c r="B735" s="197">
        <v>17.83751222724349</v>
      </c>
    </row>
    <row r="736" spans="2:2" ht="15.6">
      <c r="B736" s="197">
        <v>18.126107809678249</v>
      </c>
    </row>
    <row r="737" spans="2:2" ht="15.6">
      <c r="B737" s="197">
        <v>18.307062811460977</v>
      </c>
    </row>
    <row r="738" spans="2:2" ht="15.6">
      <c r="B738" s="197">
        <v>18.217104274830501</v>
      </c>
    </row>
    <row r="739" spans="2:2" ht="15.6">
      <c r="B739" s="197">
        <v>18.231805226305664</v>
      </c>
    </row>
    <row r="740" spans="2:2" ht="15.6">
      <c r="B740" s="197">
        <v>17.724562904601825</v>
      </c>
    </row>
    <row r="741" spans="2:2" ht="15.6">
      <c r="B741" s="197">
        <v>18.495487258449732</v>
      </c>
    </row>
    <row r="742" spans="2:2" ht="15.6">
      <c r="B742" s="197">
        <v>18.218107799769825</v>
      </c>
    </row>
    <row r="743" spans="2:2" ht="15.6">
      <c r="B743" s="197">
        <v>18.093160074859298</v>
      </c>
    </row>
    <row r="744" spans="2:2" ht="15.6">
      <c r="B744" s="197">
        <v>17.686539093878302</v>
      </c>
    </row>
    <row r="745" spans="2:2" ht="15.6">
      <c r="B745" s="197">
        <v>18.035378241416204</v>
      </c>
    </row>
    <row r="746" spans="2:2" ht="15.6">
      <c r="B746" s="197">
        <v>18.140686957292619</v>
      </c>
    </row>
    <row r="747" spans="2:2" ht="15.6">
      <c r="B747" s="197">
        <v>17.70312453387724</v>
      </c>
    </row>
    <row r="748" spans="2:2" ht="15.6">
      <c r="B748" s="197">
        <v>18.089626599653108</v>
      </c>
    </row>
    <row r="749" spans="2:2" ht="15.6">
      <c r="B749" s="197">
        <v>18.038507091132388</v>
      </c>
    </row>
    <row r="750" spans="2:2" ht="15.6">
      <c r="B750" s="197">
        <v>18.272492133202537</v>
      </c>
    </row>
    <row r="751" spans="2:2" ht="15.6">
      <c r="B751" s="197">
        <v>18.01637507100029</v>
      </c>
    </row>
    <row r="752" spans="2:2" ht="15.6">
      <c r="B752" s="197">
        <v>17.908582754050183</v>
      </c>
    </row>
    <row r="753" spans="2:2" ht="15.6">
      <c r="B753" s="197">
        <v>17.881714838169209</v>
      </c>
    </row>
    <row r="754" spans="2:2" ht="15.6">
      <c r="B754" s="197">
        <v>18.403801371207937</v>
      </c>
    </row>
    <row r="755" spans="2:2" ht="15.6">
      <c r="B755" s="197">
        <v>18.263878859807445</v>
      </c>
    </row>
    <row r="756" spans="2:2" ht="15.6">
      <c r="B756" s="197">
        <v>18.41514430976072</v>
      </c>
    </row>
    <row r="757" spans="2:2" ht="15.6">
      <c r="B757" s="197">
        <v>18.154208023918574</v>
      </c>
    </row>
    <row r="758" spans="2:2" ht="15.6">
      <c r="B758" s="197">
        <v>18.085930273133251</v>
      </c>
    </row>
    <row r="759" spans="2:2" ht="15.6">
      <c r="B759" s="197">
        <v>17.894263413291466</v>
      </c>
    </row>
    <row r="760" spans="2:2" ht="15.6">
      <c r="B760" s="197">
        <v>18.348939038228583</v>
      </c>
    </row>
    <row r="761" spans="2:2" ht="15.6">
      <c r="B761" s="197">
        <v>18.204607926235813</v>
      </c>
    </row>
    <row r="762" spans="2:2" ht="15.6">
      <c r="B762" s="197">
        <v>17.831604158152491</v>
      </c>
    </row>
    <row r="763" spans="2:2" ht="15.6">
      <c r="B763" s="197">
        <v>18.397667058247094</v>
      </c>
    </row>
    <row r="764" spans="2:2" ht="15.6">
      <c r="B764" s="197">
        <v>17.667746974712685</v>
      </c>
    </row>
    <row r="765" spans="2:2" ht="15.6">
      <c r="B765" s="197">
        <v>17.746028395950677</v>
      </c>
    </row>
    <row r="766" spans="2:2" ht="15.6">
      <c r="B766" s="197">
        <v>18.689501344398561</v>
      </c>
    </row>
    <row r="767" spans="2:2" ht="15.6">
      <c r="B767" s="197">
        <v>18.21214829768757</v>
      </c>
    </row>
    <row r="768" spans="2:2" ht="15.6">
      <c r="B768" s="197">
        <v>18.265459042654257</v>
      </c>
    </row>
    <row r="769" spans="2:2" ht="15.6">
      <c r="B769" s="197">
        <v>17.954110185986824</v>
      </c>
    </row>
    <row r="770" spans="2:2" ht="15.6">
      <c r="B770" s="197">
        <v>18.163613804807103</v>
      </c>
    </row>
    <row r="771" spans="2:2" ht="15.6">
      <c r="B771" s="197">
        <v>18.260092254298197</v>
      </c>
    </row>
    <row r="772" spans="2:2" ht="15.6">
      <c r="B772" s="197">
        <v>18.029979660804255</v>
      </c>
    </row>
    <row r="773" spans="2:2" ht="15.6">
      <c r="B773" s="197">
        <v>18.436146551776872</v>
      </c>
    </row>
    <row r="774" spans="2:2" ht="15.6">
      <c r="B774" s="197">
        <v>18.231350684774743</v>
      </c>
    </row>
    <row r="775" spans="2:2" ht="15.6">
      <c r="B775" s="197">
        <v>18.37413301971522</v>
      </c>
    </row>
    <row r="776" spans="2:2" ht="15.6">
      <c r="B776" s="197">
        <v>18.294124317251526</v>
      </c>
    </row>
    <row r="777" spans="2:2" ht="15.6">
      <c r="B777" s="197">
        <v>18.005357605678409</v>
      </c>
    </row>
    <row r="778" spans="2:2" ht="15.6">
      <c r="B778" s="197">
        <v>17.815057607765862</v>
      </c>
    </row>
    <row r="779" spans="2:2" ht="15.6">
      <c r="B779" s="197">
        <v>18.100912912572728</v>
      </c>
    </row>
    <row r="780" spans="2:2" ht="15.6">
      <c r="B780" s="197">
        <v>18.085725088176336</v>
      </c>
    </row>
    <row r="781" spans="2:2" ht="15.6">
      <c r="B781" s="197">
        <v>17.920710944195186</v>
      </c>
    </row>
    <row r="782" spans="2:2" ht="15.6">
      <c r="B782" s="197">
        <v>17.996543189401859</v>
      </c>
    </row>
    <row r="783" spans="2:2" ht="15.6">
      <c r="B783" s="197">
        <v>17.669501123440348</v>
      </c>
    </row>
    <row r="784" spans="2:2" ht="15.6">
      <c r="B784" s="197">
        <v>17.909504324272582</v>
      </c>
    </row>
    <row r="785" spans="2:2" ht="15.6">
      <c r="B785" s="197">
        <v>18.265119452949737</v>
      </c>
    </row>
    <row r="786" spans="2:2" ht="15.6">
      <c r="B786" s="197">
        <v>18.054592567229498</v>
      </c>
    </row>
    <row r="787" spans="2:2" ht="15.6">
      <c r="B787" s="197">
        <v>18.175318092889967</v>
      </c>
    </row>
    <row r="788" spans="2:2" ht="15.6">
      <c r="B788" s="197">
        <v>17.998187160386458</v>
      </c>
    </row>
    <row r="789" spans="2:2" ht="15.6">
      <c r="B789" s="197">
        <v>18.320849237715585</v>
      </c>
    </row>
    <row r="790" spans="2:2" ht="15.6">
      <c r="B790" s="197">
        <v>18.012397370429152</v>
      </c>
    </row>
    <row r="791" spans="2:2" ht="15.6">
      <c r="B791" s="197">
        <v>17.863472979038949</v>
      </c>
    </row>
    <row r="792" spans="2:2" ht="15.6">
      <c r="B792" s="197">
        <v>18.333212831246936</v>
      </c>
    </row>
    <row r="793" spans="2:2" ht="15.6">
      <c r="B793" s="197">
        <v>18.411664935104675</v>
      </c>
    </row>
    <row r="794" spans="2:2" ht="15.6">
      <c r="B794" s="197">
        <v>18.129861197617259</v>
      </c>
    </row>
    <row r="795" spans="2:2" ht="15.6">
      <c r="B795" s="197">
        <v>18.129306882294991</v>
      </c>
    </row>
    <row r="796" spans="2:2" ht="15.6">
      <c r="B796" s="197">
        <v>18.112659831663873</v>
      </c>
    </row>
    <row r="797" spans="2:2" ht="15.6">
      <c r="B797" s="197">
        <v>18.247320341760812</v>
      </c>
    </row>
    <row r="798" spans="2:2" ht="15.6">
      <c r="B798" s="197">
        <v>17.89907463489596</v>
      </c>
    </row>
    <row r="799" spans="2:2" ht="15.6">
      <c r="B799" s="197">
        <v>18.023042766268272</v>
      </c>
    </row>
    <row r="800" spans="2:2" ht="15.6">
      <c r="B800" s="197">
        <v>17.962032840324287</v>
      </c>
    </row>
    <row r="801" spans="2:2" ht="15.6">
      <c r="B801" s="197">
        <v>18.031737667995372</v>
      </c>
    </row>
    <row r="802" spans="2:2" ht="15.6">
      <c r="B802" s="197">
        <v>18.138436773018526</v>
      </c>
    </row>
    <row r="803" spans="2:2" ht="15.6">
      <c r="B803" s="197">
        <v>18.469146818660938</v>
      </c>
    </row>
    <row r="804" spans="2:2" ht="15.6">
      <c r="B804" s="197">
        <v>18.147543263764945</v>
      </c>
    </row>
    <row r="805" spans="2:2" ht="15.6">
      <c r="B805" s="197">
        <v>17.722069456174818</v>
      </c>
    </row>
    <row r="806" spans="2:2" ht="15.6">
      <c r="B806" s="197">
        <v>18.431193692977121</v>
      </c>
    </row>
    <row r="807" spans="2:2" ht="15.6">
      <c r="B807" s="197">
        <v>18.407369494671808</v>
      </c>
    </row>
    <row r="808" spans="2:2" ht="15.6">
      <c r="B808" s="197">
        <v>18.143014762508237</v>
      </c>
    </row>
    <row r="809" spans="2:2" ht="15.6">
      <c r="B809" s="197">
        <v>18.461477736696697</v>
      </c>
    </row>
    <row r="810" spans="2:2" ht="15.6">
      <c r="B810" s="197">
        <v>18.333077898190822</v>
      </c>
    </row>
    <row r="811" spans="2:2" ht="15.6">
      <c r="B811" s="197">
        <v>18.020232451904533</v>
      </c>
    </row>
    <row r="812" spans="2:2" ht="15.6">
      <c r="B812" s="197">
        <v>18.180657662798993</v>
      </c>
    </row>
    <row r="813" spans="2:2" ht="15.6">
      <c r="B813" s="197">
        <v>18.360232834735633</v>
      </c>
    </row>
    <row r="814" spans="2:2" ht="15.6">
      <c r="B814" s="197">
        <v>18.246143466586343</v>
      </c>
    </row>
    <row r="815" spans="2:2" ht="15.6">
      <c r="B815" s="197">
        <v>17.866215859058801</v>
      </c>
    </row>
    <row r="816" spans="2:2" ht="15.6">
      <c r="B816" s="197">
        <v>18.310595538491196</v>
      </c>
    </row>
    <row r="817" spans="2:2" ht="15.6">
      <c r="B817" s="197">
        <v>18.391464999371145</v>
      </c>
    </row>
    <row r="818" spans="2:2" ht="15.6">
      <c r="B818" s="197">
        <v>18.15477273022687</v>
      </c>
    </row>
    <row r="819" spans="2:2" ht="15.6">
      <c r="B819" s="197">
        <v>18.005547382322984</v>
      </c>
    </row>
    <row r="820" spans="2:2" ht="15.6">
      <c r="B820" s="197">
        <v>17.827962671392754</v>
      </c>
    </row>
    <row r="821" spans="2:2" ht="15.6">
      <c r="B821" s="197">
        <v>18.376557372781257</v>
      </c>
    </row>
    <row r="822" spans="2:2" ht="15.6">
      <c r="B822" s="197">
        <v>17.969536795624226</v>
      </c>
    </row>
    <row r="823" spans="2:2" ht="15.6">
      <c r="B823" s="197">
        <v>18.214288542629049</v>
      </c>
    </row>
    <row r="824" spans="2:2" ht="15.6">
      <c r="B824" s="197">
        <v>18.023996594408079</v>
      </c>
    </row>
    <row r="825" spans="2:2" ht="15.6">
      <c r="B825" s="197">
        <v>17.929789940360088</v>
      </c>
    </row>
    <row r="826" spans="2:2" ht="15.6">
      <c r="B826" s="197">
        <v>18.520886016155654</v>
      </c>
    </row>
    <row r="827" spans="2:2" ht="15.6">
      <c r="B827" s="197">
        <v>18.415131749216723</v>
      </c>
    </row>
    <row r="828" spans="2:2" ht="15.6">
      <c r="B828" s="197">
        <v>17.993496859668962</v>
      </c>
    </row>
    <row r="829" spans="2:2" ht="15.6">
      <c r="B829" s="197">
        <v>17.914110844907704</v>
      </c>
    </row>
    <row r="830" spans="2:2" ht="15.6">
      <c r="B830" s="197">
        <v>18.061418908580144</v>
      </c>
    </row>
    <row r="831" spans="2:2" ht="15.6">
      <c r="B831" s="197">
        <v>18.091103442620696</v>
      </c>
    </row>
    <row r="832" spans="2:2" ht="15.6">
      <c r="B832" s="197">
        <v>18.070859282222667</v>
      </c>
    </row>
    <row r="833" spans="2:2" ht="15.6">
      <c r="B833" s="197">
        <v>18.055179737061202</v>
      </c>
    </row>
    <row r="834" spans="2:2" ht="15.6">
      <c r="B834" s="197">
        <v>18.160300618247984</v>
      </c>
    </row>
    <row r="835" spans="2:2" ht="15.6">
      <c r="B835" s="197">
        <v>18.142754558686136</v>
      </c>
    </row>
    <row r="836" spans="2:2" ht="15.6">
      <c r="B836" s="197">
        <v>18.315865156122193</v>
      </c>
    </row>
    <row r="837" spans="2:2" ht="15.6">
      <c r="B837" s="197">
        <v>17.957807418862988</v>
      </c>
    </row>
    <row r="838" spans="2:2" ht="15.6">
      <c r="B838" s="197">
        <v>17.911690724554628</v>
      </c>
    </row>
    <row r="839" spans="2:2" ht="15.6">
      <c r="B839" s="197">
        <v>17.880673089062455</v>
      </c>
    </row>
    <row r="840" spans="2:2" ht="15.6">
      <c r="B840" s="197">
        <v>17.986202666190223</v>
      </c>
    </row>
    <row r="841" spans="2:2" ht="15.6">
      <c r="B841" s="197">
        <v>18.097541897629934</v>
      </c>
    </row>
    <row r="842" spans="2:2" ht="15.6">
      <c r="B842" s="197">
        <v>18.166661276321776</v>
      </c>
    </row>
    <row r="843" spans="2:2" ht="15.6">
      <c r="B843" s="197">
        <v>18.202796870605724</v>
      </c>
    </row>
    <row r="844" spans="2:2" ht="15.6">
      <c r="B844" s="197">
        <v>17.993778816217372</v>
      </c>
    </row>
    <row r="845" spans="2:2" ht="15.6">
      <c r="B845" s="197">
        <v>18.180644602308202</v>
      </c>
    </row>
    <row r="846" spans="2:2" ht="15.6">
      <c r="B846" s="197">
        <v>18.127498319300152</v>
      </c>
    </row>
    <row r="847" spans="2:2" ht="15.6">
      <c r="B847" s="197">
        <v>18.15119244399547</v>
      </c>
    </row>
    <row r="848" spans="2:2" ht="15.6">
      <c r="B848" s="197">
        <v>17.847922427748902</v>
      </c>
    </row>
    <row r="849" spans="2:2" ht="15.6">
      <c r="B849" s="197">
        <v>18.500113334988853</v>
      </c>
    </row>
    <row r="850" spans="2:2" ht="15.6">
      <c r="B850" s="197">
        <v>18.044966278277723</v>
      </c>
    </row>
    <row r="851" spans="2:2" ht="15.6">
      <c r="B851" s="197">
        <v>18.333077161835448</v>
      </c>
    </row>
    <row r="852" spans="2:2" ht="15.6">
      <c r="B852" s="197">
        <v>17.859799953857106</v>
      </c>
    </row>
    <row r="853" spans="2:2" ht="15.6">
      <c r="B853" s="197">
        <v>17.981780875944615</v>
      </c>
    </row>
    <row r="854" spans="2:2" ht="15.6">
      <c r="B854" s="197">
        <v>18.059763673609336</v>
      </c>
    </row>
    <row r="855" spans="2:2" ht="15.6">
      <c r="B855" s="197">
        <v>18.196225289857754</v>
      </c>
    </row>
    <row r="856" spans="2:2" ht="15.6">
      <c r="B856" s="197">
        <v>17.98280841848586</v>
      </c>
    </row>
    <row r="857" spans="2:2" ht="15.6">
      <c r="B857" s="197">
        <v>18.022755863637691</v>
      </c>
    </row>
    <row r="858" spans="2:2" ht="15.6">
      <c r="B858" s="197">
        <v>18.145534729340788</v>
      </c>
    </row>
    <row r="859" spans="2:2" ht="15.6">
      <c r="B859" s="197">
        <v>18.355494257886296</v>
      </c>
    </row>
    <row r="860" spans="2:2" ht="15.6">
      <c r="B860" s="197">
        <v>18.265855227016068</v>
      </c>
    </row>
    <row r="861" spans="2:2" ht="15.6">
      <c r="B861" s="197">
        <v>18.129976349440231</v>
      </c>
    </row>
    <row r="862" spans="2:2" ht="15.6">
      <c r="B862" s="197">
        <v>18.15549677984534</v>
      </c>
    </row>
    <row r="863" spans="2:2" ht="15.6">
      <c r="B863" s="197">
        <v>18.12731067235606</v>
      </c>
    </row>
    <row r="864" spans="2:2" ht="15.6">
      <c r="B864" s="197">
        <v>18.107035111455481</v>
      </c>
    </row>
    <row r="865" spans="2:2" ht="15.6">
      <c r="B865" s="197">
        <v>18.135422704927475</v>
      </c>
    </row>
    <row r="866" spans="2:2" ht="15.6">
      <c r="B866" s="197">
        <v>17.841485177062033</v>
      </c>
    </row>
    <row r="867" spans="2:2" ht="15.6">
      <c r="B867" s="197">
        <v>18.422243707906929</v>
      </c>
    </row>
    <row r="868" spans="2:2" ht="15.6">
      <c r="B868" s="197">
        <v>18.604142580020039</v>
      </c>
    </row>
    <row r="869" spans="2:2" ht="15.6">
      <c r="B869" s="197">
        <v>18.067930622241335</v>
      </c>
    </row>
    <row r="870" spans="2:2" ht="15.6">
      <c r="B870" s="197">
        <v>18.019538824698657</v>
      </c>
    </row>
    <row r="871" spans="2:2" ht="15.6">
      <c r="B871" s="197">
        <v>18.353936793999875</v>
      </c>
    </row>
    <row r="872" spans="2:2" ht="15.6">
      <c r="B872" s="197">
        <v>18.133033132314544</v>
      </c>
    </row>
    <row r="873" spans="2:2" ht="15.6">
      <c r="B873" s="197">
        <v>18.011704056813645</v>
      </c>
    </row>
    <row r="874" spans="2:2" ht="15.6">
      <c r="B874" s="197">
        <v>17.777993934309666</v>
      </c>
    </row>
    <row r="875" spans="2:2" ht="15.6">
      <c r="B875" s="197">
        <v>18.570526456351342</v>
      </c>
    </row>
    <row r="876" spans="2:2" ht="15.6">
      <c r="B876" s="197">
        <v>17.93803245618092</v>
      </c>
    </row>
    <row r="877" spans="2:2" ht="15.6">
      <c r="B877" s="197">
        <v>17.922582039852927</v>
      </c>
    </row>
    <row r="878" spans="2:2" ht="15.6">
      <c r="B878" s="197">
        <v>18.074995920817223</v>
      </c>
    </row>
    <row r="879" spans="2:2" ht="15.6">
      <c r="B879" s="197">
        <v>18.085714120219169</v>
      </c>
    </row>
    <row r="880" spans="2:2" ht="15.6">
      <c r="B880" s="197">
        <v>18.04782731304277</v>
      </c>
    </row>
    <row r="881" spans="2:2" ht="15.6">
      <c r="B881" s="197">
        <v>17.821225540780929</v>
      </c>
    </row>
    <row r="882" spans="2:2" ht="15.6">
      <c r="B882" s="197">
        <v>18.09146443810663</v>
      </c>
    </row>
    <row r="883" spans="2:2" ht="15.6">
      <c r="B883" s="197">
        <v>18.040036088897622</v>
      </c>
    </row>
    <row r="884" spans="2:2" ht="15.6">
      <c r="B884" s="197">
        <v>18.012663265462759</v>
      </c>
    </row>
    <row r="885" spans="2:2" ht="15.6">
      <c r="B885" s="197">
        <v>18.016866003061182</v>
      </c>
    </row>
    <row r="886" spans="2:2" ht="15.6">
      <c r="B886" s="197">
        <v>17.883936520209783</v>
      </c>
    </row>
    <row r="887" spans="2:2" ht="15.6">
      <c r="B887" s="197">
        <v>18.07611678676777</v>
      </c>
    </row>
    <row r="888" spans="2:2" ht="15.6">
      <c r="B888" s="197">
        <v>18.460785135343244</v>
      </c>
    </row>
    <row r="889" spans="2:2" ht="15.6">
      <c r="B889" s="197">
        <v>18.27595579725498</v>
      </c>
    </row>
    <row r="890" spans="2:2" ht="15.6">
      <c r="B890" s="197">
        <v>18.243972039650053</v>
      </c>
    </row>
    <row r="891" spans="2:2" ht="15.6">
      <c r="B891" s="197">
        <v>18.501712507427811</v>
      </c>
    </row>
    <row r="892" spans="2:2" ht="15.6">
      <c r="B892" s="197">
        <v>18.370681422483869</v>
      </c>
    </row>
    <row r="893" spans="2:2" ht="15.6">
      <c r="B893" s="197">
        <v>18.339576214945563</v>
      </c>
    </row>
    <row r="894" spans="2:2" ht="15.6">
      <c r="B894" s="197">
        <v>18.189946931353255</v>
      </c>
    </row>
    <row r="895" spans="2:2" ht="15.6">
      <c r="B895" s="197">
        <v>18.327609502937953</v>
      </c>
    </row>
    <row r="896" spans="2:2" ht="15.6">
      <c r="B896" s="197">
        <v>18.033499853002795</v>
      </c>
    </row>
    <row r="897" spans="2:2" ht="15.6">
      <c r="B897" s="197">
        <v>18.45019372755424</v>
      </c>
    </row>
    <row r="898" spans="2:2" ht="15.6">
      <c r="B898" s="197">
        <v>18.048941314719244</v>
      </c>
    </row>
    <row r="899" spans="2:2" ht="15.6">
      <c r="B899" s="197">
        <v>18.14244356602995</v>
      </c>
    </row>
    <row r="900" spans="2:2" ht="15.6">
      <c r="B900" s="197">
        <v>18.232188570257673</v>
      </c>
    </row>
    <row r="901" spans="2:2" ht="15.6">
      <c r="B901" s="197">
        <v>18.258255323270959</v>
      </c>
    </row>
    <row r="902" spans="2:2" ht="15.6">
      <c r="B902" s="197">
        <v>18.082599725207732</v>
      </c>
    </row>
    <row r="903" spans="2:2" ht="15.6">
      <c r="B903" s="197">
        <v>18.065275932863411</v>
      </c>
    </row>
    <row r="904" spans="2:2" ht="15.6">
      <c r="B904" s="197">
        <v>18.273678813958742</v>
      </c>
    </row>
    <row r="905" spans="2:2" ht="15.6">
      <c r="B905" s="197">
        <v>18.195917715269609</v>
      </c>
    </row>
    <row r="906" spans="2:2" ht="15.6">
      <c r="B906" s="197">
        <v>18.082371694998791</v>
      </c>
    </row>
    <row r="907" spans="2:2" ht="15.6">
      <c r="B907" s="197">
        <v>17.863984577557542</v>
      </c>
    </row>
    <row r="908" spans="2:2" ht="15.6">
      <c r="B908" s="197">
        <v>17.871126491221517</v>
      </c>
    </row>
    <row r="909" spans="2:2" ht="15.6">
      <c r="B909" s="197">
        <v>18.499160697425079</v>
      </c>
    </row>
    <row r="910" spans="2:2" ht="15.6">
      <c r="B910" s="197">
        <v>18.507693037502879</v>
      </c>
    </row>
    <row r="911" spans="2:2" ht="15.6">
      <c r="B911" s="197">
        <v>18.112505920642896</v>
      </c>
    </row>
    <row r="912" spans="2:2" ht="15.6">
      <c r="B912" s="197">
        <v>18.418257539418114</v>
      </c>
    </row>
    <row r="913" spans="2:2" ht="15.6">
      <c r="B913" s="197">
        <v>18.349910274828744</v>
      </c>
    </row>
    <row r="914" spans="2:2" ht="15.6">
      <c r="B914" s="197">
        <v>17.977177914657418</v>
      </c>
    </row>
    <row r="915" spans="2:2" ht="15.6">
      <c r="B915" s="197">
        <v>17.874174565167316</v>
      </c>
    </row>
    <row r="916" spans="2:2" ht="15.6">
      <c r="B916" s="197">
        <v>18.159105209099206</v>
      </c>
    </row>
    <row r="917" spans="2:2" ht="15.6">
      <c r="B917" s="197">
        <v>18.192287297662556</v>
      </c>
    </row>
    <row r="918" spans="2:2" ht="15.6">
      <c r="B918" s="197">
        <v>18.228736655838688</v>
      </c>
    </row>
    <row r="919" spans="2:2" ht="15.6">
      <c r="B919" s="197">
        <v>18.200785745539417</v>
      </c>
    </row>
    <row r="920" spans="2:2" ht="15.6">
      <c r="B920" s="197">
        <v>18.128026989160354</v>
      </c>
    </row>
    <row r="921" spans="2:2" ht="15.6">
      <c r="B921" s="197">
        <v>18.730154919209479</v>
      </c>
    </row>
    <row r="922" spans="2:2" ht="15.6">
      <c r="B922" s="197">
        <v>18.099383121010408</v>
      </c>
    </row>
    <row r="923" spans="2:2" ht="15.6">
      <c r="B923" s="197">
        <v>17.970457888534284</v>
      </c>
    </row>
    <row r="924" spans="2:2" ht="15.6">
      <c r="B924" s="197">
        <v>17.971681304303466</v>
      </c>
    </row>
    <row r="925" spans="2:2" ht="15.6">
      <c r="B925" s="197">
        <v>18.264577138029505</v>
      </c>
    </row>
    <row r="926" spans="2:2" ht="15.6">
      <c r="B926" s="197">
        <v>17.996398405555844</v>
      </c>
    </row>
    <row r="927" spans="2:2" ht="15.6">
      <c r="B927" s="197">
        <v>18.167489632935098</v>
      </c>
    </row>
    <row r="928" spans="2:2" ht="15.6">
      <c r="B928" s="197">
        <v>17.964690758331219</v>
      </c>
    </row>
    <row r="929" spans="2:2" ht="15.6">
      <c r="B929" s="197">
        <v>18.291362229038931</v>
      </c>
    </row>
    <row r="930" spans="2:2" ht="15.6">
      <c r="B930" s="197">
        <v>18.251898564733072</v>
      </c>
    </row>
    <row r="931" spans="2:2" ht="15.6">
      <c r="B931" s="197">
        <v>18.123844206814088</v>
      </c>
    </row>
    <row r="932" spans="2:2" ht="15.6">
      <c r="B932" s="197">
        <v>18.148411613544045</v>
      </c>
    </row>
    <row r="933" spans="2:2" ht="15.6">
      <c r="B933" s="197">
        <v>18.729718847240061</v>
      </c>
    </row>
    <row r="934" spans="2:2" ht="15.6">
      <c r="B934" s="197">
        <v>18.485375871102402</v>
      </c>
    </row>
    <row r="935" spans="2:2" ht="15.6">
      <c r="B935" s="197">
        <v>18.351122864556416</v>
      </c>
    </row>
    <row r="936" spans="2:2" ht="15.6">
      <c r="B936" s="197">
        <v>18.266868381046599</v>
      </c>
    </row>
    <row r="937" spans="2:2" ht="15.6">
      <c r="B937" s="197">
        <v>18.058542364205103</v>
      </c>
    </row>
    <row r="938" spans="2:2" ht="15.6">
      <c r="B938" s="197">
        <v>17.693468621112199</v>
      </c>
    </row>
    <row r="939" spans="2:2" ht="15.6">
      <c r="B939" s="197">
        <v>18.191453830467491</v>
      </c>
    </row>
    <row r="940" spans="2:2" ht="15.6">
      <c r="B940" s="197">
        <v>18.362531704761334</v>
      </c>
    </row>
    <row r="941" spans="2:2" ht="15.6">
      <c r="B941" s="197">
        <v>17.884088478659788</v>
      </c>
    </row>
    <row r="942" spans="2:2" ht="15.6">
      <c r="B942" s="197">
        <v>17.942723607675973</v>
      </c>
    </row>
    <row r="943" spans="2:2" ht="15.6">
      <c r="B943" s="197">
        <v>17.969946555420201</v>
      </c>
    </row>
    <row r="944" spans="2:2" ht="15.6">
      <c r="B944" s="197">
        <v>18.483060470816209</v>
      </c>
    </row>
    <row r="945" spans="2:2" ht="15.6">
      <c r="B945" s="197">
        <v>17.826305467040488</v>
      </c>
    </row>
    <row r="946" spans="2:2" ht="15.6">
      <c r="B946" s="197">
        <v>18.505835423682253</v>
      </c>
    </row>
    <row r="947" spans="2:2" ht="15.6">
      <c r="B947" s="197">
        <v>17.977183889861259</v>
      </c>
    </row>
    <row r="948" spans="2:2" ht="15.6">
      <c r="B948" s="197">
        <v>18.398071715630728</v>
      </c>
    </row>
    <row r="949" spans="2:2" ht="15.6">
      <c r="B949" s="197">
        <v>17.930894956775369</v>
      </c>
    </row>
    <row r="950" spans="2:2" ht="15.6">
      <c r="B950" s="197">
        <v>18.094947402925591</v>
      </c>
    </row>
    <row r="951" spans="2:2" ht="15.6">
      <c r="B951" s="197">
        <v>18.466835884852049</v>
      </c>
    </row>
    <row r="952" spans="2:2" ht="15.6">
      <c r="B952" s="197">
        <v>18.002813380639971</v>
      </c>
    </row>
    <row r="953" spans="2:2" ht="15.6">
      <c r="B953" s="197">
        <v>18.278552725078338</v>
      </c>
    </row>
    <row r="954" spans="2:2" ht="15.6">
      <c r="B954" s="197">
        <v>18.287985069541936</v>
      </c>
    </row>
    <row r="955" spans="2:2" ht="15.6">
      <c r="B955" s="197">
        <v>18.131223716955549</v>
      </c>
    </row>
    <row r="956" spans="2:2" ht="15.6">
      <c r="B956" s="197">
        <v>18.453052025718232</v>
      </c>
    </row>
    <row r="957" spans="2:2" ht="15.6">
      <c r="B957" s="197">
        <v>18.234531745594033</v>
      </c>
    </row>
    <row r="958" spans="2:2" ht="15.6">
      <c r="B958" s="197">
        <v>17.957148779063168</v>
      </c>
    </row>
    <row r="959" spans="2:2" ht="15.6">
      <c r="B959" s="197">
        <v>18.108310514007947</v>
      </c>
    </row>
    <row r="960" spans="2:2" ht="15.6">
      <c r="B960" s="197">
        <v>18.260194116604172</v>
      </c>
    </row>
    <row r="961" spans="2:2" ht="15.6">
      <c r="B961" s="197">
        <v>17.986916564989965</v>
      </c>
    </row>
    <row r="962" spans="2:2" ht="15.6">
      <c r="B962" s="197">
        <v>18.329003153926898</v>
      </c>
    </row>
    <row r="963" spans="2:2" ht="15.6">
      <c r="B963" s="197">
        <v>18.182168165763915</v>
      </c>
    </row>
    <row r="964" spans="2:2" ht="15.6">
      <c r="B964" s="197">
        <v>18.27343509119941</v>
      </c>
    </row>
    <row r="965" spans="2:2" ht="15.6">
      <c r="B965" s="197">
        <v>18.254290432054304</v>
      </c>
    </row>
    <row r="966" spans="2:2" ht="15.6">
      <c r="B966" s="197">
        <v>18.142896994306795</v>
      </c>
    </row>
    <row r="967" spans="2:2" ht="15.6">
      <c r="B967" s="197">
        <v>18.400848713931385</v>
      </c>
    </row>
    <row r="968" spans="2:2" ht="15.6">
      <c r="B968" s="197">
        <v>17.612362104252298</v>
      </c>
    </row>
    <row r="969" spans="2:2" ht="15.6">
      <c r="B969" s="197">
        <v>18.058876875868922</v>
      </c>
    </row>
    <row r="970" spans="2:2" ht="15.6">
      <c r="B970" s="197">
        <v>18.037695563056968</v>
      </c>
    </row>
    <row r="971" spans="2:2" ht="15.6">
      <c r="B971" s="197">
        <v>18.013070204386366</v>
      </c>
    </row>
    <row r="972" spans="2:2" ht="15.6">
      <c r="B972" s="197">
        <v>18.331568008124712</v>
      </c>
    </row>
    <row r="973" spans="2:2" ht="15.6">
      <c r="B973" s="197">
        <v>17.937295147467047</v>
      </c>
    </row>
    <row r="974" spans="2:2" ht="15.6">
      <c r="B974" s="197">
        <v>18.413668291027051</v>
      </c>
    </row>
    <row r="975" spans="2:2" ht="15.6">
      <c r="B975" s="197">
        <v>18.449656300167756</v>
      </c>
    </row>
    <row r="976" spans="2:2" ht="15.6">
      <c r="B976" s="197">
        <v>18.271964088323436</v>
      </c>
    </row>
    <row r="977" spans="2:2" ht="15.6">
      <c r="B977" s="197">
        <v>18.152919806442434</v>
      </c>
    </row>
    <row r="978" spans="2:2" ht="15.6">
      <c r="B978" s="197">
        <v>18.287016036306198</v>
      </c>
    </row>
    <row r="979" spans="2:2" ht="15.6">
      <c r="B979" s="197">
        <v>18.320680165360113</v>
      </c>
    </row>
    <row r="980" spans="2:2" ht="15.6">
      <c r="B980" s="197">
        <v>18.485096581579004</v>
      </c>
    </row>
    <row r="981" spans="2:2" ht="15.6">
      <c r="B981" s="197">
        <v>18.265906452880198</v>
      </c>
    </row>
    <row r="982" spans="2:2" ht="15.6">
      <c r="B982" s="197">
        <v>18.045083975507417</v>
      </c>
    </row>
    <row r="983" spans="2:2" ht="15.6">
      <c r="B983" s="197">
        <v>18.010957867841483</v>
      </c>
    </row>
    <row r="984" spans="2:2" ht="15.6">
      <c r="B984" s="197">
        <v>18.130810174212765</v>
      </c>
    </row>
    <row r="985" spans="2:2" ht="15.6">
      <c r="B985" s="197">
        <v>17.92210784459397</v>
      </c>
    </row>
    <row r="986" spans="2:2" ht="15.6">
      <c r="B986" s="197">
        <v>18.053051269719838</v>
      </c>
    </row>
    <row r="987" spans="2:2" ht="15.6">
      <c r="B987" s="197">
        <v>18.338534412965007</v>
      </c>
    </row>
    <row r="988" spans="2:2" ht="15.6">
      <c r="B988" s="197">
        <v>18.305588491861268</v>
      </c>
    </row>
    <row r="989" spans="2:2" ht="15.6">
      <c r="B989" s="197">
        <v>18.237304844038263</v>
      </c>
    </row>
    <row r="990" spans="2:2" ht="15.6">
      <c r="B990" s="197">
        <v>18.198735103854435</v>
      </c>
    </row>
    <row r="991" spans="2:2" ht="15.6">
      <c r="B991" s="197">
        <v>17.910022441142644</v>
      </c>
    </row>
    <row r="992" spans="2:2" ht="15.6">
      <c r="B992" s="197">
        <v>18.147661365270828</v>
      </c>
    </row>
    <row r="993" spans="2:2" ht="15.6">
      <c r="B993" s="197">
        <v>18.030408930693422</v>
      </c>
    </row>
    <row r="994" spans="2:2" ht="15.6">
      <c r="B994" s="197">
        <v>18.259147508019502</v>
      </c>
    </row>
    <row r="995" spans="2:2" ht="15.6">
      <c r="B995" s="197">
        <v>18.075237566352158</v>
      </c>
    </row>
    <row r="996" spans="2:2" ht="15.6">
      <c r="B996" s="197">
        <v>18.164555298003982</v>
      </c>
    </row>
    <row r="997" spans="2:2" ht="15.6">
      <c r="B997" s="197">
        <v>18.284455661527616</v>
      </c>
    </row>
    <row r="998" spans="2:2" ht="15.6">
      <c r="B998" s="197">
        <v>18.040585805895361</v>
      </c>
    </row>
    <row r="999" spans="2:2" ht="15.6">
      <c r="B999" s="197">
        <v>17.86609416706203</v>
      </c>
    </row>
    <row r="1000" spans="2:2" ht="15.6">
      <c r="B1000" s="197">
        <v>18.273038742249387</v>
      </c>
    </row>
    <row r="1001" spans="2:2" ht="15.6">
      <c r="B1001" s="197">
        <v>18.412169666176737</v>
      </c>
    </row>
    <row r="1002" spans="2:2" ht="15.6">
      <c r="B1002" s="197">
        <v>18.455395510250749</v>
      </c>
    </row>
    <row r="1003" spans="2:2" ht="15.6">
      <c r="B1003" s="197">
        <v>18.252704835284998</v>
      </c>
    </row>
    <row r="1004" spans="2:2" ht="15.6">
      <c r="B1004" s="197">
        <v>17.829419476112832</v>
      </c>
    </row>
    <row r="1005" spans="2:2" ht="15.6">
      <c r="B1005" s="197">
        <v>18.050580436663207</v>
      </c>
    </row>
    <row r="1006" spans="2:2" ht="15.6">
      <c r="B1006" s="197">
        <v>18.493292205945124</v>
      </c>
    </row>
    <row r="1007" spans="2:2" ht="15.6">
      <c r="B1007" s="197">
        <v>17.819945039206381</v>
      </c>
    </row>
    <row r="1008" spans="2:2" ht="15.6">
      <c r="B1008" s="197">
        <v>18.490943434417325</v>
      </c>
    </row>
    <row r="1009" spans="2:2" ht="15.6">
      <c r="B1009" s="197">
        <v>18.053707615535718</v>
      </c>
    </row>
    <row r="1010" spans="2:2" ht="15.6">
      <c r="B1010" s="197">
        <v>18.39011402727246</v>
      </c>
    </row>
    <row r="1011" spans="2:2" ht="15.6">
      <c r="B1011" s="197">
        <v>18.135453393240581</v>
      </c>
    </row>
    <row r="1012" spans="2:2" ht="15.6">
      <c r="B1012" s="197">
        <v>18.203896384594962</v>
      </c>
    </row>
    <row r="1013" spans="2:2" ht="15.6">
      <c r="B1013" s="197">
        <v>18.000558787870272</v>
      </c>
    </row>
    <row r="1014" spans="2:2" ht="15.6">
      <c r="B1014" s="197">
        <v>18.289263790875999</v>
      </c>
    </row>
    <row r="1015" spans="2:2" ht="15.6">
      <c r="B1015" s="197">
        <v>18.063023774712082</v>
      </c>
    </row>
    <row r="1016" spans="2:2" ht="15.6">
      <c r="B1016" s="197">
        <v>18.349719716940339</v>
      </c>
    </row>
    <row r="1017" spans="2:2" ht="15.6">
      <c r="B1017" s="197">
        <v>17.973464234113049</v>
      </c>
    </row>
    <row r="1018" spans="2:2" ht="15.6">
      <c r="B1018" s="197">
        <v>18.272374663508561</v>
      </c>
    </row>
    <row r="1019" spans="2:2" ht="15.6">
      <c r="B1019" s="197">
        <v>17.999482825618387</v>
      </c>
    </row>
    <row r="1020" spans="2:2" ht="15.6">
      <c r="B1020" s="197">
        <v>17.937384210201039</v>
      </c>
    </row>
    <row r="1021" spans="2:2" ht="15.6">
      <c r="B1021" s="197">
        <v>18.071467914999438</v>
      </c>
    </row>
    <row r="1022" spans="2:2" ht="15.6">
      <c r="B1022" s="197">
        <v>17.992843503195971</v>
      </c>
    </row>
    <row r="1023" spans="2:2" ht="15.6">
      <c r="B1023" s="197">
        <v>18.329997924395247</v>
      </c>
    </row>
    <row r="1024" spans="2:2" ht="15.6">
      <c r="B1024" s="197">
        <v>18.066270807209278</v>
      </c>
    </row>
    <row r="1025" spans="2:2" ht="15.6">
      <c r="B1025" s="197">
        <v>18.278806692752337</v>
      </c>
    </row>
    <row r="1026" spans="2:2" ht="15.6">
      <c r="B1026" s="197">
        <v>18.174764364717447</v>
      </c>
    </row>
    <row r="1027" spans="2:2" ht="15.6">
      <c r="B1027" s="197">
        <v>18.062214161533571</v>
      </c>
    </row>
    <row r="1028" spans="2:2" ht="15.6">
      <c r="B1028" s="197">
        <v>17.901000046962405</v>
      </c>
    </row>
    <row r="1029" spans="2:2" ht="15.6">
      <c r="B1029" s="197">
        <v>18.223870152884629</v>
      </c>
    </row>
    <row r="1030" spans="2:2" ht="15.6">
      <c r="B1030" s="197">
        <v>18.295605853296731</v>
      </c>
    </row>
    <row r="1031" spans="2:2" ht="15.6">
      <c r="B1031" s="197">
        <v>18.244757270431361</v>
      </c>
    </row>
    <row r="1032" spans="2:2" ht="15.6">
      <c r="B1032" s="197">
        <v>18.258985975179428</v>
      </c>
    </row>
    <row r="1033" spans="2:2" ht="15.6">
      <c r="B1033" s="197">
        <v>17.926365260227595</v>
      </c>
    </row>
    <row r="1034" spans="2:2" ht="15.6">
      <c r="B1034" s="197">
        <v>18.078281391095299</v>
      </c>
    </row>
    <row r="1035" spans="2:2" ht="15.6">
      <c r="B1035" s="197">
        <v>17.83521346580455</v>
      </c>
    </row>
    <row r="1036" spans="2:2" ht="15.6">
      <c r="B1036" s="197">
        <v>18.045272765659035</v>
      </c>
    </row>
    <row r="1037" spans="2:2" ht="15.6">
      <c r="B1037" s="197">
        <v>18.325695985662932</v>
      </c>
    </row>
    <row r="1038" spans="2:2" ht="15.6">
      <c r="B1038" s="197">
        <v>18.268458792326765</v>
      </c>
    </row>
    <row r="1039" spans="2:2" ht="15.6">
      <c r="B1039" s="197">
        <v>18.252336649568001</v>
      </c>
    </row>
    <row r="1040" spans="2:2" ht="15.6">
      <c r="B1040" s="197">
        <v>18.114750265033472</v>
      </c>
    </row>
    <row r="1041" spans="2:2" ht="15.6">
      <c r="B1041" s="197">
        <v>17.666840688253338</v>
      </c>
    </row>
    <row r="1042" spans="2:2" ht="15.6">
      <c r="B1042" s="197">
        <v>17.848546631241796</v>
      </c>
    </row>
    <row r="1043" spans="2:2" ht="15.6">
      <c r="B1043" s="197">
        <v>18.223206373464457</v>
      </c>
    </row>
    <row r="1044" spans="2:2" ht="15.6">
      <c r="B1044" s="197">
        <v>18.128838080969004</v>
      </c>
    </row>
    <row r="1045" spans="2:2" ht="15.6">
      <c r="B1045" s="197">
        <v>18.524832050167678</v>
      </c>
    </row>
    <row r="1046" spans="2:2" ht="15.6">
      <c r="B1046" s="197">
        <v>18.041572476400319</v>
      </c>
    </row>
    <row r="1047" spans="2:2" ht="15.6">
      <c r="B1047" s="197">
        <v>18.218191842904847</v>
      </c>
    </row>
    <row r="1048" spans="2:2" ht="15.6">
      <c r="B1048" s="197">
        <v>18.216577897775228</v>
      </c>
    </row>
    <row r="1049" spans="2:2" ht="15.6">
      <c r="B1049" s="197">
        <v>18.042921949510738</v>
      </c>
    </row>
    <row r="1050" spans="2:2" ht="15.6">
      <c r="B1050" s="197">
        <v>17.930004341762288</v>
      </c>
    </row>
    <row r="1051" spans="2:2" ht="15.6">
      <c r="B1051" s="197">
        <v>18.091008350122181</v>
      </c>
    </row>
    <row r="1052" spans="2:2" ht="15.6">
      <c r="B1052" s="197">
        <v>18.303898826055672</v>
      </c>
    </row>
    <row r="1053" spans="2:2" ht="15.6">
      <c r="B1053" s="197">
        <v>17.52362070285244</v>
      </c>
    </row>
    <row r="1054" spans="2:2" ht="15.6">
      <c r="B1054" s="197">
        <v>18.407585550629395</v>
      </c>
    </row>
    <row r="1055" spans="2:2" ht="15.6">
      <c r="B1055" s="197">
        <v>18.386280523962704</v>
      </c>
    </row>
    <row r="1056" spans="2:2" ht="15.6">
      <c r="B1056" s="197">
        <v>17.892776662823884</v>
      </c>
    </row>
    <row r="1057" spans="2:2" ht="15.6">
      <c r="B1057" s="197">
        <v>17.950886844686973</v>
      </c>
    </row>
    <row r="1058" spans="2:2" ht="15.6">
      <c r="B1058" s="197">
        <v>18.26449012238524</v>
      </c>
    </row>
    <row r="1059" spans="2:2" ht="15.6">
      <c r="B1059" s="197">
        <v>18.068658936777624</v>
      </c>
    </row>
    <row r="1060" spans="2:2" ht="15.6">
      <c r="B1060" s="197">
        <v>18.058910504275005</v>
      </c>
    </row>
    <row r="1061" spans="2:2" ht="15.6">
      <c r="B1061" s="197">
        <v>18.187010575622161</v>
      </c>
    </row>
    <row r="1062" spans="2:2" ht="15.6">
      <c r="B1062" s="197">
        <v>18.078370593330174</v>
      </c>
    </row>
    <row r="1063" spans="2:2" ht="15.6">
      <c r="B1063" s="197">
        <v>17.913864009549659</v>
      </c>
    </row>
    <row r="1064" spans="2:2" ht="15.6">
      <c r="B1064" s="197">
        <v>18.483396237282477</v>
      </c>
    </row>
    <row r="1065" spans="2:2" ht="15.6">
      <c r="B1065" s="197">
        <v>18.235522393901803</v>
      </c>
    </row>
    <row r="1066" spans="2:2" ht="15.6">
      <c r="B1066" s="197">
        <v>17.872322793551376</v>
      </c>
    </row>
    <row r="1067" spans="2:2" ht="15.6">
      <c r="B1067" s="197">
        <v>18.044279399984234</v>
      </c>
    </row>
    <row r="1068" spans="2:2" ht="15.6">
      <c r="B1068" s="197">
        <v>17.979217094281239</v>
      </c>
    </row>
    <row r="1069" spans="2:2" ht="15.6">
      <c r="B1069" s="197">
        <v>18.214067854759353</v>
      </c>
    </row>
    <row r="1070" spans="2:2" ht="15.6">
      <c r="B1070" s="197">
        <v>18.12944431215837</v>
      </c>
    </row>
    <row r="1071" spans="2:2" ht="15.6">
      <c r="B1071" s="197">
        <v>18.31645221796742</v>
      </c>
    </row>
    <row r="1072" spans="2:2" ht="15.6">
      <c r="B1072" s="197">
        <v>18.466453393329466</v>
      </c>
    </row>
    <row r="1073" spans="2:2" ht="15.6">
      <c r="B1073" s="197">
        <v>18.049564932769602</v>
      </c>
    </row>
    <row r="1074" spans="2:2" ht="15.6">
      <c r="B1074" s="197">
        <v>18.313786436538763</v>
      </c>
    </row>
    <row r="1075" spans="2:2" ht="15.6">
      <c r="B1075" s="197">
        <v>18.274364040511674</v>
      </c>
    </row>
    <row r="1076" spans="2:2" ht="15.6">
      <c r="B1076" s="197">
        <v>18.17340963734754</v>
      </c>
    </row>
    <row r="1077" spans="2:2" ht="15.6">
      <c r="B1077" s="197">
        <v>18.325598858289439</v>
      </c>
    </row>
    <row r="1078" spans="2:2" ht="15.6">
      <c r="B1078" s="197">
        <v>18.607790718474263</v>
      </c>
    </row>
    <row r="1079" spans="2:2" ht="15.6">
      <c r="B1079" s="197">
        <v>18.157671980867512</v>
      </c>
    </row>
    <row r="1080" spans="2:2" ht="15.6">
      <c r="B1080" s="197">
        <v>18.121066767686077</v>
      </c>
    </row>
    <row r="1081" spans="2:2" ht="15.6">
      <c r="B1081" s="197">
        <v>17.917721098855761</v>
      </c>
    </row>
    <row r="1082" spans="2:2" ht="15.6">
      <c r="B1082" s="197">
        <v>17.933966035680942</v>
      </c>
    </row>
    <row r="1083" spans="2:2" ht="15.6">
      <c r="B1083" s="197">
        <v>18.305489849342361</v>
      </c>
    </row>
    <row r="1084" spans="2:2" ht="15.6">
      <c r="B1084" s="197">
        <v>18.155925043011379</v>
      </c>
    </row>
    <row r="1085" spans="2:2" ht="15.6">
      <c r="B1085" s="197">
        <v>18.10001353180348</v>
      </c>
    </row>
    <row r="1086" spans="2:2" ht="15.6">
      <c r="B1086" s="197">
        <v>17.850238230182676</v>
      </c>
    </row>
    <row r="1087" spans="2:2" ht="15.6">
      <c r="B1087" s="197">
        <v>18.064088618147785</v>
      </c>
    </row>
    <row r="1088" spans="2:2" ht="15.6">
      <c r="B1088" s="197">
        <v>18.012402545692179</v>
      </c>
    </row>
    <row r="1089" spans="2:2" ht="15.6">
      <c r="B1089" s="197">
        <v>17.98576109036021</v>
      </c>
    </row>
    <row r="1090" spans="2:2" ht="15.6">
      <c r="B1090" s="197">
        <v>18.191750552862306</v>
      </c>
    </row>
    <row r="1091" spans="2:2" ht="15.6">
      <c r="B1091" s="197">
        <v>18.252407698842745</v>
      </c>
    </row>
    <row r="1092" spans="2:2" ht="15.6">
      <c r="B1092" s="197">
        <v>18.197461885298964</v>
      </c>
    </row>
    <row r="1093" spans="2:2" ht="15.6">
      <c r="B1093" s="197">
        <v>18.256643517591023</v>
      </c>
    </row>
    <row r="1094" spans="2:2" ht="15.6">
      <c r="B1094" s="197">
        <v>18.304705662545445</v>
      </c>
    </row>
    <row r="1095" spans="2:2" ht="15.6">
      <c r="B1095" s="197">
        <v>18.150802642354105</v>
      </c>
    </row>
    <row r="1096" spans="2:2" ht="15.6">
      <c r="B1096" s="197">
        <v>18.157386952475058</v>
      </c>
    </row>
    <row r="1097" spans="2:2" ht="15.6">
      <c r="B1097" s="197">
        <v>18.259269186294368</v>
      </c>
    </row>
    <row r="1098" spans="2:2" ht="15.6">
      <c r="B1098" s="197">
        <v>17.963780942424648</v>
      </c>
    </row>
    <row r="1099" spans="2:2" ht="15.6">
      <c r="B1099" s="197">
        <v>17.942216680910256</v>
      </c>
    </row>
    <row r="1100" spans="2:2" ht="15.6">
      <c r="B1100" s="197">
        <v>18.748310810692644</v>
      </c>
    </row>
    <row r="1101" spans="2:2" ht="15.6">
      <c r="B1101" s="197">
        <v>18.003294655191947</v>
      </c>
    </row>
    <row r="1102" spans="2:2" ht="15.6">
      <c r="B1102" s="197">
        <v>18.13987082322188</v>
      </c>
    </row>
    <row r="1103" spans="2:2" ht="15.6">
      <c r="B1103" s="197">
        <v>18.218872458695706</v>
      </c>
    </row>
    <row r="1104" spans="2:2" ht="15.6">
      <c r="B1104" s="197">
        <v>18.181715518395272</v>
      </c>
    </row>
    <row r="1105" spans="2:2" ht="15.6">
      <c r="B1105" s="197">
        <v>18.019665039257625</v>
      </c>
    </row>
    <row r="1106" spans="2:2" ht="15.6">
      <c r="B1106" s="197">
        <v>18.314222084607355</v>
      </c>
    </row>
    <row r="1107" spans="2:2" ht="15.6">
      <c r="B1107" s="197">
        <v>18.135586807178427</v>
      </c>
    </row>
    <row r="1108" spans="2:2" ht="15.6">
      <c r="B1108" s="197">
        <v>18.342503794619326</v>
      </c>
    </row>
    <row r="1109" spans="2:2" ht="15.6">
      <c r="B1109" s="197">
        <v>18.154268212364094</v>
      </c>
    </row>
    <row r="1110" spans="2:2" ht="15.6">
      <c r="B1110" s="197">
        <v>18.069024289833148</v>
      </c>
    </row>
    <row r="1111" spans="2:2" ht="15.6">
      <c r="B1111" s="197">
        <v>18.095343631471504</v>
      </c>
    </row>
    <row r="1112" spans="2:2" ht="15.6">
      <c r="B1112" s="197">
        <v>17.862140425049443</v>
      </c>
    </row>
    <row r="1113" spans="2:2" ht="15.6">
      <c r="B1113" s="197">
        <v>18.38355673797523</v>
      </c>
    </row>
    <row r="1114" spans="2:2" ht="15.6">
      <c r="B1114" s="197">
        <v>17.916528193725508</v>
      </c>
    </row>
    <row r="1115" spans="2:2" ht="15.6">
      <c r="B1115" s="197">
        <v>18.046826789476562</v>
      </c>
    </row>
    <row r="1116" spans="2:2" ht="15.6">
      <c r="B1116" s="197">
        <v>18.079193994080207</v>
      </c>
    </row>
    <row r="1117" spans="2:2" ht="15.6">
      <c r="B1117" s="197">
        <v>18.219436205444143</v>
      </c>
    </row>
    <row r="1118" spans="2:2" ht="15.6">
      <c r="B1118" s="197">
        <v>18.41687987792853</v>
      </c>
    </row>
    <row r="1119" spans="2:2" ht="15.6">
      <c r="B1119" s="197">
        <v>18.227180552978133</v>
      </c>
    </row>
    <row r="1120" spans="2:2" ht="15.6">
      <c r="B1120" s="197">
        <v>18.584151063107278</v>
      </c>
    </row>
    <row r="1121" spans="2:2" ht="15.6">
      <c r="B1121" s="197">
        <v>18.027536521825898</v>
      </c>
    </row>
    <row r="1122" spans="2:2" ht="15.6">
      <c r="B1122" s="197">
        <v>18.103310489000872</v>
      </c>
    </row>
    <row r="1123" spans="2:2" ht="15.6">
      <c r="B1123" s="197">
        <v>17.944472283371113</v>
      </c>
    </row>
    <row r="1124" spans="2:2" ht="15.6">
      <c r="B1124" s="197">
        <v>18.130643164278919</v>
      </c>
    </row>
    <row r="1125" spans="2:2" ht="15.6">
      <c r="B1125" s="197">
        <v>17.94350667001925</v>
      </c>
    </row>
    <row r="1126" spans="2:2" ht="15.6">
      <c r="B1126" s="197">
        <v>18.183038521179739</v>
      </c>
    </row>
    <row r="1127" spans="2:2" ht="15.6">
      <c r="B1127" s="197">
        <v>18.350988500501465</v>
      </c>
    </row>
    <row r="1128" spans="2:2" ht="15.6">
      <c r="B1128" s="197">
        <v>18.738059299873829</v>
      </c>
    </row>
    <row r="1129" spans="2:2" ht="15.6">
      <c r="B1129" s="197">
        <v>18.280085843030172</v>
      </c>
    </row>
    <row r="1130" spans="2:2" ht="15.6">
      <c r="B1130" s="197">
        <v>18.257592715299563</v>
      </c>
    </row>
    <row r="1131" spans="2:2" ht="15.6">
      <c r="B1131" s="197">
        <v>18.361089553536697</v>
      </c>
    </row>
    <row r="1132" spans="2:2" ht="15.6">
      <c r="B1132" s="197">
        <v>18.406831598558067</v>
      </c>
    </row>
    <row r="1133" spans="2:2" ht="15.6">
      <c r="B1133" s="197">
        <v>17.686300991312656</v>
      </c>
    </row>
    <row r="1134" spans="2:2" ht="15.6">
      <c r="B1134" s="197">
        <v>17.944700186792446</v>
      </c>
    </row>
    <row r="1135" spans="2:2" ht="15.6">
      <c r="B1135" s="197">
        <v>18.157229354655591</v>
      </c>
    </row>
    <row r="1136" spans="2:2" ht="15.6">
      <c r="B1136" s="197">
        <v>17.935869041200743</v>
      </c>
    </row>
    <row r="1137" spans="2:2" ht="15.6">
      <c r="B1137" s="197">
        <v>18.163907032507048</v>
      </c>
    </row>
    <row r="1138" spans="2:2" ht="15.6">
      <c r="B1138" s="197">
        <v>18.206905335012113</v>
      </c>
    </row>
    <row r="1139" spans="2:2" ht="15.6">
      <c r="B1139" s="197">
        <v>18.250965604473681</v>
      </c>
    </row>
    <row r="1140" spans="2:2" ht="15.6">
      <c r="B1140" s="197">
        <v>18.225248475386351</v>
      </c>
    </row>
    <row r="1141" spans="2:2" ht="15.6">
      <c r="B1141" s="197">
        <v>18.126426940859556</v>
      </c>
    </row>
    <row r="1142" spans="2:2" ht="15.6">
      <c r="B1142" s="197">
        <v>17.980843360100131</v>
      </c>
    </row>
    <row r="1143" spans="2:2" ht="15.6">
      <c r="B1143" s="197">
        <v>18.389680855108409</v>
      </c>
    </row>
    <row r="1144" spans="2:2" ht="15.6">
      <c r="B1144" s="197">
        <v>18.358371828811514</v>
      </c>
    </row>
    <row r="1145" spans="2:2" ht="15.6">
      <c r="B1145" s="197">
        <v>17.991211545109966</v>
      </c>
    </row>
    <row r="1146" spans="2:2" ht="15.6">
      <c r="B1146" s="197">
        <v>18.252784577314014</v>
      </c>
    </row>
    <row r="1147" spans="2:2" ht="15.6">
      <c r="B1147" s="197">
        <v>18.002888543703104</v>
      </c>
    </row>
    <row r="1148" spans="2:2" ht="15.6">
      <c r="B1148" s="197">
        <v>18.391770857011608</v>
      </c>
    </row>
    <row r="1149" spans="2:2" ht="15.6">
      <c r="B1149" s="197">
        <v>18.564464059818299</v>
      </c>
    </row>
    <row r="1150" spans="2:2" ht="15.6">
      <c r="B1150" s="197">
        <v>18.001407207333788</v>
      </c>
    </row>
    <row r="1151" spans="2:2" ht="15.6">
      <c r="B1151" s="197">
        <v>18.201887199462096</v>
      </c>
    </row>
    <row r="1152" spans="2:2" ht="15.6">
      <c r="B1152" s="197">
        <v>17.994612414482685</v>
      </c>
    </row>
    <row r="1153" spans="2:2" ht="15.6">
      <c r="B1153" s="197">
        <v>18.101906642401556</v>
      </c>
    </row>
    <row r="1154" spans="2:2" ht="15.6">
      <c r="B1154" s="197">
        <v>18.391107198496197</v>
      </c>
    </row>
    <row r="1155" spans="2:2" ht="15.6">
      <c r="B1155" s="197">
        <v>18.064185793856726</v>
      </c>
    </row>
    <row r="1156" spans="2:2" ht="15.6">
      <c r="B1156" s="197">
        <v>18.428202592005171</v>
      </c>
    </row>
    <row r="1157" spans="2:2" ht="15.6">
      <c r="B1157" s="197">
        <v>18.311501067663738</v>
      </c>
    </row>
    <row r="1158" spans="2:2" ht="15.6">
      <c r="B1158" s="197">
        <v>18.433337190727432</v>
      </c>
    </row>
    <row r="1159" spans="2:2" ht="15.6">
      <c r="B1159" s="197">
        <v>18.218970362779071</v>
      </c>
    </row>
    <row r="1160" spans="2:2" ht="15.6">
      <c r="B1160" s="197">
        <v>18.035594317650002</v>
      </c>
    </row>
    <row r="1161" spans="2:2" ht="15.6">
      <c r="B1161" s="197">
        <v>18.508742791310468</v>
      </c>
    </row>
    <row r="1162" spans="2:2" ht="15.6">
      <c r="B1162" s="197">
        <v>17.876662909137579</v>
      </c>
    </row>
    <row r="1163" spans="2:2" ht="15.6">
      <c r="B1163" s="197">
        <v>17.945513361124117</v>
      </c>
    </row>
    <row r="1164" spans="2:2" ht="15.6">
      <c r="B1164" s="197">
        <v>18.380853048272503</v>
      </c>
    </row>
    <row r="1165" spans="2:2" ht="15.6">
      <c r="B1165" s="197">
        <v>18.100241768419636</v>
      </c>
    </row>
    <row r="1166" spans="2:2" ht="15.6">
      <c r="B1166" s="197">
        <v>18.011695922584536</v>
      </c>
    </row>
    <row r="1167" spans="2:2" ht="15.6">
      <c r="B1167" s="197">
        <v>18.485931419549079</v>
      </c>
    </row>
    <row r="1168" spans="2:2" ht="15.6">
      <c r="B1168" s="197">
        <v>18.151789773097338</v>
      </c>
    </row>
    <row r="1169" spans="2:2" ht="15.6">
      <c r="B1169" s="197">
        <v>18.278273359757375</v>
      </c>
    </row>
    <row r="1170" spans="2:2" ht="15.6">
      <c r="B1170" s="197">
        <v>18.250787147646857</v>
      </c>
    </row>
    <row r="1171" spans="2:2" ht="15.6">
      <c r="B1171" s="197">
        <v>17.941439365046403</v>
      </c>
    </row>
    <row r="1172" spans="2:2" ht="15.6">
      <c r="B1172" s="197">
        <v>18.368980962142196</v>
      </c>
    </row>
    <row r="1173" spans="2:2" ht="15.6">
      <c r="B1173" s="197">
        <v>18.044788928793885</v>
      </c>
    </row>
    <row r="1174" spans="2:2" ht="15.6">
      <c r="B1174" s="197">
        <v>18.337938947103709</v>
      </c>
    </row>
    <row r="1175" spans="2:2" ht="15.6">
      <c r="B1175" s="197">
        <v>18.228403227335388</v>
      </c>
    </row>
    <row r="1176" spans="2:2" ht="15.6">
      <c r="B1176" s="197">
        <v>18.145450241675139</v>
      </c>
    </row>
    <row r="1177" spans="2:2" ht="15.6">
      <c r="B1177" s="197">
        <v>18.265495422964214</v>
      </c>
    </row>
    <row r="1178" spans="2:2" ht="15.6">
      <c r="B1178" s="197">
        <v>18.37468393939103</v>
      </c>
    </row>
    <row r="1179" spans="2:2" ht="15.6">
      <c r="B1179" s="197">
        <v>18.363283767926628</v>
      </c>
    </row>
    <row r="1180" spans="2:2" ht="15.6">
      <c r="B1180" s="197">
        <v>18.312620382018679</v>
      </c>
    </row>
    <row r="1181" spans="2:2" ht="15.6">
      <c r="B1181" s="197">
        <v>18.496691992402788</v>
      </c>
    </row>
    <row r="1182" spans="2:2" ht="15.6">
      <c r="B1182" s="197">
        <v>18.209080663008944</v>
      </c>
    </row>
    <row r="1183" spans="2:2" ht="15.6">
      <c r="B1183" s="197">
        <v>18.241778218732396</v>
      </c>
    </row>
    <row r="1184" spans="2:2" ht="15.6">
      <c r="B1184" s="197">
        <v>18.372697495156789</v>
      </c>
    </row>
    <row r="1185" spans="2:2" ht="15.6">
      <c r="B1185" s="197">
        <v>18.143210197004056</v>
      </c>
    </row>
    <row r="1186" spans="2:2" ht="15.6">
      <c r="B1186" s="197">
        <v>18.07807990327094</v>
      </c>
    </row>
    <row r="1187" spans="2:2" ht="15.6">
      <c r="B1187" s="197">
        <v>18.225613078924709</v>
      </c>
    </row>
    <row r="1188" spans="2:2" ht="15.6">
      <c r="B1188" s="197">
        <v>18.154581391102937</v>
      </c>
    </row>
    <row r="1189" spans="2:2" ht="15.6">
      <c r="B1189" s="197">
        <v>18.282892302148699</v>
      </c>
    </row>
    <row r="1190" spans="2:2" ht="15.6">
      <c r="B1190" s="197">
        <v>18.055677421803129</v>
      </c>
    </row>
    <row r="1191" spans="2:2" ht="15.6">
      <c r="B1191" s="197">
        <v>18.046933836022628</v>
      </c>
    </row>
    <row r="1192" spans="2:2" ht="15.6">
      <c r="B1192" s="197">
        <v>18.176055764239301</v>
      </c>
    </row>
    <row r="1193" spans="2:2" ht="15.6">
      <c r="B1193" s="197">
        <v>18.492162926456849</v>
      </c>
    </row>
    <row r="1194" spans="2:2" ht="15.6">
      <c r="B1194" s="197">
        <v>18.283789316738016</v>
      </c>
    </row>
    <row r="1195" spans="2:2" ht="15.6">
      <c r="B1195" s="197">
        <v>17.830028687203011</v>
      </c>
    </row>
    <row r="1196" spans="2:2" ht="15.6">
      <c r="B1196" s="197">
        <v>18.63925497506445</v>
      </c>
    </row>
    <row r="1197" spans="2:2" ht="15.6">
      <c r="B1197" s="197">
        <v>18.281658971483946</v>
      </c>
    </row>
    <row r="1198" spans="2:2" ht="15.6">
      <c r="B1198" s="197">
        <v>18.226559122408599</v>
      </c>
    </row>
    <row r="1199" spans="2:2" ht="15.6">
      <c r="B1199" s="197">
        <v>18.126944141725613</v>
      </c>
    </row>
    <row r="1200" spans="2:2" ht="15.6">
      <c r="B1200" s="197">
        <v>18.105468989488383</v>
      </c>
    </row>
    <row r="1201" spans="2:2" ht="15.6">
      <c r="B1201" s="197">
        <v>17.9857511725851</v>
      </c>
    </row>
    <row r="1202" spans="2:2" ht="15.6">
      <c r="B1202" s="197">
        <v>18.018214773748657</v>
      </c>
    </row>
    <row r="1203" spans="2:2" ht="15.6">
      <c r="B1203" s="197">
        <v>17.759469734484803</v>
      </c>
    </row>
    <row r="1204" spans="2:2" ht="15.6">
      <c r="B1204" s="197">
        <v>18.03621944750785</v>
      </c>
    </row>
    <row r="1205" spans="2:2" ht="15.6">
      <c r="B1205" s="197">
        <v>17.849940515723087</v>
      </c>
    </row>
    <row r="1206" spans="2:2" ht="15.6">
      <c r="B1206" s="197">
        <v>17.798163976711034</v>
      </c>
    </row>
    <row r="1207" spans="2:2" ht="15.6">
      <c r="B1207" s="197">
        <v>18.257694010918485</v>
      </c>
    </row>
    <row r="1208" spans="2:2" ht="15.6">
      <c r="B1208" s="197">
        <v>18.266404875347508</v>
      </c>
    </row>
    <row r="1209" spans="2:2" ht="15.6">
      <c r="B1209" s="197">
        <v>17.690055005881195</v>
      </c>
    </row>
    <row r="1210" spans="2:2" ht="15.6">
      <c r="B1210" s="197">
        <v>17.656304466296245</v>
      </c>
    </row>
    <row r="1211" spans="2:2" ht="15.6">
      <c r="B1211" s="197">
        <v>18.330984733163596</v>
      </c>
    </row>
    <row r="1212" spans="2:2" ht="15.6">
      <c r="B1212" s="197">
        <v>18.149272612932908</v>
      </c>
    </row>
    <row r="1213" spans="2:2" ht="15.6">
      <c r="B1213" s="197">
        <v>18.231961853764599</v>
      </c>
    </row>
    <row r="1214" spans="2:2" ht="15.6">
      <c r="B1214" s="197">
        <v>18.295509467923495</v>
      </c>
    </row>
    <row r="1215" spans="2:2" ht="15.6">
      <c r="B1215" s="197">
        <v>17.727418462076912</v>
      </c>
    </row>
    <row r="1216" spans="2:2" ht="15.6">
      <c r="B1216" s="197">
        <v>18.197812585652734</v>
      </c>
    </row>
    <row r="1217" spans="2:2" ht="15.6">
      <c r="B1217" s="197">
        <v>18.093103251183756</v>
      </c>
    </row>
    <row r="1218" spans="2:2" ht="15.6">
      <c r="B1218" s="197">
        <v>18.235179309720735</v>
      </c>
    </row>
    <row r="1219" spans="2:2" ht="15.6">
      <c r="B1219" s="197">
        <v>18.117928755580511</v>
      </c>
    </row>
    <row r="1220" spans="2:2" ht="15.6">
      <c r="B1220" s="197">
        <v>18.38005332674571</v>
      </c>
    </row>
    <row r="1221" spans="2:2" ht="15.6">
      <c r="B1221" s="197">
        <v>18.169638736120845</v>
      </c>
    </row>
    <row r="1222" spans="2:2" ht="15.6">
      <c r="B1222" s="197">
        <v>17.954812824535821</v>
      </c>
    </row>
    <row r="1223" spans="2:2" ht="15.6">
      <c r="B1223" s="197">
        <v>18.311288080580734</v>
      </c>
    </row>
    <row r="1224" spans="2:2" ht="15.6">
      <c r="B1224" s="197">
        <v>18.184322182230122</v>
      </c>
    </row>
    <row r="1225" spans="2:2" ht="15.6">
      <c r="B1225" s="197">
        <v>18.222655273421186</v>
      </c>
    </row>
    <row r="1226" spans="2:2" ht="15.6">
      <c r="B1226" s="197">
        <v>17.94798128294687</v>
      </c>
    </row>
    <row r="1227" spans="2:2" ht="15.6">
      <c r="B1227" s="197">
        <v>18.294906042538809</v>
      </c>
    </row>
    <row r="1228" spans="2:2" ht="15.6">
      <c r="B1228" s="197">
        <v>18.081056892318745</v>
      </c>
    </row>
    <row r="1229" spans="2:2" ht="15.6">
      <c r="B1229" s="197">
        <v>18.364497559412563</v>
      </c>
    </row>
    <row r="1230" spans="2:2" ht="15.6">
      <c r="B1230" s="197">
        <v>18.032658255839163</v>
      </c>
    </row>
    <row r="1231" spans="2:2" ht="15.6">
      <c r="B1231" s="197">
        <v>18.151927867021222</v>
      </c>
    </row>
    <row r="1232" spans="2:2" ht="15.6">
      <c r="B1232" s="197">
        <v>18.345323012585027</v>
      </c>
    </row>
    <row r="1233" spans="2:2" ht="15.6">
      <c r="B1233" s="197">
        <v>18.430784253216409</v>
      </c>
    </row>
    <row r="1234" spans="2:2" ht="15.6">
      <c r="B1234" s="197">
        <v>18.111233715174198</v>
      </c>
    </row>
    <row r="1235" spans="2:2" ht="15.6">
      <c r="B1235" s="197">
        <v>18.065700488503822</v>
      </c>
    </row>
    <row r="1236" spans="2:2" ht="15.6">
      <c r="B1236" s="197">
        <v>17.761274145561284</v>
      </c>
    </row>
    <row r="1237" spans="2:2" ht="15.6">
      <c r="B1237" s="197">
        <v>18.009422928369286</v>
      </c>
    </row>
    <row r="1238" spans="2:2" ht="15.6">
      <c r="B1238" s="197">
        <v>18.202708777927658</v>
      </c>
    </row>
    <row r="1239" spans="2:2" ht="15.6">
      <c r="B1239" s="197">
        <v>18.475400695602751</v>
      </c>
    </row>
    <row r="1240" spans="2:2" ht="15.6">
      <c r="B1240" s="197">
        <v>17.964905823205573</v>
      </c>
    </row>
    <row r="1241" spans="2:2" ht="15.6">
      <c r="B1241" s="197">
        <v>18.328247130520513</v>
      </c>
    </row>
    <row r="1242" spans="2:2" ht="15.6">
      <c r="B1242" s="197">
        <v>18.25215374678125</v>
      </c>
    </row>
    <row r="1243" spans="2:2" ht="15.6">
      <c r="B1243" s="197">
        <v>18.10367639807502</v>
      </c>
    </row>
    <row r="1244" spans="2:2" ht="15.6">
      <c r="B1244" s="197">
        <v>18.023059688115765</v>
      </c>
    </row>
    <row r="1245" spans="2:2" ht="15.6">
      <c r="B1245" s="197">
        <v>18.157980215969243</v>
      </c>
    </row>
    <row r="1246" spans="2:2" ht="15.6">
      <c r="B1246" s="197">
        <v>18.353230661639333</v>
      </c>
    </row>
    <row r="1247" spans="2:2" ht="15.6">
      <c r="B1247" s="197">
        <v>17.758868336723786</v>
      </c>
    </row>
    <row r="1248" spans="2:2" ht="15.6">
      <c r="B1248" s="197">
        <v>18.22791628926544</v>
      </c>
    </row>
    <row r="1249" spans="2:2" ht="15.6">
      <c r="B1249" s="197">
        <v>17.964659238116248</v>
      </c>
    </row>
    <row r="1250" spans="2:2" ht="15.6">
      <c r="B1250" s="197">
        <v>18.026287396454773</v>
      </c>
    </row>
    <row r="1251" spans="2:2" ht="15.6">
      <c r="B1251" s="197">
        <v>17.783206639103184</v>
      </c>
    </row>
    <row r="1252" spans="2:2" ht="15.6">
      <c r="B1252" s="197">
        <v>18.081485383059842</v>
      </c>
    </row>
    <row r="1253" spans="2:2" ht="15.6">
      <c r="B1253" s="197">
        <v>18.408979335705361</v>
      </c>
    </row>
    <row r="1254" spans="2:2" ht="15.6">
      <c r="B1254" s="197">
        <v>18.342312851758908</v>
      </c>
    </row>
    <row r="1255" spans="2:2" ht="15.6">
      <c r="B1255" s="197">
        <v>18.180943116992932</v>
      </c>
    </row>
    <row r="1256" spans="2:2" ht="15.6">
      <c r="B1256" s="197">
        <v>18.29213219269915</v>
      </c>
    </row>
    <row r="1257" spans="2:2" ht="15.6">
      <c r="B1257" s="197">
        <v>18.136436244121551</v>
      </c>
    </row>
    <row r="1258" spans="2:2" ht="15.6">
      <c r="B1258" s="197">
        <v>17.936509873573392</v>
      </c>
    </row>
    <row r="1259" spans="2:2" ht="15.6">
      <c r="B1259" s="197">
        <v>17.984809776225699</v>
      </c>
    </row>
    <row r="1260" spans="2:2" ht="15.6">
      <c r="B1260" s="197">
        <v>18.114848063379458</v>
      </c>
    </row>
    <row r="1261" spans="2:2" ht="15.6">
      <c r="B1261" s="197">
        <v>18.198282329100632</v>
      </c>
    </row>
    <row r="1262" spans="2:2" ht="15.6">
      <c r="B1262" s="197">
        <v>18.396978635875218</v>
      </c>
    </row>
    <row r="1263" spans="2:2" ht="15.6">
      <c r="B1263" s="197">
        <v>17.966218577837093</v>
      </c>
    </row>
    <row r="1264" spans="2:2" ht="15.6">
      <c r="B1264" s="197">
        <v>18.047896457015021</v>
      </c>
    </row>
    <row r="1265" spans="2:2" ht="15.6">
      <c r="B1265" s="197">
        <v>18.006711603008263</v>
      </c>
    </row>
    <row r="1266" spans="2:2" ht="15.6">
      <c r="B1266" s="197">
        <v>18.153608142895244</v>
      </c>
    </row>
    <row r="1267" spans="2:2" ht="15.6">
      <c r="B1267" s="197">
        <v>18.159544251916977</v>
      </c>
    </row>
    <row r="1268" spans="2:2" ht="15.6">
      <c r="B1268" s="197">
        <v>17.94946662372956</v>
      </c>
    </row>
    <row r="1269" spans="2:2" ht="15.6">
      <c r="B1269" s="197">
        <v>18.06546837585514</v>
      </c>
    </row>
    <row r="1270" spans="2:2" ht="15.6">
      <c r="B1270" s="197">
        <v>18.420013586295276</v>
      </c>
    </row>
    <row r="1271" spans="2:2" ht="15.6">
      <c r="B1271" s="197">
        <v>17.978680371877978</v>
      </c>
    </row>
    <row r="1272" spans="2:2" ht="15.6">
      <c r="B1272" s="197">
        <v>18.142008017213517</v>
      </c>
    </row>
    <row r="1273" spans="2:2" ht="15.6">
      <c r="B1273" s="197">
        <v>18.22241095300862</v>
      </c>
    </row>
    <row r="1274" spans="2:2" ht="15.6">
      <c r="B1274" s="197">
        <v>17.732306435380362</v>
      </c>
    </row>
    <row r="1275" spans="2:2" ht="15.6">
      <c r="B1275" s="197">
        <v>18.551342120986721</v>
      </c>
    </row>
    <row r="1276" spans="2:2" ht="15.6">
      <c r="B1276" s="197">
        <v>17.875152508748073</v>
      </c>
    </row>
    <row r="1277" spans="2:2" ht="15.6">
      <c r="B1277" s="197">
        <v>18.094148554789697</v>
      </c>
    </row>
    <row r="1278" spans="2:2" ht="15.6">
      <c r="B1278" s="197">
        <v>18.065680532787397</v>
      </c>
    </row>
    <row r="1279" spans="2:2" ht="15.6">
      <c r="B1279" s="197">
        <v>18.338608860970115</v>
      </c>
    </row>
    <row r="1280" spans="2:2" ht="15.6">
      <c r="B1280" s="197">
        <v>18.497325345732747</v>
      </c>
    </row>
    <row r="1281" spans="2:2" ht="15.6">
      <c r="B1281" s="197">
        <v>18.119244788448142</v>
      </c>
    </row>
    <row r="1282" spans="2:2" ht="15.6">
      <c r="B1282" s="197">
        <v>17.82396188609459</v>
      </c>
    </row>
    <row r="1283" spans="2:2" ht="15.6">
      <c r="B1283" s="197">
        <v>17.987226839523228</v>
      </c>
    </row>
    <row r="1284" spans="2:2" ht="15.6">
      <c r="B1284" s="197">
        <v>18.09074187791294</v>
      </c>
    </row>
    <row r="1285" spans="2:2" ht="15.6">
      <c r="B1285" s="197">
        <v>18.47735457411741</v>
      </c>
    </row>
    <row r="1286" spans="2:2" ht="15.6">
      <c r="B1286" s="197">
        <v>18.015765972729383</v>
      </c>
    </row>
    <row r="1287" spans="2:2" ht="15.6">
      <c r="B1287" s="197">
        <v>18.287538314427671</v>
      </c>
    </row>
    <row r="1288" spans="2:2" ht="15.6">
      <c r="B1288" s="197">
        <v>17.790022706829912</v>
      </c>
    </row>
    <row r="1289" spans="2:2" ht="15.6">
      <c r="B1289" s="197">
        <v>18.158937810871929</v>
      </c>
    </row>
    <row r="1290" spans="2:2" ht="15.6">
      <c r="B1290" s="197">
        <v>18.273427519671838</v>
      </c>
    </row>
    <row r="1291" spans="2:2" ht="15.6">
      <c r="B1291" s="197">
        <v>18.081170039223846</v>
      </c>
    </row>
    <row r="1292" spans="2:2" ht="15.6">
      <c r="B1292" s="197">
        <v>18.179782783558938</v>
      </c>
    </row>
    <row r="1293" spans="2:2" ht="15.6">
      <c r="B1293" s="197">
        <v>17.914706823969048</v>
      </c>
    </row>
    <row r="1294" spans="2:2" ht="15.6">
      <c r="B1294" s="197">
        <v>18.268532311220891</v>
      </c>
    </row>
    <row r="1295" spans="2:2" ht="15.6">
      <c r="B1295" s="197">
        <v>18.144249362519627</v>
      </c>
    </row>
    <row r="1296" spans="2:2" ht="15.6">
      <c r="B1296" s="197">
        <v>17.992266756663643</v>
      </c>
    </row>
    <row r="1297" spans="2:2" ht="15.6">
      <c r="B1297" s="197">
        <v>18.202051649577374</v>
      </c>
    </row>
    <row r="1298" spans="2:2" ht="15.6">
      <c r="B1298" s="197">
        <v>18.308718309069871</v>
      </c>
    </row>
    <row r="1299" spans="2:2" ht="15.6">
      <c r="B1299" s="197">
        <v>18.277186136466497</v>
      </c>
    </row>
    <row r="1300" spans="2:2" ht="15.6">
      <c r="B1300" s="197">
        <v>18.159979975758624</v>
      </c>
    </row>
    <row r="1301" spans="2:2" ht="15.6">
      <c r="B1301" s="197">
        <v>18.527326276530495</v>
      </c>
    </row>
    <row r="1302" spans="2:2" ht="15.6">
      <c r="B1302" s="197">
        <v>18.347344659828476</v>
      </c>
    </row>
    <row r="1303" spans="2:2" ht="15.6">
      <c r="B1303" s="197">
        <v>18.134765520237497</v>
      </c>
    </row>
    <row r="1304" spans="2:2" ht="15.6">
      <c r="B1304" s="197">
        <v>17.790391998567351</v>
      </c>
    </row>
    <row r="1305" spans="2:2" ht="15.6">
      <c r="B1305" s="197">
        <v>18.114012782492516</v>
      </c>
    </row>
    <row r="1306" spans="2:2" ht="15.6">
      <c r="B1306" s="197">
        <v>17.972986632173939</v>
      </c>
    </row>
    <row r="1307" spans="2:2" ht="15.6">
      <c r="B1307" s="197">
        <v>18.308408964431113</v>
      </c>
    </row>
    <row r="1308" spans="2:2" ht="15.6">
      <c r="B1308" s="197">
        <v>18.189242629116499</v>
      </c>
    </row>
    <row r="1309" spans="2:2" ht="15.6">
      <c r="B1309" s="197">
        <v>18.005869454249336</v>
      </c>
    </row>
    <row r="1310" spans="2:2" ht="15.6">
      <c r="B1310" s="197">
        <v>17.922364299158247</v>
      </c>
    </row>
    <row r="1311" spans="2:2" ht="15.6">
      <c r="B1311" s="197">
        <v>18.2280464873031</v>
      </c>
    </row>
    <row r="1312" spans="2:2" ht="15.6">
      <c r="B1312" s="197">
        <v>18.183540802982044</v>
      </c>
    </row>
    <row r="1313" spans="2:2" ht="15.6">
      <c r="B1313" s="197">
        <v>18.093042735914938</v>
      </c>
    </row>
    <row r="1314" spans="2:2" ht="15.6">
      <c r="B1314" s="197">
        <v>18.072859207047873</v>
      </c>
    </row>
    <row r="1315" spans="2:2" ht="15.6">
      <c r="B1315" s="197">
        <v>17.982562628327862</v>
      </c>
    </row>
    <row r="1316" spans="2:2" ht="15.6">
      <c r="B1316" s="197">
        <v>18.202651599248444</v>
      </c>
    </row>
    <row r="1317" spans="2:2" ht="15.6">
      <c r="B1317" s="197">
        <v>18.340475344007199</v>
      </c>
    </row>
    <row r="1318" spans="2:2" ht="15.6">
      <c r="B1318" s="197">
        <v>18.227875743158091</v>
      </c>
    </row>
    <row r="1319" spans="2:2" ht="15.6">
      <c r="B1319" s="197">
        <v>18.196397769392913</v>
      </c>
    </row>
    <row r="1320" spans="2:2" ht="15.6">
      <c r="B1320" s="197">
        <v>17.972986090504072</v>
      </c>
    </row>
    <row r="1321" spans="2:2" ht="15.6">
      <c r="B1321" s="197">
        <v>18.174810300260155</v>
      </c>
    </row>
    <row r="1322" spans="2:2" ht="15.6">
      <c r="B1322" s="197">
        <v>17.845185801283552</v>
      </c>
    </row>
    <row r="1323" spans="2:2" ht="15.6">
      <c r="B1323" s="197">
        <v>18.197709616287916</v>
      </c>
    </row>
    <row r="1324" spans="2:2" ht="15.6">
      <c r="B1324" s="197">
        <v>18.067675734105336</v>
      </c>
    </row>
    <row r="1325" spans="2:2" ht="15.6">
      <c r="B1325" s="197">
        <v>18.230883945554364</v>
      </c>
    </row>
    <row r="1326" spans="2:2" ht="15.6">
      <c r="B1326" s="197">
        <v>18.403139105814336</v>
      </c>
    </row>
    <row r="1327" spans="2:2" ht="15.6">
      <c r="B1327" s="197">
        <v>18.006087718763887</v>
      </c>
    </row>
    <row r="1328" spans="2:2" ht="15.6">
      <c r="B1328" s="197">
        <v>18.270117597258295</v>
      </c>
    </row>
    <row r="1329" spans="2:2" ht="15.6">
      <c r="B1329" s="197">
        <v>18.185183190870948</v>
      </c>
    </row>
    <row r="1330" spans="2:2" ht="15.6">
      <c r="B1330" s="197">
        <v>18.20339418408178</v>
      </c>
    </row>
    <row r="1331" spans="2:2" ht="15.6">
      <c r="B1331" s="197">
        <v>17.975868064692204</v>
      </c>
    </row>
    <row r="1332" spans="2:2" ht="15.6">
      <c r="B1332" s="197">
        <v>18.231820669244119</v>
      </c>
    </row>
    <row r="1333" spans="2:2" ht="15.6">
      <c r="B1333" s="197">
        <v>17.846565133243654</v>
      </c>
    </row>
    <row r="1334" spans="2:2" ht="15.6">
      <c r="B1334" s="197">
        <v>18.178137416942381</v>
      </c>
    </row>
    <row r="1335" spans="2:2" ht="15.6">
      <c r="B1335" s="197">
        <v>18.419053543866365</v>
      </c>
    </row>
    <row r="1336" spans="2:2" ht="15.6">
      <c r="B1336" s="197">
        <v>17.914950183020316</v>
      </c>
    </row>
    <row r="1337" spans="2:2" ht="15.6">
      <c r="B1337" s="197">
        <v>18.181399152660369</v>
      </c>
    </row>
    <row r="1338" spans="2:2" ht="15.6">
      <c r="B1338" s="197">
        <v>18.108782465894123</v>
      </c>
    </row>
    <row r="1339" spans="2:2" ht="15.6">
      <c r="B1339" s="197">
        <v>18.020394120430304</v>
      </c>
    </row>
    <row r="1340" spans="2:2" ht="15.6">
      <c r="B1340" s="197">
        <v>18.502653132214324</v>
      </c>
    </row>
    <row r="1341" spans="2:2" ht="15.6">
      <c r="B1341" s="197">
        <v>18.227583328904458</v>
      </c>
    </row>
    <row r="1342" spans="2:2" ht="15.6">
      <c r="B1342" s="197">
        <v>18.32584021963018</v>
      </c>
    </row>
    <row r="1343" spans="2:2" ht="15.6">
      <c r="B1343" s="197">
        <v>17.971891899008778</v>
      </c>
    </row>
    <row r="1344" spans="2:2" ht="15.6">
      <c r="B1344" s="197">
        <v>18.539321803256058</v>
      </c>
    </row>
    <row r="1345" spans="2:2" ht="15.6">
      <c r="B1345" s="197">
        <v>18.128795782716839</v>
      </c>
    </row>
    <row r="1346" spans="2:2" ht="15.6">
      <c r="B1346" s="197">
        <v>17.797844085414077</v>
      </c>
    </row>
    <row r="1347" spans="2:2" ht="15.6">
      <c r="B1347" s="197">
        <v>17.992010405947774</v>
      </c>
    </row>
    <row r="1348" spans="2:2" ht="15.6">
      <c r="B1348" s="197">
        <v>18.457186422899099</v>
      </c>
    </row>
    <row r="1349" spans="2:2" ht="15.6">
      <c r="B1349" s="197">
        <v>18.175690375653289</v>
      </c>
    </row>
    <row r="1350" spans="2:2" ht="15.6">
      <c r="B1350" s="197">
        <v>17.809239500224731</v>
      </c>
    </row>
    <row r="1351" spans="2:2" ht="15.6">
      <c r="B1351" s="197">
        <v>18.345690539745579</v>
      </c>
    </row>
    <row r="1352" spans="2:2" ht="15.6">
      <c r="B1352" s="197">
        <v>17.955041830150954</v>
      </c>
    </row>
    <row r="1353" spans="2:2" ht="15.6">
      <c r="B1353" s="197">
        <v>17.744679078233268</v>
      </c>
    </row>
    <row r="1354" spans="2:2" ht="15.6">
      <c r="B1354" s="197">
        <v>18.244591968615609</v>
      </c>
    </row>
    <row r="1355" spans="2:2" ht="15.6">
      <c r="B1355" s="197">
        <v>17.820302467392374</v>
      </c>
    </row>
    <row r="1356" spans="2:2" ht="15.6">
      <c r="B1356" s="197">
        <v>18.040307954844288</v>
      </c>
    </row>
    <row r="1357" spans="2:2" ht="15.6">
      <c r="B1357" s="197">
        <v>18.227382386726557</v>
      </c>
    </row>
    <row r="1358" spans="2:2" ht="15.6">
      <c r="B1358" s="197">
        <v>18.079429924860975</v>
      </c>
    </row>
    <row r="1359" spans="2:2" ht="15.6">
      <c r="B1359" s="197">
        <v>18.18555723434665</v>
      </c>
    </row>
    <row r="1360" spans="2:2" ht="15.6">
      <c r="B1360" s="197">
        <v>18.1310636881737</v>
      </c>
    </row>
    <row r="1361" spans="2:2" ht="15.6">
      <c r="B1361" s="197">
        <v>18.093647198241747</v>
      </c>
    </row>
    <row r="1362" spans="2:2" ht="15.6">
      <c r="B1362" s="197">
        <v>18.300875751478859</v>
      </c>
    </row>
    <row r="1363" spans="2:2" ht="15.6">
      <c r="B1363" s="197">
        <v>18.514647500388083</v>
      </c>
    </row>
    <row r="1364" spans="2:2" ht="15.6">
      <c r="B1364" s="197">
        <v>17.811984682775989</v>
      </c>
    </row>
    <row r="1365" spans="2:2" ht="15.6">
      <c r="B1365" s="197">
        <v>18.185268113363939</v>
      </c>
    </row>
    <row r="1366" spans="2:2" ht="15.6">
      <c r="B1366" s="197">
        <v>18.089377662224681</v>
      </c>
    </row>
    <row r="1367" spans="2:2" ht="15.6">
      <c r="B1367" s="197">
        <v>18.261160335655124</v>
      </c>
    </row>
    <row r="1368" spans="2:2" ht="15.6">
      <c r="B1368" s="197">
        <v>17.999385927651574</v>
      </c>
    </row>
    <row r="1369" spans="2:2" ht="15.6">
      <c r="B1369" s="197">
        <v>18.097455064745663</v>
      </c>
    </row>
    <row r="1370" spans="2:2" ht="15.6">
      <c r="B1370" s="197">
        <v>18.373989132822629</v>
      </c>
    </row>
    <row r="1371" spans="2:2" ht="15.6">
      <c r="B1371" s="197">
        <v>18.074317078793548</v>
      </c>
    </row>
    <row r="1372" spans="2:2" ht="15.6">
      <c r="B1372" s="197">
        <v>18.252732125745567</v>
      </c>
    </row>
    <row r="1373" spans="2:2" ht="15.6">
      <c r="B1373" s="197">
        <v>18.266966742326197</v>
      </c>
    </row>
    <row r="1374" spans="2:2" ht="15.6">
      <c r="B1374" s="197">
        <v>18.288651226103408</v>
      </c>
    </row>
    <row r="1375" spans="2:2" ht="15.6">
      <c r="B1375" s="197">
        <v>17.891929159816385</v>
      </c>
    </row>
    <row r="1376" spans="2:2" ht="15.6">
      <c r="B1376" s="197">
        <v>18.155473191354883</v>
      </c>
    </row>
    <row r="1377" spans="2:2" ht="15.6">
      <c r="B1377" s="197">
        <v>18.039564569460648</v>
      </c>
    </row>
    <row r="1378" spans="2:2" ht="15.6">
      <c r="B1378" s="197">
        <v>18.161290096713483</v>
      </c>
    </row>
    <row r="1379" spans="2:2" ht="15.6">
      <c r="B1379" s="197">
        <v>17.936283925768514</v>
      </c>
    </row>
    <row r="1380" spans="2:2" ht="15.6">
      <c r="B1380" s="197">
        <v>18.275445387422813</v>
      </c>
    </row>
    <row r="1381" spans="2:2" ht="15.6">
      <c r="B1381" s="197">
        <v>17.881027858166739</v>
      </c>
    </row>
    <row r="1382" spans="2:2" ht="15.6">
      <c r="B1382" s="197">
        <v>18.291443283864453</v>
      </c>
    </row>
    <row r="1383" spans="2:2" ht="15.6">
      <c r="B1383" s="197">
        <v>18.214368838307649</v>
      </c>
    </row>
    <row r="1384" spans="2:2" ht="15.6">
      <c r="B1384" s="197">
        <v>18.148199331741626</v>
      </c>
    </row>
    <row r="1385" spans="2:2" ht="15.6">
      <c r="B1385" s="197">
        <v>18.395534042614205</v>
      </c>
    </row>
    <row r="1386" spans="2:2" ht="15.6">
      <c r="B1386" s="197">
        <v>18.498395271944375</v>
      </c>
    </row>
    <row r="1387" spans="2:2" ht="15.6">
      <c r="B1387" s="197">
        <v>18.202671001813435</v>
      </c>
    </row>
    <row r="1388" spans="2:2" ht="15.6">
      <c r="B1388" s="197">
        <v>17.76849936653219</v>
      </c>
    </row>
    <row r="1389" spans="2:2" ht="15.6">
      <c r="B1389" s="197">
        <v>17.771808992471765</v>
      </c>
    </row>
    <row r="1390" spans="2:2" ht="15.6">
      <c r="B1390" s="197">
        <v>18.25965208764207</v>
      </c>
    </row>
    <row r="1391" spans="2:2" ht="15.6">
      <c r="B1391" s="197">
        <v>18.141507265880254</v>
      </c>
    </row>
    <row r="1392" spans="2:2" ht="15.6">
      <c r="B1392" s="197">
        <v>18.151109242892776</v>
      </c>
    </row>
    <row r="1393" spans="2:2" ht="15.6">
      <c r="B1393" s="197">
        <v>18.177601987116553</v>
      </c>
    </row>
    <row r="1394" spans="2:2" ht="15.6">
      <c r="B1394" s="197">
        <v>18.145603807375974</v>
      </c>
    </row>
    <row r="1395" spans="2:2" ht="15.6">
      <c r="B1395" s="197">
        <v>18.300693063700074</v>
      </c>
    </row>
    <row r="1396" spans="2:2" ht="15.6">
      <c r="B1396" s="197">
        <v>17.838007440741418</v>
      </c>
    </row>
    <row r="1397" spans="2:2" ht="15.6">
      <c r="B1397" s="197">
        <v>18.4631303905892</v>
      </c>
    </row>
    <row r="1398" spans="2:2" ht="15.6">
      <c r="B1398" s="197">
        <v>18.343607274639169</v>
      </c>
    </row>
    <row r="1399" spans="2:2" ht="15.6">
      <c r="B1399" s="197">
        <v>17.868737486742589</v>
      </c>
    </row>
    <row r="1400" spans="2:2" ht="15.6">
      <c r="B1400" s="197">
        <v>18.271039609286671</v>
      </c>
    </row>
    <row r="1401" spans="2:2" ht="15.6">
      <c r="B1401" s="197">
        <v>18.329131275044308</v>
      </c>
    </row>
    <row r="1402" spans="2:2" ht="15.6">
      <c r="B1402" s="197">
        <v>18.191127017616143</v>
      </c>
    </row>
    <row r="1403" spans="2:2" ht="15.6">
      <c r="B1403" s="197">
        <v>18.093669369164058</v>
      </c>
    </row>
    <row r="1404" spans="2:2" ht="15.6">
      <c r="B1404" s="197">
        <v>18.327299089396824</v>
      </c>
    </row>
    <row r="1405" spans="2:2" ht="15.6">
      <c r="B1405" s="197">
        <v>17.856242383527068</v>
      </c>
    </row>
    <row r="1406" spans="2:2" ht="15.6">
      <c r="B1406" s="197">
        <v>18.108306369220539</v>
      </c>
    </row>
    <row r="1407" spans="2:2" ht="15.6">
      <c r="B1407" s="197">
        <v>18.173631124799627</v>
      </c>
    </row>
    <row r="1408" spans="2:2" ht="15.6">
      <c r="B1408" s="197">
        <v>18.244128251141515</v>
      </c>
    </row>
    <row r="1409" spans="2:2" ht="15.6">
      <c r="B1409" s="197">
        <v>17.880508069606059</v>
      </c>
    </row>
    <row r="1410" spans="2:2" ht="15.6">
      <c r="B1410" s="197">
        <v>18.370197442252572</v>
      </c>
    </row>
    <row r="1411" spans="2:2" ht="15.6">
      <c r="B1411" s="197">
        <v>17.896304727146074</v>
      </c>
    </row>
    <row r="1412" spans="2:2" ht="15.6">
      <c r="B1412" s="197">
        <v>18.098549321464663</v>
      </c>
    </row>
    <row r="1413" spans="2:2" ht="15.6">
      <c r="B1413" s="197">
        <v>17.934819437532276</v>
      </c>
    </row>
    <row r="1414" spans="2:2" ht="15.6">
      <c r="B1414" s="197">
        <v>18.22202537543064</v>
      </c>
    </row>
    <row r="1415" spans="2:2" ht="15.6">
      <c r="B1415" s="197">
        <v>18.191678897575002</v>
      </c>
    </row>
    <row r="1416" spans="2:2" ht="15.6">
      <c r="B1416" s="197">
        <v>18.026994289559539</v>
      </c>
    </row>
    <row r="1417" spans="2:2" ht="15.6">
      <c r="B1417" s="197">
        <v>17.706403757805205</v>
      </c>
    </row>
    <row r="1418" spans="2:2" ht="15.6">
      <c r="B1418" s="197">
        <v>18.000512066630485</v>
      </c>
    </row>
    <row r="1419" spans="2:2" ht="15.6">
      <c r="B1419" s="197">
        <v>18.239511496581923</v>
      </c>
    </row>
    <row r="1420" spans="2:2" ht="15.6">
      <c r="B1420" s="197">
        <v>18.099821233040714</v>
      </c>
    </row>
    <row r="1421" spans="2:2" ht="15.6">
      <c r="B1421" s="197">
        <v>17.902616150610715</v>
      </c>
    </row>
    <row r="1422" spans="2:2" ht="15.6">
      <c r="B1422" s="197">
        <v>18.247865433673525</v>
      </c>
    </row>
    <row r="1423" spans="2:2" ht="15.6">
      <c r="B1423" s="197">
        <v>17.944998363519481</v>
      </c>
    </row>
    <row r="1424" spans="2:2" ht="15.6">
      <c r="B1424" s="197">
        <v>18.042433425583607</v>
      </c>
    </row>
    <row r="1425" spans="2:2" ht="15.6">
      <c r="B1425" s="197">
        <v>18.359633541412197</v>
      </c>
    </row>
    <row r="1426" spans="2:2" ht="15.6">
      <c r="B1426" s="197">
        <v>18.249296854237677</v>
      </c>
    </row>
    <row r="1427" spans="2:2" ht="15.6">
      <c r="B1427" s="197">
        <v>18.196771868423092</v>
      </c>
    </row>
    <row r="1428" spans="2:2" ht="15.6">
      <c r="B1428" s="197">
        <v>18.474989494862974</v>
      </c>
    </row>
    <row r="1429" spans="2:2" ht="15.6">
      <c r="B1429" s="197">
        <v>18.356741318144881</v>
      </c>
    </row>
    <row r="1430" spans="2:2" ht="15.6">
      <c r="B1430" s="197">
        <v>18.218121632035992</v>
      </c>
    </row>
    <row r="1431" spans="2:2" ht="15.6">
      <c r="B1431" s="197">
        <v>18.083507268328525</v>
      </c>
    </row>
    <row r="1432" spans="2:2" ht="15.6">
      <c r="B1432" s="197">
        <v>18.468751732818482</v>
      </c>
    </row>
    <row r="1433" spans="2:2" ht="15.6">
      <c r="B1433" s="197">
        <v>18.390036525855514</v>
      </c>
    </row>
    <row r="1434" spans="2:2" ht="15.6">
      <c r="B1434" s="197">
        <v>18.134242851101437</v>
      </c>
    </row>
    <row r="1435" spans="2:2" ht="15.6">
      <c r="B1435" s="197">
        <v>18.312555712492649</v>
      </c>
    </row>
    <row r="1436" spans="2:2" ht="15.6">
      <c r="B1436" s="197">
        <v>18.074194581155453</v>
      </c>
    </row>
    <row r="1437" spans="2:2" ht="15.6">
      <c r="B1437" s="197">
        <v>18.221188810640889</v>
      </c>
    </row>
    <row r="1438" spans="2:2" ht="15.6">
      <c r="B1438" s="197">
        <v>18.465954238765988</v>
      </c>
    </row>
    <row r="1439" spans="2:2" ht="15.6">
      <c r="B1439" s="197">
        <v>18.145881402530538</v>
      </c>
    </row>
    <row r="1440" spans="2:2" ht="15.6">
      <c r="B1440" s="197">
        <v>17.971741634411064</v>
      </c>
    </row>
    <row r="1441" spans="2:2" ht="15.6">
      <c r="B1441" s="197">
        <v>18.554240868585801</v>
      </c>
    </row>
    <row r="1442" spans="2:2" ht="15.6">
      <c r="B1442" s="197">
        <v>18.334832519939564</v>
      </c>
    </row>
    <row r="1443" spans="2:2" ht="15.6">
      <c r="B1443" s="197">
        <v>18.279091661096079</v>
      </c>
    </row>
    <row r="1444" spans="2:2" ht="15.6">
      <c r="B1444" s="197">
        <v>17.850590443764556</v>
      </c>
    </row>
    <row r="1445" spans="2:2" ht="15.6">
      <c r="B1445" s="197">
        <v>18.529308113762784</v>
      </c>
    </row>
    <row r="1446" spans="2:2" ht="15.6">
      <c r="B1446" s="197">
        <v>18.008463612581682</v>
      </c>
    </row>
    <row r="1447" spans="2:2" ht="15.6">
      <c r="B1447" s="197">
        <v>17.883434947602154</v>
      </c>
    </row>
    <row r="1448" spans="2:2" ht="15.6">
      <c r="B1448" s="197">
        <v>18.110392682935224</v>
      </c>
    </row>
    <row r="1449" spans="2:2" ht="15.6">
      <c r="B1449" s="197">
        <v>18.223118210592528</v>
      </c>
    </row>
    <row r="1450" spans="2:2" ht="15.6">
      <c r="B1450" s="197">
        <v>18.501132494458517</v>
      </c>
    </row>
    <row r="1451" spans="2:2" ht="15.6">
      <c r="B1451" s="197">
        <v>17.895326584254342</v>
      </c>
    </row>
    <row r="1452" spans="2:2" ht="15.6">
      <c r="B1452" s="197">
        <v>18.407593933249945</v>
      </c>
    </row>
    <row r="1453" spans="2:2" ht="15.6">
      <c r="B1453" s="197">
        <v>18.254947589776741</v>
      </c>
    </row>
    <row r="1454" spans="2:2" ht="15.6">
      <c r="B1454" s="197">
        <v>18.2854138339688</v>
      </c>
    </row>
    <row r="1455" spans="2:2" ht="15.6">
      <c r="B1455" s="197">
        <v>18.088799695962571</v>
      </c>
    </row>
    <row r="1456" spans="2:2" ht="15.6">
      <c r="B1456" s="197">
        <v>18.256402893505115</v>
      </c>
    </row>
    <row r="1457" spans="2:2" ht="15.6">
      <c r="B1457" s="197">
        <v>18.147166649626794</v>
      </c>
    </row>
    <row r="1458" spans="2:2" ht="15.6">
      <c r="B1458" s="197">
        <v>18.272481241204375</v>
      </c>
    </row>
    <row r="1459" spans="2:2" ht="15.6">
      <c r="B1459" s="197">
        <v>17.870915879993817</v>
      </c>
    </row>
    <row r="1460" spans="2:2" ht="15.6">
      <c r="B1460" s="197">
        <v>18.238439674423688</v>
      </c>
    </row>
    <row r="1461" spans="2:2" ht="15.6">
      <c r="B1461" s="197">
        <v>17.842742827122283</v>
      </c>
    </row>
    <row r="1462" spans="2:2" ht="15.6">
      <c r="B1462" s="197">
        <v>17.95942997020871</v>
      </c>
    </row>
    <row r="1463" spans="2:2" ht="15.6">
      <c r="B1463" s="197">
        <v>18.048053629999636</v>
      </c>
    </row>
    <row r="1464" spans="2:2" ht="15.6">
      <c r="B1464" s="197">
        <v>18.511795592136448</v>
      </c>
    </row>
    <row r="1465" spans="2:2" ht="15.6">
      <c r="B1465" s="197">
        <v>18.287146317912292</v>
      </c>
    </row>
    <row r="1466" spans="2:2" ht="15.6">
      <c r="B1466" s="197">
        <v>17.988780612618697</v>
      </c>
    </row>
    <row r="1467" spans="2:2" ht="15.6">
      <c r="B1467" s="197">
        <v>18.045834220979046</v>
      </c>
    </row>
    <row r="1468" spans="2:2" ht="15.6">
      <c r="B1468" s="197">
        <v>18.098392421719502</v>
      </c>
    </row>
    <row r="1469" spans="2:2" ht="15.6">
      <c r="B1469" s="197">
        <v>18.06110231131488</v>
      </c>
    </row>
    <row r="1470" spans="2:2" ht="15.6">
      <c r="B1470" s="197">
        <v>18.257534913812183</v>
      </c>
    </row>
    <row r="1471" spans="2:2" ht="15.6">
      <c r="B1471" s="197">
        <v>18.20174827253938</v>
      </c>
    </row>
    <row r="1472" spans="2:2" ht="15.6">
      <c r="B1472" s="197">
        <v>18.001149605782491</v>
      </c>
    </row>
    <row r="1473" spans="2:2" ht="15.6">
      <c r="B1473" s="197">
        <v>18.18466845440355</v>
      </c>
    </row>
    <row r="1474" spans="2:2" ht="15.6">
      <c r="B1474" s="197">
        <v>17.986047530412478</v>
      </c>
    </row>
    <row r="1475" spans="2:2" ht="15.6">
      <c r="B1475" s="197">
        <v>18.086091253133308</v>
      </c>
    </row>
    <row r="1476" spans="2:2" ht="15.6">
      <c r="B1476" s="197">
        <v>18.310004596978001</v>
      </c>
    </row>
    <row r="1477" spans="2:2" ht="15.6">
      <c r="B1477" s="197">
        <v>18.243084821779775</v>
      </c>
    </row>
    <row r="1478" spans="2:2" ht="15.6">
      <c r="B1478" s="197">
        <v>17.980697788058666</v>
      </c>
    </row>
    <row r="1479" spans="2:2" ht="15.6">
      <c r="B1479" s="197">
        <v>18.191302724032219</v>
      </c>
    </row>
    <row r="1480" spans="2:2" ht="15.6">
      <c r="B1480" s="197">
        <v>18.170523589936437</v>
      </c>
    </row>
    <row r="1481" spans="2:2" ht="15.6">
      <c r="B1481" s="197">
        <v>18.206416743065674</v>
      </c>
    </row>
    <row r="1482" spans="2:2" ht="15.6">
      <c r="B1482" s="197">
        <v>18.003800279587729</v>
      </c>
    </row>
    <row r="1483" spans="2:2" ht="15.6">
      <c r="B1483" s="197">
        <v>17.997089066947328</v>
      </c>
    </row>
    <row r="1484" spans="2:2" ht="15.6">
      <c r="B1484" s="197">
        <v>18.127694102380808</v>
      </c>
    </row>
    <row r="1485" spans="2:2" ht="15.6">
      <c r="B1485" s="197">
        <v>18.176945735116142</v>
      </c>
    </row>
    <row r="1486" spans="2:2" ht="15.6">
      <c r="B1486" s="197">
        <v>18.006512705923488</v>
      </c>
    </row>
    <row r="1487" spans="2:2" ht="15.6">
      <c r="B1487" s="197">
        <v>18.169297998552668</v>
      </c>
    </row>
    <row r="1488" spans="2:2" ht="15.6">
      <c r="B1488" s="197">
        <v>18.353248973973265</v>
      </c>
    </row>
    <row r="1489" spans="2:2" ht="15.6">
      <c r="B1489" s="197">
        <v>18.223771593996215</v>
      </c>
    </row>
    <row r="1490" spans="2:2" ht="15.6">
      <c r="B1490" s="197">
        <v>17.998470139401665</v>
      </c>
    </row>
    <row r="1491" spans="2:2" ht="15.6">
      <c r="B1491" s="197">
        <v>18.259626374828251</v>
      </c>
    </row>
    <row r="1492" spans="2:2" ht="15.6">
      <c r="B1492" s="197">
        <v>18.089612012731894</v>
      </c>
    </row>
    <row r="1493" spans="2:2" ht="15.6">
      <c r="B1493" s="197">
        <v>18.538979917523406</v>
      </c>
    </row>
    <row r="1494" spans="2:2" ht="15.6">
      <c r="B1494" s="197">
        <v>18.014428189336396</v>
      </c>
    </row>
    <row r="1495" spans="2:2" ht="15.6">
      <c r="B1495" s="197">
        <v>17.997637858108085</v>
      </c>
    </row>
    <row r="1496" spans="2:2" ht="15.6">
      <c r="B1496" s="197">
        <v>18.286779863370423</v>
      </c>
    </row>
    <row r="1497" spans="2:2" ht="15.6">
      <c r="B1497" s="197">
        <v>18.209981076830942</v>
      </c>
    </row>
    <row r="1498" spans="2:2" ht="15.6">
      <c r="B1498" s="197">
        <v>18.167305305438575</v>
      </c>
    </row>
    <row r="1499" spans="2:2" ht="15.6">
      <c r="B1499" s="197">
        <v>18.149274277287827</v>
      </c>
    </row>
    <row r="1500" spans="2:2" ht="15.6">
      <c r="B1500" s="197">
        <v>18.332694702269222</v>
      </c>
    </row>
    <row r="1501" spans="2:2" ht="15.6">
      <c r="B1501" s="197">
        <v>18.067639597463394</v>
      </c>
    </row>
    <row r="1502" spans="2:2" ht="15.6">
      <c r="B1502" s="197">
        <v>18.106976252046127</v>
      </c>
    </row>
    <row r="1503" spans="2:2" ht="15.6">
      <c r="B1503" s="197">
        <v>18.419525130022535</v>
      </c>
    </row>
    <row r="1504" spans="2:2" ht="15.6">
      <c r="B1504" s="197">
        <v>17.894766032660581</v>
      </c>
    </row>
    <row r="1505" spans="2:2" ht="15.6">
      <c r="B1505" s="197">
        <v>17.712897237025512</v>
      </c>
    </row>
    <row r="1506" spans="2:2" ht="15.6">
      <c r="B1506" s="197">
        <v>17.951866696164164</v>
      </c>
    </row>
    <row r="1507" spans="2:2" ht="15.6">
      <c r="B1507" s="197">
        <v>18.579426257548565</v>
      </c>
    </row>
    <row r="1508" spans="2:2" ht="15.6">
      <c r="B1508" s="197">
        <v>18.343879563885672</v>
      </c>
    </row>
    <row r="1509" spans="2:2" ht="15.6">
      <c r="B1509" s="197">
        <v>17.826606595105925</v>
      </c>
    </row>
    <row r="1510" spans="2:2" ht="15.6">
      <c r="B1510" s="197">
        <v>18.160343134928485</v>
      </c>
    </row>
    <row r="1511" spans="2:2" ht="15.6">
      <c r="B1511" s="197">
        <v>18.374919741414203</v>
      </c>
    </row>
    <row r="1512" spans="2:2" ht="15.6">
      <c r="B1512" s="197">
        <v>18.084894915302481</v>
      </c>
    </row>
    <row r="1513" spans="2:2" ht="15.6">
      <c r="B1513" s="197">
        <v>18.166743535063507</v>
      </c>
    </row>
    <row r="1514" spans="2:2" ht="15.6">
      <c r="B1514" s="197">
        <v>18.10657367187779</v>
      </c>
    </row>
    <row r="1515" spans="2:2" ht="15.6">
      <c r="B1515" s="197">
        <v>17.823935682621947</v>
      </c>
    </row>
    <row r="1516" spans="2:2" ht="15.6">
      <c r="B1516" s="197">
        <v>17.753626449337748</v>
      </c>
    </row>
    <row r="1517" spans="2:2" ht="15.6">
      <c r="B1517" s="197">
        <v>18.071069180660952</v>
      </c>
    </row>
    <row r="1518" spans="2:2" ht="15.6">
      <c r="B1518" s="197">
        <v>18.030146587415896</v>
      </c>
    </row>
    <row r="1519" spans="2:2" ht="15.6">
      <c r="B1519" s="197">
        <v>17.975652888412039</v>
      </c>
    </row>
    <row r="1520" spans="2:2" ht="15.6">
      <c r="B1520" s="197">
        <v>18.113865088225108</v>
      </c>
    </row>
    <row r="1521" spans="2:2" ht="15.6">
      <c r="B1521" s="197">
        <v>18.042535112521605</v>
      </c>
    </row>
    <row r="1522" spans="2:2" ht="15.6">
      <c r="B1522" s="197">
        <v>17.991020155628132</v>
      </c>
    </row>
    <row r="1523" spans="2:2" ht="15.6">
      <c r="B1523" s="197">
        <v>18.207815502559839</v>
      </c>
    </row>
    <row r="1524" spans="2:2" ht="15.6">
      <c r="B1524" s="197">
        <v>18.21286592660234</v>
      </c>
    </row>
    <row r="1525" spans="2:2" ht="15.6">
      <c r="B1525" s="197">
        <v>18.244051112349993</v>
      </c>
    </row>
    <row r="1526" spans="2:2" ht="15.6">
      <c r="B1526" s="197">
        <v>18.034389407664445</v>
      </c>
    </row>
    <row r="1527" spans="2:2" ht="15.6">
      <c r="B1527" s="197">
        <v>18.414767453757108</v>
      </c>
    </row>
    <row r="1528" spans="2:2" ht="15.6">
      <c r="B1528" s="197">
        <v>18.310478907043148</v>
      </c>
    </row>
    <row r="1529" spans="2:2" ht="15.6">
      <c r="B1529" s="197">
        <v>18.349265395068429</v>
      </c>
    </row>
    <row r="1530" spans="2:2" ht="15.6">
      <c r="B1530" s="197">
        <v>18.051036418069966</v>
      </c>
    </row>
    <row r="1531" spans="2:2" ht="15.6">
      <c r="B1531" s="197">
        <v>18.264746265007503</v>
      </c>
    </row>
    <row r="1532" spans="2:2" ht="15.6">
      <c r="B1532" s="197">
        <v>18.293873678403219</v>
      </c>
    </row>
    <row r="1533" spans="2:2" ht="15.6">
      <c r="B1533" s="197">
        <v>17.994413289542429</v>
      </c>
    </row>
    <row r="1534" spans="2:2" ht="15.6">
      <c r="B1534" s="197">
        <v>17.963611731109303</v>
      </c>
    </row>
    <row r="1535" spans="2:2" ht="15.6">
      <c r="B1535" s="197">
        <v>18.375247317653468</v>
      </c>
    </row>
    <row r="1536" spans="2:2" ht="15.6">
      <c r="B1536" s="197">
        <v>18.043518448418229</v>
      </c>
    </row>
    <row r="1537" spans="2:2" ht="15.6">
      <c r="B1537" s="197">
        <v>18.301011334642194</v>
      </c>
    </row>
    <row r="1538" spans="2:2" ht="15.6">
      <c r="B1538" s="197">
        <v>18.309720245544622</v>
      </c>
    </row>
    <row r="1539" spans="2:2" ht="15.6">
      <c r="B1539" s="197">
        <v>17.898851617599572</v>
      </c>
    </row>
    <row r="1540" spans="2:2" ht="15.6">
      <c r="B1540" s="197">
        <v>18.046184308320385</v>
      </c>
    </row>
    <row r="1541" spans="2:2" ht="15.6">
      <c r="B1541" s="197">
        <v>18.086878545053445</v>
      </c>
    </row>
    <row r="1542" spans="2:2" ht="15.6">
      <c r="B1542" s="197">
        <v>18.288463001546038</v>
      </c>
    </row>
    <row r="1543" spans="2:2" ht="15.6">
      <c r="B1543" s="197">
        <v>18.363100693295767</v>
      </c>
    </row>
    <row r="1544" spans="2:2" ht="15.6">
      <c r="B1544" s="197">
        <v>18.013555524147442</v>
      </c>
    </row>
    <row r="1545" spans="2:2" ht="15.6">
      <c r="B1545" s="197">
        <v>18.110323959051904</v>
      </c>
    </row>
    <row r="1546" spans="2:2" ht="15.6">
      <c r="B1546" s="197">
        <v>18.371872804018231</v>
      </c>
    </row>
    <row r="1547" spans="2:2" ht="15.6">
      <c r="B1547" s="197">
        <v>17.789925475040878</v>
      </c>
    </row>
    <row r="1548" spans="2:2" ht="15.6">
      <c r="B1548" s="197">
        <v>18.399511092157589</v>
      </c>
    </row>
    <row r="1549" spans="2:2" ht="15.6">
      <c r="B1549" s="197">
        <v>17.831155699769841</v>
      </c>
    </row>
    <row r="1550" spans="2:2" ht="15.6">
      <c r="B1550" s="197">
        <v>18.469965359802327</v>
      </c>
    </row>
    <row r="1551" spans="2:2" ht="15.6">
      <c r="B1551" s="197">
        <v>18.217096586973287</v>
      </c>
    </row>
    <row r="1552" spans="2:2" ht="15.6">
      <c r="B1552" s="197">
        <v>18.213687345938492</v>
      </c>
    </row>
    <row r="1553" spans="2:2" ht="15.6">
      <c r="B1553" s="197">
        <v>17.764768342083247</v>
      </c>
    </row>
    <row r="1554" spans="2:2" ht="15.6">
      <c r="B1554" s="197">
        <v>18.046982433071186</v>
      </c>
    </row>
    <row r="1555" spans="2:2" ht="15.6">
      <c r="B1555" s="197">
        <v>17.934394815685277</v>
      </c>
    </row>
    <row r="1556" spans="2:2" ht="15.6">
      <c r="B1556" s="197">
        <v>17.797934532165144</v>
      </c>
    </row>
    <row r="1557" spans="2:2" ht="15.6">
      <c r="B1557" s="197">
        <v>18.024896125033017</v>
      </c>
    </row>
    <row r="1558" spans="2:2" ht="15.6">
      <c r="B1558" s="197">
        <v>18.141786458012188</v>
      </c>
    </row>
    <row r="1559" spans="2:2" ht="15.6">
      <c r="B1559" s="197">
        <v>17.925298886455995</v>
      </c>
    </row>
    <row r="1560" spans="2:2" ht="15.6">
      <c r="B1560" s="197">
        <v>18.03372748770137</v>
      </c>
    </row>
    <row r="1561" spans="2:2" ht="15.6">
      <c r="B1561" s="197">
        <v>18.248013048264998</v>
      </c>
    </row>
    <row r="1562" spans="2:2" ht="15.6">
      <c r="B1562" s="197">
        <v>18.186836033954425</v>
      </c>
    </row>
    <row r="1563" spans="2:2" ht="15.6">
      <c r="B1563" s="197">
        <v>18.139435476409261</v>
      </c>
    </row>
    <row r="1564" spans="2:2" ht="15.6">
      <c r="B1564" s="197">
        <v>18.357326298385438</v>
      </c>
    </row>
    <row r="1565" spans="2:2" ht="15.6">
      <c r="B1565" s="197">
        <v>18.251571053470812</v>
      </c>
    </row>
    <row r="1566" spans="2:2" ht="15.6">
      <c r="B1566" s="197">
        <v>18.215405352834324</v>
      </c>
    </row>
    <row r="1567" spans="2:2" ht="15.6">
      <c r="B1567" s="197">
        <v>18.041199817881523</v>
      </c>
    </row>
    <row r="1568" spans="2:2" ht="15.6">
      <c r="B1568" s="197">
        <v>17.967526737619149</v>
      </c>
    </row>
    <row r="1569" spans="2:2" ht="15.6">
      <c r="B1569" s="197">
        <v>18.177914855570645</v>
      </c>
    </row>
    <row r="1570" spans="2:2" ht="15.6">
      <c r="B1570" s="197">
        <v>18.050929388954273</v>
      </c>
    </row>
    <row r="1571" spans="2:2" ht="15.6">
      <c r="B1571" s="197">
        <v>17.860819438251163</v>
      </c>
    </row>
    <row r="1572" spans="2:2" ht="15.6">
      <c r="B1572" s="197">
        <v>18.025653579359986</v>
      </c>
    </row>
    <row r="1573" spans="2:2" ht="15.6">
      <c r="B1573" s="197">
        <v>18.06605255036915</v>
      </c>
    </row>
    <row r="1574" spans="2:2" ht="15.6">
      <c r="B1574" s="197">
        <v>17.979859062432919</v>
      </c>
    </row>
    <row r="1575" spans="2:2" ht="15.6">
      <c r="B1575" s="197">
        <v>18.235051540267918</v>
      </c>
    </row>
    <row r="1576" spans="2:2" ht="15.6">
      <c r="B1576" s="197">
        <v>18.167171237776117</v>
      </c>
    </row>
    <row r="1577" spans="2:2" ht="15.6">
      <c r="B1577" s="197">
        <v>18.621243789318445</v>
      </c>
    </row>
    <row r="1578" spans="2:2" ht="15.6">
      <c r="B1578" s="197">
        <v>18.215157376250353</v>
      </c>
    </row>
    <row r="1579" spans="2:2" ht="15.6">
      <c r="B1579" s="197">
        <v>18.025297413201702</v>
      </c>
    </row>
    <row r="1580" spans="2:2" ht="15.6">
      <c r="B1580" s="197">
        <v>18.19932430197451</v>
      </c>
    </row>
    <row r="1581" spans="2:2" ht="15.6">
      <c r="B1581" s="197">
        <v>18.129948393543369</v>
      </c>
    </row>
    <row r="1582" spans="2:2" ht="15.6">
      <c r="B1582" s="197">
        <v>18.036841282778926</v>
      </c>
    </row>
    <row r="1583" spans="2:2" ht="15.6">
      <c r="B1583" s="197">
        <v>18.230057373886972</v>
      </c>
    </row>
    <row r="1584" spans="2:2" ht="15.6">
      <c r="B1584" s="197">
        <v>18.292955847677685</v>
      </c>
    </row>
    <row r="1585" spans="2:2" ht="15.6">
      <c r="B1585" s="197">
        <v>17.923058657673572</v>
      </c>
    </row>
    <row r="1586" spans="2:2" ht="15.6">
      <c r="B1586" s="197">
        <v>18.062702480156609</v>
      </c>
    </row>
    <row r="1587" spans="2:2" ht="15.6">
      <c r="B1587" s="197">
        <v>17.908449508117442</v>
      </c>
    </row>
    <row r="1588" spans="2:2" ht="15.6">
      <c r="B1588" s="197">
        <v>18.087349556362827</v>
      </c>
    </row>
    <row r="1589" spans="2:2" ht="15.6">
      <c r="B1589" s="197">
        <v>18.181734392222044</v>
      </c>
    </row>
    <row r="1590" spans="2:2" ht="15.6">
      <c r="B1590" s="197">
        <v>18.280478612157495</v>
      </c>
    </row>
    <row r="1591" spans="2:2" ht="15.6">
      <c r="B1591" s="197">
        <v>18.043046931029814</v>
      </c>
    </row>
    <row r="1592" spans="2:2" ht="15.6">
      <c r="B1592" s="197">
        <v>18.149488431978707</v>
      </c>
    </row>
    <row r="1593" spans="2:2" ht="15.6">
      <c r="B1593" s="197">
        <v>18.440301127424174</v>
      </c>
    </row>
    <row r="1594" spans="2:2" ht="15.6">
      <c r="B1594" s="197">
        <v>17.996710360517458</v>
      </c>
    </row>
    <row r="1595" spans="2:2" ht="15.6">
      <c r="B1595" s="197">
        <v>18.299228607600078</v>
      </c>
    </row>
    <row r="1596" spans="2:2" ht="15.6">
      <c r="B1596" s="197">
        <v>18.274590778039077</v>
      </c>
    </row>
    <row r="1597" spans="2:2" ht="15.6">
      <c r="B1597" s="197">
        <v>17.963993381587379</v>
      </c>
    </row>
    <row r="1598" spans="2:2" ht="15.6">
      <c r="B1598" s="197">
        <v>18.073146997415716</v>
      </c>
    </row>
    <row r="1599" spans="2:2" ht="15.6">
      <c r="B1599" s="197">
        <v>18.436906542323424</v>
      </c>
    </row>
    <row r="1600" spans="2:2" ht="15.6">
      <c r="B1600" s="197">
        <v>18.245327750882115</v>
      </c>
    </row>
    <row r="1601" spans="2:2" ht="15.6">
      <c r="B1601" s="197">
        <v>17.988823096541644</v>
      </c>
    </row>
    <row r="1602" spans="2:2" ht="15.6">
      <c r="B1602" s="197">
        <v>18.217146345410534</v>
      </c>
    </row>
    <row r="1603" spans="2:2" ht="15.6">
      <c r="B1603" s="197">
        <v>18.493221764815733</v>
      </c>
    </row>
    <row r="1604" spans="2:2" ht="15.6">
      <c r="B1604" s="197">
        <v>17.998623336113532</v>
      </c>
    </row>
    <row r="1605" spans="2:2" ht="15.6">
      <c r="B1605" s="197">
        <v>18.086329856427088</v>
      </c>
    </row>
    <row r="1606" spans="2:2" ht="15.6">
      <c r="B1606" s="197">
        <v>18.043828175101282</v>
      </c>
    </row>
    <row r="1607" spans="2:2" ht="15.6">
      <c r="B1607" s="197">
        <v>18.301405193808581</v>
      </c>
    </row>
    <row r="1608" spans="2:2" ht="15.6">
      <c r="B1608" s="197">
        <v>18.450509236305177</v>
      </c>
    </row>
    <row r="1609" spans="2:2" ht="15.6">
      <c r="B1609" s="197">
        <v>18.114996223631081</v>
      </c>
    </row>
    <row r="1610" spans="2:2" ht="15.6">
      <c r="B1610" s="197">
        <v>18.153331124689927</v>
      </c>
    </row>
    <row r="1611" spans="2:2" ht="15.6">
      <c r="B1611" s="197">
        <v>18.199890621224782</v>
      </c>
    </row>
    <row r="1612" spans="2:2" ht="15.6">
      <c r="B1612" s="197">
        <v>17.99144267399792</v>
      </c>
    </row>
    <row r="1613" spans="2:2" ht="15.6">
      <c r="B1613" s="197">
        <v>17.946498875442288</v>
      </c>
    </row>
    <row r="1614" spans="2:2" ht="15.6">
      <c r="B1614" s="197">
        <v>18.502194972875639</v>
      </c>
    </row>
    <row r="1615" spans="2:2" ht="15.6">
      <c r="B1615" s="197">
        <v>18.137590595347955</v>
      </c>
    </row>
    <row r="1616" spans="2:2" ht="15.6">
      <c r="B1616" s="197">
        <v>18.028736976140813</v>
      </c>
    </row>
    <row r="1617" spans="2:2" ht="15.6">
      <c r="B1617" s="197">
        <v>18.315293828016593</v>
      </c>
    </row>
    <row r="1618" spans="2:2" ht="15.6">
      <c r="B1618" s="197">
        <v>17.980051289196144</v>
      </c>
    </row>
    <row r="1619" spans="2:2" ht="15.6">
      <c r="B1619" s="197">
        <v>18.113712008322803</v>
      </c>
    </row>
    <row r="1620" spans="2:2" ht="15.6">
      <c r="B1620" s="197">
        <v>18.159823156691797</v>
      </c>
    </row>
    <row r="1621" spans="2:2" ht="15.6">
      <c r="B1621" s="197">
        <v>18.210947796200994</v>
      </c>
    </row>
    <row r="1622" spans="2:2" ht="15.6">
      <c r="B1622" s="197">
        <v>18.121380022057636</v>
      </c>
    </row>
    <row r="1623" spans="2:2" ht="15.6">
      <c r="B1623" s="197">
        <v>17.948231278464565</v>
      </c>
    </row>
    <row r="1624" spans="2:2" ht="15.6">
      <c r="B1624" s="197">
        <v>17.964439327149638</v>
      </c>
    </row>
    <row r="1625" spans="2:2" ht="15.6">
      <c r="B1625" s="197">
        <v>18.439823720358127</v>
      </c>
    </row>
    <row r="1626" spans="2:2" ht="15.6">
      <c r="B1626" s="197">
        <v>18.200385801997161</v>
      </c>
    </row>
    <row r="1627" spans="2:2" ht="15.6">
      <c r="B1627" s="197">
        <v>17.909006873794951</v>
      </c>
    </row>
    <row r="1628" spans="2:2" ht="15.6">
      <c r="B1628" s="197">
        <v>18.41207286199829</v>
      </c>
    </row>
    <row r="1629" spans="2:2" ht="15.6">
      <c r="B1629" s="197">
        <v>18.170188631333925</v>
      </c>
    </row>
    <row r="1630" spans="2:2" ht="15.6">
      <c r="B1630" s="197">
        <v>18.326454202217608</v>
      </c>
    </row>
    <row r="1631" spans="2:2" ht="15.6">
      <c r="B1631" s="197">
        <v>18.137784113111618</v>
      </c>
    </row>
    <row r="1632" spans="2:2" ht="15.6">
      <c r="B1632" s="197">
        <v>18.199779030292234</v>
      </c>
    </row>
    <row r="1633" spans="2:2" ht="15.6">
      <c r="B1633" s="197">
        <v>17.984449768664152</v>
      </c>
    </row>
    <row r="1634" spans="2:2" ht="15.6">
      <c r="B1634" s="197">
        <v>17.790247352781648</v>
      </c>
    </row>
    <row r="1635" spans="2:2" ht="15.6">
      <c r="B1635" s="197">
        <v>17.741759916629334</v>
      </c>
    </row>
    <row r="1636" spans="2:2" ht="15.6">
      <c r="B1636" s="197">
        <v>18.124417806422791</v>
      </c>
    </row>
    <row r="1637" spans="2:2" ht="15.6">
      <c r="B1637" s="197">
        <v>18.310738666705852</v>
      </c>
    </row>
    <row r="1638" spans="2:2" ht="15.6">
      <c r="B1638" s="197">
        <v>17.907561354508108</v>
      </c>
    </row>
    <row r="1639" spans="2:2" ht="15.6">
      <c r="B1639" s="197">
        <v>17.985358455779615</v>
      </c>
    </row>
    <row r="1640" spans="2:2" ht="15.6">
      <c r="B1640" s="197">
        <v>18.317971283381532</v>
      </c>
    </row>
    <row r="1641" spans="2:2" ht="15.6">
      <c r="B1641" s="197">
        <v>18.094807078280546</v>
      </c>
    </row>
    <row r="1642" spans="2:2" ht="15.6">
      <c r="B1642" s="197">
        <v>17.964791527548869</v>
      </c>
    </row>
    <row r="1643" spans="2:2" ht="15.6">
      <c r="B1643" s="197">
        <v>17.942949127004034</v>
      </c>
    </row>
    <row r="1644" spans="2:2" ht="15.6">
      <c r="B1644" s="197">
        <v>18.369074550053167</v>
      </c>
    </row>
    <row r="1645" spans="2:2" ht="15.6">
      <c r="B1645" s="197">
        <v>18.031007687942395</v>
      </c>
    </row>
    <row r="1646" spans="2:2" ht="15.6">
      <c r="B1646" s="197">
        <v>18.117635220505765</v>
      </c>
    </row>
    <row r="1647" spans="2:2" ht="15.6">
      <c r="B1647" s="197">
        <v>17.934778971890928</v>
      </c>
    </row>
    <row r="1648" spans="2:2" ht="15.6">
      <c r="B1648" s="197">
        <v>18.029851104012639</v>
      </c>
    </row>
    <row r="1649" spans="2:2" ht="15.6">
      <c r="B1649" s="197">
        <v>18.229359378720826</v>
      </c>
    </row>
    <row r="1650" spans="2:2" ht="15.6">
      <c r="B1650" s="197">
        <v>18.003308746445612</v>
      </c>
    </row>
    <row r="1651" spans="2:2" ht="15.6">
      <c r="B1651" s="197">
        <v>18.380723613239052</v>
      </c>
    </row>
    <row r="1652" spans="2:2" ht="15.6">
      <c r="B1652" s="197">
        <v>18.030591737769239</v>
      </c>
    </row>
    <row r="1653" spans="2:2" ht="15.6">
      <c r="B1653" s="197">
        <v>18.095066491212506</v>
      </c>
    </row>
    <row r="1654" spans="2:2" ht="15.6">
      <c r="B1654" s="197">
        <v>18.129461234086016</v>
      </c>
    </row>
    <row r="1655" spans="2:2" ht="15.6">
      <c r="B1655" s="197">
        <v>18.364841017936854</v>
      </c>
    </row>
    <row r="1656" spans="2:2" ht="15.6">
      <c r="B1656" s="197">
        <v>18.426063438290811</v>
      </c>
    </row>
    <row r="1657" spans="2:2" ht="15.6">
      <c r="B1657" s="197">
        <v>17.969585145041957</v>
      </c>
    </row>
    <row r="1658" spans="2:2" ht="15.6">
      <c r="B1658" s="197">
        <v>18.16862807790228</v>
      </c>
    </row>
    <row r="1659" spans="2:2" ht="15.6">
      <c r="B1659" s="197">
        <v>18.167837906066623</v>
      </c>
    </row>
    <row r="1660" spans="2:2" ht="15.6">
      <c r="B1660" s="197">
        <v>18.269752663285072</v>
      </c>
    </row>
    <row r="1661" spans="2:2" ht="15.6">
      <c r="B1661" s="197">
        <v>18.117711190091253</v>
      </c>
    </row>
    <row r="1662" spans="2:2" ht="15.6">
      <c r="B1662" s="197">
        <v>18.338582421814333</v>
      </c>
    </row>
    <row r="1663" spans="2:2" ht="15.6">
      <c r="B1663" s="197">
        <v>17.863697800084388</v>
      </c>
    </row>
    <row r="1664" spans="2:2" ht="15.6">
      <c r="B1664" s="197">
        <v>17.799700286739228</v>
      </c>
    </row>
    <row r="1665" spans="2:2" ht="15.6">
      <c r="B1665" s="197">
        <v>18.234356931116487</v>
      </c>
    </row>
    <row r="1666" spans="2:2" ht="15.6">
      <c r="B1666" s="197">
        <v>18.213320792283099</v>
      </c>
    </row>
    <row r="1667" spans="2:2" ht="15.6">
      <c r="B1667" s="197">
        <v>17.948777635204511</v>
      </c>
    </row>
    <row r="1668" spans="2:2" ht="15.6">
      <c r="B1668" s="197">
        <v>18.257080235936989</v>
      </c>
    </row>
    <row r="1669" spans="2:2" ht="15.6">
      <c r="B1669" s="197">
        <v>18.002026265810255</v>
      </c>
    </row>
    <row r="1670" spans="2:2" ht="15.6">
      <c r="B1670" s="197">
        <v>18.094858753582272</v>
      </c>
    </row>
    <row r="1671" spans="2:2" ht="15.6">
      <c r="B1671" s="197">
        <v>18.027891452276098</v>
      </c>
    </row>
    <row r="1672" spans="2:2" ht="15.6">
      <c r="B1672" s="197">
        <v>18.258898964184041</v>
      </c>
    </row>
    <row r="1673" spans="2:2" ht="15.6">
      <c r="B1673" s="197">
        <v>18.347352856720363</v>
      </c>
    </row>
    <row r="1674" spans="2:2" ht="15.6">
      <c r="B1674" s="197">
        <v>18.533646664582886</v>
      </c>
    </row>
    <row r="1675" spans="2:2" ht="15.6">
      <c r="B1675" s="197">
        <v>18.205178173214566</v>
      </c>
    </row>
    <row r="1676" spans="2:2" ht="15.6">
      <c r="B1676" s="197">
        <v>18.174562618067764</v>
      </c>
    </row>
    <row r="1677" spans="2:2" ht="15.6">
      <c r="B1677" s="197">
        <v>18.058715432443627</v>
      </c>
    </row>
    <row r="1678" spans="2:2" ht="15.6">
      <c r="B1678" s="197">
        <v>18.381835487583157</v>
      </c>
    </row>
    <row r="1679" spans="2:2" ht="15.6">
      <c r="B1679" s="197">
        <v>17.654683056666894</v>
      </c>
    </row>
    <row r="1680" spans="2:2" ht="15.6">
      <c r="B1680" s="197">
        <v>18.16578164574933</v>
      </c>
    </row>
    <row r="1681" spans="2:2" ht="15.6">
      <c r="B1681" s="197">
        <v>18.255984045912857</v>
      </c>
    </row>
    <row r="1682" spans="2:2" ht="15.6">
      <c r="B1682" s="197">
        <v>18.248500943671178</v>
      </c>
    </row>
    <row r="1683" spans="2:2" ht="15.6">
      <c r="B1683" s="197">
        <v>18.384386083277306</v>
      </c>
    </row>
    <row r="1684" spans="2:2" ht="15.6">
      <c r="B1684" s="197">
        <v>18.182724869854045</v>
      </c>
    </row>
    <row r="1685" spans="2:2" ht="15.6">
      <c r="B1685" s="197">
        <v>18.251653292612765</v>
      </c>
    </row>
    <row r="1686" spans="2:2" ht="15.6">
      <c r="B1686" s="197">
        <v>17.874828925322127</v>
      </c>
    </row>
    <row r="1687" spans="2:2" ht="15.6">
      <c r="B1687" s="197">
        <v>18.112200737197963</v>
      </c>
    </row>
    <row r="1688" spans="2:2" ht="15.6">
      <c r="B1688" s="197">
        <v>18.098294176596752</v>
      </c>
    </row>
    <row r="1689" spans="2:2" ht="15.6">
      <c r="B1689" s="197">
        <v>17.816318743199638</v>
      </c>
    </row>
    <row r="1690" spans="2:2" ht="15.6">
      <c r="B1690" s="197">
        <v>18.375341907901962</v>
      </c>
    </row>
    <row r="1691" spans="2:2" ht="15.6">
      <c r="B1691" s="197">
        <v>18.321205313703672</v>
      </c>
    </row>
    <row r="1692" spans="2:2" ht="15.6">
      <c r="B1692" s="197">
        <v>18.285016158844016</v>
      </c>
    </row>
    <row r="1693" spans="2:2" ht="15.6">
      <c r="B1693" s="197">
        <v>17.965366239957344</v>
      </c>
    </row>
    <row r="1694" spans="2:2" ht="15.6">
      <c r="B1694" s="197">
        <v>18.12039700370741</v>
      </c>
    </row>
    <row r="1695" spans="2:2" ht="15.6">
      <c r="B1695" s="197">
        <v>18.409956348812791</v>
      </c>
    </row>
    <row r="1696" spans="2:2" ht="15.6">
      <c r="B1696" s="197">
        <v>18.395998201684932</v>
      </c>
    </row>
    <row r="1697" spans="2:2" ht="15.6">
      <c r="B1697" s="197">
        <v>18.007570326136431</v>
      </c>
    </row>
    <row r="1698" spans="2:2" ht="15.6">
      <c r="B1698" s="197">
        <v>18.326498707854732</v>
      </c>
    </row>
    <row r="1699" spans="2:2" ht="15.6">
      <c r="B1699" s="197">
        <v>18.327733088399487</v>
      </c>
    </row>
    <row r="1700" spans="2:2" ht="15.6">
      <c r="B1700" s="197">
        <v>17.935302558814165</v>
      </c>
    </row>
    <row r="1701" spans="2:2" ht="15.6">
      <c r="B1701" s="197">
        <v>18.264091939149605</v>
      </c>
    </row>
    <row r="1702" spans="2:2" ht="15.6">
      <c r="B1702" s="197">
        <v>18.107847459004144</v>
      </c>
    </row>
    <row r="1703" spans="2:2" ht="15.6">
      <c r="B1703" s="197">
        <v>18.17880730750618</v>
      </c>
    </row>
    <row r="1704" spans="2:2" ht="15.6">
      <c r="B1704" s="197">
        <v>17.53367685575709</v>
      </c>
    </row>
    <row r="1705" spans="2:2" ht="15.6">
      <c r="B1705" s="197">
        <v>18.271679988124546</v>
      </c>
    </row>
    <row r="1706" spans="2:2" ht="15.6">
      <c r="B1706" s="197">
        <v>18.102239590791232</v>
      </c>
    </row>
    <row r="1707" spans="2:2" ht="15.6">
      <c r="B1707" s="197">
        <v>18.374349502934535</v>
      </c>
    </row>
    <row r="1708" spans="2:2" ht="15.6">
      <c r="B1708" s="197">
        <v>18.191668613675592</v>
      </c>
    </row>
    <row r="1709" spans="2:2" ht="15.6">
      <c r="B1709" s="197">
        <v>18.309100097461155</v>
      </c>
    </row>
    <row r="1710" spans="2:2" ht="15.6">
      <c r="B1710" s="197">
        <v>18.133661774372506</v>
      </c>
    </row>
    <row r="1711" spans="2:2" ht="15.6">
      <c r="B1711" s="197">
        <v>17.903921622464885</v>
      </c>
    </row>
    <row r="1712" spans="2:2" ht="15.6">
      <c r="B1712" s="197">
        <v>18.056616029992153</v>
      </c>
    </row>
    <row r="1713" spans="2:2" ht="15.6">
      <c r="B1713" s="197">
        <v>18.497444459422219</v>
      </c>
    </row>
    <row r="1714" spans="2:2" ht="15.6">
      <c r="B1714" s="197">
        <v>18.143567341405941</v>
      </c>
    </row>
    <row r="1715" spans="2:2" ht="15.6">
      <c r="B1715" s="197">
        <v>17.994161389089605</v>
      </c>
    </row>
    <row r="1716" spans="2:2" ht="15.6">
      <c r="B1716" s="197">
        <v>18.052140963478415</v>
      </c>
    </row>
    <row r="1717" spans="2:2" ht="15.6">
      <c r="B1717" s="197">
        <v>18.624372814937487</v>
      </c>
    </row>
    <row r="1718" spans="2:2" ht="15.6">
      <c r="B1718" s="197">
        <v>17.884992214602295</v>
      </c>
    </row>
    <row r="1719" spans="2:2" ht="15.6">
      <c r="B1719" s="197">
        <v>18.015355338347163</v>
      </c>
    </row>
    <row r="1720" spans="2:2" ht="15.6">
      <c r="B1720" s="197">
        <v>18.037015409158613</v>
      </c>
    </row>
    <row r="1721" spans="2:2" ht="15.6">
      <c r="B1721" s="197">
        <v>18.391083560240645</v>
      </c>
    </row>
    <row r="1722" spans="2:2" ht="15.6">
      <c r="B1722" s="197">
        <v>18.277456400520212</v>
      </c>
    </row>
    <row r="1723" spans="2:2" ht="15.6">
      <c r="B1723" s="197">
        <v>17.995748699599762</v>
      </c>
    </row>
    <row r="1724" spans="2:2" ht="15.6">
      <c r="B1724" s="197">
        <v>18.403456502662937</v>
      </c>
    </row>
    <row r="1725" spans="2:2" ht="15.6">
      <c r="B1725" s="197">
        <v>18.216804738666621</v>
      </c>
    </row>
    <row r="1726" spans="2:2" ht="15.6">
      <c r="B1726" s="197">
        <v>18.334472561225649</v>
      </c>
    </row>
    <row r="1727" spans="2:2" ht="15.6">
      <c r="B1727" s="197">
        <v>18.24431714767179</v>
      </c>
    </row>
    <row r="1728" spans="2:2" ht="15.6">
      <c r="B1728" s="197">
        <v>18.025699270647745</v>
      </c>
    </row>
    <row r="1729" spans="2:2" ht="15.6">
      <c r="B1729" s="197">
        <v>17.917468157693111</v>
      </c>
    </row>
    <row r="1730" spans="2:2" ht="15.6">
      <c r="B1730" s="197">
        <v>18.195921239970744</v>
      </c>
    </row>
    <row r="1731" spans="2:2" ht="15.6">
      <c r="B1731" s="197">
        <v>18.464939465394149</v>
      </c>
    </row>
    <row r="1732" spans="2:2" ht="15.6">
      <c r="B1732" s="197">
        <v>18.301524711254054</v>
      </c>
    </row>
    <row r="1733" spans="2:2" ht="15.6">
      <c r="B1733" s="197">
        <v>17.655561761235301</v>
      </c>
    </row>
    <row r="1734" spans="2:2" ht="15.6">
      <c r="B1734" s="197">
        <v>17.943911429518867</v>
      </c>
    </row>
    <row r="1735" spans="2:2" ht="15.6">
      <c r="B1735" s="197">
        <v>18.114747605036122</v>
      </c>
    </row>
    <row r="1736" spans="2:2" ht="15.6">
      <c r="B1736" s="197">
        <v>18.162573996978303</v>
      </c>
    </row>
    <row r="1737" spans="2:2" ht="15.6">
      <c r="B1737" s="197">
        <v>18.077854245930933</v>
      </c>
    </row>
    <row r="1738" spans="2:2" ht="15.6">
      <c r="B1738" s="197">
        <v>17.898045293131549</v>
      </c>
    </row>
    <row r="1739" spans="2:2" ht="15.6">
      <c r="B1739" s="197">
        <v>18.401291267485668</v>
      </c>
    </row>
    <row r="1740" spans="2:2" ht="15.6">
      <c r="B1740" s="197">
        <v>18.00655598073272</v>
      </c>
    </row>
    <row r="1741" spans="2:2" ht="15.6">
      <c r="B1741" s="197">
        <v>17.986763478947587</v>
      </c>
    </row>
    <row r="1742" spans="2:2" ht="15.6">
      <c r="B1742" s="197">
        <v>18.158147941147838</v>
      </c>
    </row>
    <row r="1743" spans="2:2" ht="15.6">
      <c r="B1743" s="197">
        <v>18.451509766559557</v>
      </c>
    </row>
    <row r="1744" spans="2:2" ht="15.6">
      <c r="B1744" s="197">
        <v>18.016864964906379</v>
      </c>
    </row>
    <row r="1745" spans="2:2" ht="15.6">
      <c r="B1745" s="197">
        <v>18.018402617894761</v>
      </c>
    </row>
    <row r="1746" spans="2:2" ht="15.6">
      <c r="B1746" s="197">
        <v>18.020523178271493</v>
      </c>
    </row>
    <row r="1747" spans="2:2" ht="15.6">
      <c r="B1747" s="197">
        <v>17.96681719293797</v>
      </c>
    </row>
    <row r="1748" spans="2:2" ht="15.6">
      <c r="B1748" s="197">
        <v>17.743432492957954</v>
      </c>
    </row>
    <row r="1749" spans="2:2" ht="15.6">
      <c r="B1749" s="197">
        <v>18.11857391861599</v>
      </c>
    </row>
    <row r="1750" spans="2:2" ht="15.6">
      <c r="B1750" s="197">
        <v>18.337153360848667</v>
      </c>
    </row>
    <row r="1751" spans="2:2" ht="15.6">
      <c r="B1751" s="197">
        <v>18.024862093262897</v>
      </c>
    </row>
    <row r="1752" spans="2:2" ht="15.6">
      <c r="B1752" s="197">
        <v>18.107122640440366</v>
      </c>
    </row>
    <row r="1753" spans="2:2" ht="15.6">
      <c r="B1753" s="197">
        <v>18.235052719759882</v>
      </c>
    </row>
    <row r="1754" spans="2:2" ht="15.6">
      <c r="B1754" s="197">
        <v>17.859098971185446</v>
      </c>
    </row>
    <row r="1755" spans="2:2" ht="15.6">
      <c r="B1755" s="197">
        <v>18.036736426063666</v>
      </c>
    </row>
    <row r="1756" spans="2:2" ht="15.6">
      <c r="B1756" s="197">
        <v>18.046841327991721</v>
      </c>
    </row>
    <row r="1757" spans="2:2" ht="15.6">
      <c r="B1757" s="197">
        <v>18.431289622663776</v>
      </c>
    </row>
    <row r="1758" spans="2:2" ht="15.6">
      <c r="B1758" s="197">
        <v>18.033230696928037</v>
      </c>
    </row>
    <row r="1759" spans="2:2" ht="15.6">
      <c r="B1759" s="197">
        <v>18.112892734949408</v>
      </c>
    </row>
    <row r="1760" spans="2:2" ht="15.6">
      <c r="B1760" s="197">
        <v>18.221877116529477</v>
      </c>
    </row>
    <row r="1761" spans="2:2" ht="15.6">
      <c r="B1761" s="197">
        <v>18.210397446367143</v>
      </c>
    </row>
    <row r="1762" spans="2:2" ht="15.6">
      <c r="B1762" s="197">
        <v>18.044352119445989</v>
      </c>
    </row>
    <row r="1763" spans="2:2" ht="15.6">
      <c r="B1763" s="197">
        <v>18.247241346593302</v>
      </c>
    </row>
    <row r="1764" spans="2:2" ht="15.6">
      <c r="B1764" s="197">
        <v>18.172131389357158</v>
      </c>
    </row>
    <row r="1765" spans="2:2" ht="15.6">
      <c r="B1765" s="197">
        <v>17.987444713346211</v>
      </c>
    </row>
    <row r="1766" spans="2:2" ht="15.6">
      <c r="B1766" s="197">
        <v>17.993317083190618</v>
      </c>
    </row>
    <row r="1767" spans="2:2" ht="15.6">
      <c r="B1767" s="197">
        <v>17.826887096763279</v>
      </c>
    </row>
    <row r="1768" spans="2:2" ht="15.6">
      <c r="B1768" s="197">
        <v>18.077560616781341</v>
      </c>
    </row>
    <row r="1769" spans="2:2" ht="15.6">
      <c r="B1769" s="197">
        <v>18.209296431106594</v>
      </c>
    </row>
    <row r="1770" spans="2:2" ht="15.6">
      <c r="B1770" s="197">
        <v>18.247813516702955</v>
      </c>
    </row>
    <row r="1771" spans="2:2" ht="15.6">
      <c r="B1771" s="197">
        <v>17.826776887977573</v>
      </c>
    </row>
    <row r="1772" spans="2:2" ht="15.6">
      <c r="B1772" s="197">
        <v>18.089976698173295</v>
      </c>
    </row>
    <row r="1773" spans="2:2" ht="15.6">
      <c r="B1773" s="197">
        <v>17.861997925846843</v>
      </c>
    </row>
    <row r="1774" spans="2:2" ht="15.6">
      <c r="B1774" s="197">
        <v>18.060018811263127</v>
      </c>
    </row>
    <row r="1775" spans="2:2" ht="15.6">
      <c r="B1775" s="197">
        <v>17.92776261560449</v>
      </c>
    </row>
    <row r="1776" spans="2:2" ht="15.6">
      <c r="B1776" s="197">
        <v>18.414445513250669</v>
      </c>
    </row>
    <row r="1777" spans="2:2" ht="15.6">
      <c r="B1777" s="197">
        <v>18.101558794302601</v>
      </c>
    </row>
    <row r="1778" spans="2:2" ht="15.6">
      <c r="B1778" s="197">
        <v>17.973665618052532</v>
      </c>
    </row>
    <row r="1779" spans="2:2" ht="15.6">
      <c r="B1779" s="197">
        <v>18.199944743108961</v>
      </c>
    </row>
    <row r="1780" spans="2:2" ht="15.6">
      <c r="B1780" s="197">
        <v>18.336974578796653</v>
      </c>
    </row>
    <row r="1781" spans="2:2" ht="15.6">
      <c r="B1781" s="197">
        <v>18.007386602206395</v>
      </c>
    </row>
    <row r="1782" spans="2:2" ht="15.6">
      <c r="B1782" s="197">
        <v>18.354052202531019</v>
      </c>
    </row>
    <row r="1783" spans="2:2" ht="15.6">
      <c r="B1783" s="197">
        <v>18.286817070861581</v>
      </c>
    </row>
    <row r="1784" spans="2:2" ht="15.6">
      <c r="B1784" s="197">
        <v>18.192589433540974</v>
      </c>
    </row>
    <row r="1785" spans="2:2" ht="15.6">
      <c r="B1785" s="197">
        <v>18.365598804009078</v>
      </c>
    </row>
    <row r="1786" spans="2:2" ht="15.6">
      <c r="B1786" s="197">
        <v>18.04611260002671</v>
      </c>
    </row>
    <row r="1787" spans="2:2" ht="15.6">
      <c r="B1787" s="197">
        <v>17.768826537980004</v>
      </c>
    </row>
    <row r="1788" spans="2:2" ht="15.6">
      <c r="B1788" s="197">
        <v>18.251437413763146</v>
      </c>
    </row>
    <row r="1789" spans="2:2" ht="15.6">
      <c r="B1789" s="197">
        <v>18.36656982124186</v>
      </c>
    </row>
    <row r="1790" spans="2:2" ht="15.6">
      <c r="B1790" s="197">
        <v>17.959423517378369</v>
      </c>
    </row>
    <row r="1791" spans="2:2" ht="15.6">
      <c r="B1791" s="197">
        <v>18.169574934355552</v>
      </c>
    </row>
    <row r="1792" spans="2:2" ht="15.6">
      <c r="B1792" s="197">
        <v>18.352366037956084</v>
      </c>
    </row>
    <row r="1793" spans="2:2" ht="15.6">
      <c r="B1793" s="197">
        <v>18.166095601303358</v>
      </c>
    </row>
    <row r="1794" spans="2:2" ht="15.6">
      <c r="B1794" s="197">
        <v>18.205520394329898</v>
      </c>
    </row>
    <row r="1795" spans="2:2" ht="15.6">
      <c r="B1795" s="197">
        <v>18.056478396928849</v>
      </c>
    </row>
    <row r="1796" spans="2:2" ht="15.6">
      <c r="B1796" s="197">
        <v>17.887954121889997</v>
      </c>
    </row>
    <row r="1797" spans="2:2" ht="15.6">
      <c r="B1797" s="197">
        <v>17.71763631101604</v>
      </c>
    </row>
    <row r="1798" spans="2:2" ht="15.6">
      <c r="B1798" s="197">
        <v>18.409596417305679</v>
      </c>
    </row>
    <row r="1799" spans="2:2" ht="15.6">
      <c r="B1799" s="197">
        <v>17.937691277920852</v>
      </c>
    </row>
    <row r="1800" spans="2:2" ht="15.6">
      <c r="B1800" s="197">
        <v>18.091450530067821</v>
      </c>
    </row>
    <row r="1801" spans="2:2" ht="15.6">
      <c r="B1801" s="197">
        <v>17.884125898228067</v>
      </c>
    </row>
    <row r="1802" spans="2:2" ht="15.6">
      <c r="B1802" s="197">
        <v>18.153274731754816</v>
      </c>
    </row>
    <row r="1803" spans="2:2" ht="15.6">
      <c r="B1803" s="197">
        <v>18.474582715042516</v>
      </c>
    </row>
    <row r="1804" spans="2:2" ht="15.6">
      <c r="B1804" s="197">
        <v>18.140766799375829</v>
      </c>
    </row>
    <row r="1805" spans="2:2" ht="15.6">
      <c r="B1805" s="197">
        <v>17.962653552996038</v>
      </c>
    </row>
    <row r="1806" spans="2:2" ht="15.6">
      <c r="B1806" s="197">
        <v>18.145099351520667</v>
      </c>
    </row>
    <row r="1807" spans="2:2" ht="15.6">
      <c r="B1807" s="197">
        <v>18.071462324495553</v>
      </c>
    </row>
    <row r="1808" spans="2:2" ht="15.6">
      <c r="B1808" s="197">
        <v>18.177986117457216</v>
      </c>
    </row>
    <row r="1809" spans="2:2" ht="15.6">
      <c r="B1809" s="197">
        <v>18.160744161556078</v>
      </c>
    </row>
    <row r="1810" spans="2:2" ht="15.6">
      <c r="B1810" s="197">
        <v>18.087590522116731</v>
      </c>
    </row>
    <row r="1811" spans="2:2" ht="15.6">
      <c r="B1811" s="197">
        <v>18.285369580309279</v>
      </c>
    </row>
    <row r="1812" spans="2:2" ht="15.6">
      <c r="B1812" s="197">
        <v>18.41598934043861</v>
      </c>
    </row>
    <row r="1813" spans="2:2" ht="15.6">
      <c r="B1813" s="197">
        <v>18.022130364950886</v>
      </c>
    </row>
    <row r="1814" spans="2:2" ht="15.6">
      <c r="B1814" s="197">
        <v>18.133789802762671</v>
      </c>
    </row>
    <row r="1815" spans="2:2" ht="15.6">
      <c r="B1815" s="197">
        <v>18.064741398645523</v>
      </c>
    </row>
    <row r="1816" spans="2:2" ht="15.6">
      <c r="B1816" s="197">
        <v>18.493718174132702</v>
      </c>
    </row>
    <row r="1817" spans="2:2" ht="15.6">
      <c r="B1817" s="197">
        <v>17.883304368683721</v>
      </c>
    </row>
    <row r="1818" spans="2:2" ht="15.6">
      <c r="B1818" s="197">
        <v>18.027597386508337</v>
      </c>
    </row>
    <row r="1819" spans="2:2" ht="15.6">
      <c r="B1819" s="197">
        <v>18.216591600022195</v>
      </c>
    </row>
    <row r="1820" spans="2:2" ht="15.6">
      <c r="B1820" s="197">
        <v>18.325842004347464</v>
      </c>
    </row>
    <row r="1821" spans="2:2" ht="15.6">
      <c r="B1821" s="197">
        <v>18.037819584678559</v>
      </c>
    </row>
    <row r="1822" spans="2:2" ht="15.6">
      <c r="B1822" s="197">
        <v>18.024065803896736</v>
      </c>
    </row>
    <row r="1823" spans="2:2" ht="15.6">
      <c r="B1823" s="197">
        <v>18.072156878268213</v>
      </c>
    </row>
    <row r="1824" spans="2:2" ht="15.6">
      <c r="B1824" s="197">
        <v>17.919189492460831</v>
      </c>
    </row>
    <row r="1825" spans="2:2" ht="15.6">
      <c r="B1825" s="197">
        <v>18.301074584059929</v>
      </c>
    </row>
    <row r="1826" spans="2:2" ht="15.6">
      <c r="B1826" s="197">
        <v>18.358452803622306</v>
      </c>
    </row>
    <row r="1827" spans="2:2" ht="15.6">
      <c r="B1827" s="197">
        <v>18.030956496905297</v>
      </c>
    </row>
    <row r="1828" spans="2:2" ht="15.6">
      <c r="B1828" s="197">
        <v>17.891787623968934</v>
      </c>
    </row>
    <row r="1829" spans="2:2" ht="15.6">
      <c r="B1829" s="197">
        <v>18.608922670594616</v>
      </c>
    </row>
    <row r="1830" spans="2:2" ht="15.6">
      <c r="B1830" s="197">
        <v>18.070030852048866</v>
      </c>
    </row>
    <row r="1831" spans="2:2" ht="15.6">
      <c r="B1831" s="197">
        <v>18.390626582622456</v>
      </c>
    </row>
    <row r="1832" spans="2:2" ht="15.6">
      <c r="B1832" s="197">
        <v>17.821248184151393</v>
      </c>
    </row>
    <row r="1833" spans="2:2" ht="15.6">
      <c r="B1833" s="197">
        <v>18.19516382583171</v>
      </c>
    </row>
    <row r="1834" spans="2:2" ht="15.6">
      <c r="B1834" s="197">
        <v>18.1731097753099</v>
      </c>
    </row>
    <row r="1835" spans="2:2" ht="15.6">
      <c r="B1835" s="197">
        <v>17.713044775185541</v>
      </c>
    </row>
    <row r="1836" spans="2:2" ht="15.6">
      <c r="B1836" s="197">
        <v>17.975068652578408</v>
      </c>
    </row>
    <row r="1837" spans="2:2" ht="15.6">
      <c r="B1837" s="197">
        <v>17.798835028390826</v>
      </c>
    </row>
    <row r="1838" spans="2:2" ht="15.6">
      <c r="B1838" s="197">
        <v>18.14080500734098</v>
      </c>
    </row>
    <row r="1839" spans="2:2" ht="15.6">
      <c r="B1839" s="197">
        <v>18.157946835072998</v>
      </c>
    </row>
    <row r="1840" spans="2:2" ht="15.6">
      <c r="B1840" s="197">
        <v>18.268488367362707</v>
      </c>
    </row>
    <row r="1841" spans="2:2" ht="15.6">
      <c r="B1841" s="197">
        <v>17.833310265212116</v>
      </c>
    </row>
    <row r="1842" spans="2:2" ht="15.6">
      <c r="B1842" s="197">
        <v>18.209291600723777</v>
      </c>
    </row>
    <row r="1843" spans="2:2" ht="15.6">
      <c r="B1843" s="197">
        <v>18.103579808359516</v>
      </c>
    </row>
    <row r="1844" spans="2:2" ht="15.6">
      <c r="B1844" s="197">
        <v>18.00200952169391</v>
      </c>
    </row>
    <row r="1845" spans="2:2" ht="15.6">
      <c r="B1845" s="197">
        <v>18.305818158893718</v>
      </c>
    </row>
    <row r="1846" spans="2:2" ht="15.6">
      <c r="B1846" s="197">
        <v>18.461212361910611</v>
      </c>
    </row>
    <row r="1847" spans="2:2" ht="15.6">
      <c r="B1847" s="197">
        <v>18.051068228920951</v>
      </c>
    </row>
    <row r="1848" spans="2:2" ht="15.6">
      <c r="B1848" s="197">
        <v>18.312498686876708</v>
      </c>
    </row>
    <row r="1849" spans="2:2" ht="15.6">
      <c r="B1849" s="197">
        <v>18.274346870203505</v>
      </c>
    </row>
    <row r="1850" spans="2:2" ht="15.6">
      <c r="B1850" s="197">
        <v>18.449480667080742</v>
      </c>
    </row>
    <row r="1851" spans="2:2" ht="15.6">
      <c r="B1851" s="197">
        <v>17.879534027063514</v>
      </c>
    </row>
    <row r="1852" spans="2:2" ht="15.6">
      <c r="B1852" s="197">
        <v>17.737390797178467</v>
      </c>
    </row>
    <row r="1853" spans="2:2" ht="15.6">
      <c r="B1853" s="197">
        <v>18.633196272528675</v>
      </c>
    </row>
    <row r="1854" spans="2:2" ht="15.6">
      <c r="B1854" s="197">
        <v>18.026706561356455</v>
      </c>
    </row>
    <row r="1855" spans="2:2" ht="15.6">
      <c r="B1855" s="197">
        <v>17.925266549497717</v>
      </c>
    </row>
    <row r="1856" spans="2:2" ht="15.6">
      <c r="B1856" s="197">
        <v>17.871983461456367</v>
      </c>
    </row>
    <row r="1857" spans="2:2" ht="15.6">
      <c r="B1857" s="197">
        <v>18.100911835440456</v>
      </c>
    </row>
    <row r="1858" spans="2:2" ht="15.6">
      <c r="B1858" s="197">
        <v>17.956225003902972</v>
      </c>
    </row>
    <row r="1859" spans="2:2" ht="15.6">
      <c r="B1859" s="197">
        <v>17.963148911237123</v>
      </c>
    </row>
    <row r="1860" spans="2:2" ht="15.6">
      <c r="B1860" s="197">
        <v>18.319138589227542</v>
      </c>
    </row>
    <row r="1861" spans="2:2" ht="15.6">
      <c r="B1861" s="197">
        <v>18.449644126319313</v>
      </c>
    </row>
    <row r="1862" spans="2:2" ht="15.6">
      <c r="B1862" s="197">
        <v>18.465334921301238</v>
      </c>
    </row>
    <row r="1863" spans="2:2" ht="15.6">
      <c r="B1863" s="197">
        <v>17.815280317518209</v>
      </c>
    </row>
    <row r="1864" spans="2:2" ht="15.6">
      <c r="B1864" s="197">
        <v>17.884585165580518</v>
      </c>
    </row>
    <row r="1865" spans="2:2" ht="15.6">
      <c r="B1865" s="197">
        <v>18.127741904749804</v>
      </c>
    </row>
    <row r="1866" spans="2:2" ht="15.6">
      <c r="B1866" s="197">
        <v>18.61801053409156</v>
      </c>
    </row>
    <row r="1867" spans="2:2" ht="15.6">
      <c r="B1867" s="197">
        <v>18.707573428780655</v>
      </c>
    </row>
    <row r="1868" spans="2:2" ht="15.6">
      <c r="B1868" s="197">
        <v>17.896507902069906</v>
      </c>
    </row>
    <row r="1869" spans="2:2" ht="15.6">
      <c r="B1869" s="197">
        <v>18.051944408717873</v>
      </c>
    </row>
    <row r="1870" spans="2:2" ht="15.6">
      <c r="B1870" s="197">
        <v>18.153786282679484</v>
      </c>
    </row>
    <row r="1871" spans="2:2" ht="15.6">
      <c r="B1871" s="197">
        <v>18.188489853953044</v>
      </c>
    </row>
    <row r="1872" spans="2:2" ht="15.6">
      <c r="B1872" s="197">
        <v>18.388306775134087</v>
      </c>
    </row>
    <row r="1873" spans="2:2" ht="15.6">
      <c r="B1873" s="197">
        <v>18.375675767601518</v>
      </c>
    </row>
    <row r="1874" spans="2:2" ht="15.6">
      <c r="B1874" s="197">
        <v>17.740664378735715</v>
      </c>
    </row>
    <row r="1875" spans="2:2" ht="15.6">
      <c r="B1875" s="197">
        <v>18.215459028180668</v>
      </c>
    </row>
    <row r="1876" spans="2:2" ht="15.6">
      <c r="B1876" s="197">
        <v>18.101204990023824</v>
      </c>
    </row>
    <row r="1877" spans="2:2" ht="15.6">
      <c r="B1877" s="197">
        <v>18.139482132251935</v>
      </c>
    </row>
    <row r="1878" spans="2:2" ht="15.6">
      <c r="B1878" s="197">
        <v>18.17450886012498</v>
      </c>
    </row>
    <row r="1879" spans="2:2" ht="15.6">
      <c r="B1879" s="197">
        <v>18.25577287219712</v>
      </c>
    </row>
    <row r="1880" spans="2:2" ht="15.6">
      <c r="B1880" s="197">
        <v>18.543817688161958</v>
      </c>
    </row>
    <row r="1881" spans="2:2" ht="15.6">
      <c r="B1881" s="197">
        <v>17.870628525783722</v>
      </c>
    </row>
    <row r="1882" spans="2:2" ht="15.6">
      <c r="B1882" s="197">
        <v>18.59237543711421</v>
      </c>
    </row>
    <row r="1883" spans="2:2" ht="15.6">
      <c r="B1883" s="197">
        <v>17.792837737522191</v>
      </c>
    </row>
    <row r="1884" spans="2:2" ht="15.6">
      <c r="B1884" s="197">
        <v>18.25204826220773</v>
      </c>
    </row>
    <row r="1885" spans="2:2" ht="15.6">
      <c r="B1885" s="197">
        <v>18.138006535864079</v>
      </c>
    </row>
    <row r="1886" spans="2:2" ht="15.6">
      <c r="B1886" s="197">
        <v>18.279814057177873</v>
      </c>
    </row>
    <row r="1887" spans="2:2" ht="15.6">
      <c r="B1887" s="197">
        <v>18.255890705113472</v>
      </c>
    </row>
    <row r="1888" spans="2:2" ht="15.6">
      <c r="B1888" s="197">
        <v>18.259503353892534</v>
      </c>
    </row>
    <row r="1889" spans="2:2" ht="15.6">
      <c r="B1889" s="197">
        <v>18.161629832675306</v>
      </c>
    </row>
    <row r="1890" spans="2:2" ht="15.6">
      <c r="B1890" s="197">
        <v>18.056968187425728</v>
      </c>
    </row>
    <row r="1891" spans="2:2" ht="15.6">
      <c r="B1891" s="197">
        <v>18.293529545919274</v>
      </c>
    </row>
    <row r="1892" spans="2:2" ht="15.6">
      <c r="B1892" s="197">
        <v>18.379691668137863</v>
      </c>
    </row>
    <row r="1893" spans="2:2" ht="15.6">
      <c r="B1893" s="197">
        <v>18.397629277061661</v>
      </c>
    </row>
    <row r="1894" spans="2:2" ht="15.6">
      <c r="B1894" s="197">
        <v>18.317733585983671</v>
      </c>
    </row>
    <row r="1895" spans="2:2" ht="15.6">
      <c r="B1895" s="197">
        <v>18.794986422659061</v>
      </c>
    </row>
    <row r="1896" spans="2:2" ht="15.6">
      <c r="B1896" s="197">
        <v>18.314084629429892</v>
      </c>
    </row>
    <row r="1897" spans="2:2" ht="15.6">
      <c r="B1897" s="197">
        <v>18.192386017922768</v>
      </c>
    </row>
    <row r="1898" spans="2:2" ht="15.6">
      <c r="B1898" s="197">
        <v>18.000390577898543</v>
      </c>
    </row>
    <row r="1899" spans="2:2" ht="15.6">
      <c r="B1899" s="197">
        <v>17.853174949133148</v>
      </c>
    </row>
    <row r="1900" spans="2:2" ht="15.6">
      <c r="B1900" s="197">
        <v>18.193785536021398</v>
      </c>
    </row>
    <row r="1901" spans="2:2" ht="15.6">
      <c r="B1901" s="197">
        <v>17.90203616164699</v>
      </c>
    </row>
    <row r="1902" spans="2:2" ht="15.6">
      <c r="B1902" s="197">
        <v>17.93494610781481</v>
      </c>
    </row>
    <row r="1903" spans="2:2" ht="15.6">
      <c r="B1903" s="197">
        <v>18.310772964800954</v>
      </c>
    </row>
    <row r="1904" spans="2:2" ht="15.6">
      <c r="B1904" s="197">
        <v>17.645976893603667</v>
      </c>
    </row>
    <row r="1905" spans="2:2" ht="15.6">
      <c r="B1905" s="197">
        <v>17.882274128071742</v>
      </c>
    </row>
    <row r="1906" spans="2:2" ht="15.6">
      <c r="B1906" s="197">
        <v>18.302767721867212</v>
      </c>
    </row>
    <row r="1907" spans="2:2" ht="15.6">
      <c r="B1907" s="197">
        <v>18.157625357437713</v>
      </c>
    </row>
    <row r="1908" spans="2:2" ht="15.6">
      <c r="B1908" s="197">
        <v>18.031089290039631</v>
      </c>
    </row>
    <row r="1909" spans="2:2" ht="15.6">
      <c r="B1909" s="197">
        <v>18.333192931208764</v>
      </c>
    </row>
    <row r="1910" spans="2:2" ht="15.6">
      <c r="B1910" s="197">
        <v>18.11254464546219</v>
      </c>
    </row>
    <row r="1911" spans="2:2" ht="15.6">
      <c r="B1911" s="197">
        <v>18.383209408450877</v>
      </c>
    </row>
    <row r="1912" spans="2:2" ht="15.6">
      <c r="B1912" s="197">
        <v>18.134904314295103</v>
      </c>
    </row>
    <row r="1913" spans="2:2" ht="15.6">
      <c r="B1913" s="197">
        <v>17.997942431181645</v>
      </c>
    </row>
    <row r="1914" spans="2:2" ht="15.6">
      <c r="B1914" s="197">
        <v>18.17398397916973</v>
      </c>
    </row>
    <row r="1915" spans="2:2" ht="15.6">
      <c r="B1915" s="197">
        <v>17.962396876365457</v>
      </c>
    </row>
    <row r="1916" spans="2:2" ht="15.6">
      <c r="B1916" s="197">
        <v>18.247221939614075</v>
      </c>
    </row>
    <row r="1917" spans="2:2" ht="15.6">
      <c r="B1917" s="197">
        <v>18.020653277845426</v>
      </c>
    </row>
    <row r="1918" spans="2:2" ht="15.6">
      <c r="B1918" s="197">
        <v>17.923860544544731</v>
      </c>
    </row>
    <row r="1919" spans="2:2" ht="15.6">
      <c r="B1919" s="197">
        <v>18.167759883084507</v>
      </c>
    </row>
    <row r="1920" spans="2:2" ht="15.6">
      <c r="B1920" s="197">
        <v>17.851003879322761</v>
      </c>
    </row>
    <row r="1921" spans="2:2" ht="15.6">
      <c r="B1921" s="197">
        <v>17.945295265728586</v>
      </c>
    </row>
    <row r="1922" spans="2:2" ht="15.6">
      <c r="B1922" s="197">
        <v>18.128733899945058</v>
      </c>
    </row>
    <row r="1923" spans="2:2" ht="15.6">
      <c r="B1923" s="197">
        <v>18.253936992407436</v>
      </c>
    </row>
    <row r="1924" spans="2:2" ht="15.6">
      <c r="B1924" s="197">
        <v>17.842317813243731</v>
      </c>
    </row>
    <row r="1925" spans="2:2" ht="15.6">
      <c r="B1925" s="197">
        <v>18.095486846435655</v>
      </c>
    </row>
    <row r="1926" spans="2:2" ht="15.6">
      <c r="B1926" s="197">
        <v>18.317613675869769</v>
      </c>
    </row>
    <row r="1927" spans="2:2" ht="15.6">
      <c r="B1927" s="197">
        <v>18.022436274238284</v>
      </c>
    </row>
    <row r="1928" spans="2:2" ht="15.6">
      <c r="B1928" s="197">
        <v>18.33642526279359</v>
      </c>
    </row>
    <row r="1929" spans="2:2" ht="15.6">
      <c r="B1929" s="197">
        <v>18.320006663247202</v>
      </c>
    </row>
    <row r="1930" spans="2:2" ht="15.6">
      <c r="B1930" s="197">
        <v>18.232968339884248</v>
      </c>
    </row>
    <row r="1931" spans="2:2" ht="15.6">
      <c r="B1931" s="197">
        <v>18.103317476492968</v>
      </c>
    </row>
    <row r="1932" spans="2:2" ht="15.6">
      <c r="B1932" s="197">
        <v>17.99335027414941</v>
      </c>
    </row>
    <row r="1933" spans="2:2" ht="15.6">
      <c r="B1933" s="197">
        <v>18.024109286711106</v>
      </c>
    </row>
    <row r="1934" spans="2:2" ht="15.6">
      <c r="B1934" s="197">
        <v>18.179219779994625</v>
      </c>
    </row>
    <row r="1935" spans="2:2" ht="15.6">
      <c r="B1935" s="197">
        <v>18.423203754308222</v>
      </c>
    </row>
    <row r="1936" spans="2:2" ht="15.6">
      <c r="B1936" s="197">
        <v>17.968827438011626</v>
      </c>
    </row>
    <row r="1937" spans="2:2" ht="15.6">
      <c r="B1937" s="197">
        <v>18.060630001438906</v>
      </c>
    </row>
    <row r="1938" spans="2:2" ht="15.6">
      <c r="B1938" s="197">
        <v>17.990160000720504</v>
      </c>
    </row>
    <row r="1939" spans="2:2" ht="15.6">
      <c r="B1939" s="197">
        <v>18.188804351727441</v>
      </c>
    </row>
    <row r="1940" spans="2:2" ht="15.6">
      <c r="B1940" s="197">
        <v>18.337183914365976</v>
      </c>
    </row>
    <row r="1941" spans="2:2" ht="15.6">
      <c r="B1941" s="197">
        <v>18.007344007564416</v>
      </c>
    </row>
    <row r="1942" spans="2:2" ht="15.6">
      <c r="B1942" s="197">
        <v>18.599513195101295</v>
      </c>
    </row>
    <row r="1943" spans="2:2" ht="15.6">
      <c r="B1943" s="197">
        <v>18.703873302234484</v>
      </c>
    </row>
    <row r="1944" spans="2:2" ht="15.6">
      <c r="B1944" s="197">
        <v>18.668401630708647</v>
      </c>
    </row>
    <row r="1945" spans="2:2" ht="15.6">
      <c r="B1945" s="197">
        <v>18.045356784556489</v>
      </c>
    </row>
    <row r="1946" spans="2:2" ht="15.6">
      <c r="B1946" s="197">
        <v>18.06942299174337</v>
      </c>
    </row>
    <row r="1947" spans="2:2" ht="15.6">
      <c r="B1947" s="197">
        <v>18.176719847485991</v>
      </c>
    </row>
    <row r="1948" spans="2:2" ht="15.6">
      <c r="B1948" s="197">
        <v>18.238803339685802</v>
      </c>
    </row>
    <row r="1949" spans="2:2" ht="15.6">
      <c r="B1949" s="197">
        <v>18.592224518335591</v>
      </c>
    </row>
    <row r="1950" spans="2:2" ht="15.6">
      <c r="B1950" s="197">
        <v>17.666083573802958</v>
      </c>
    </row>
    <row r="1951" spans="2:2" ht="15.6">
      <c r="B1951" s="197">
        <v>18.143443626360597</v>
      </c>
    </row>
    <row r="1952" spans="2:2" ht="15.6">
      <c r="B1952" s="197">
        <v>18.195830205289827</v>
      </c>
    </row>
    <row r="1953" spans="2:2" ht="15.6">
      <c r="B1953" s="197">
        <v>18.316275083315343</v>
      </c>
    </row>
    <row r="1954" spans="2:2" ht="15.6">
      <c r="B1954" s="197">
        <v>18.017069910216108</v>
      </c>
    </row>
    <row r="1955" spans="2:2" ht="15.6">
      <c r="B1955" s="197">
        <v>18.018902289972011</v>
      </c>
    </row>
    <row r="1956" spans="2:2" ht="15.6">
      <c r="B1956" s="197">
        <v>18.050758328594949</v>
      </c>
    </row>
    <row r="1957" spans="2:2" ht="15.6">
      <c r="B1957" s="197">
        <v>18.052335777982147</v>
      </c>
    </row>
    <row r="1958" spans="2:2" ht="15.6">
      <c r="B1958" s="197">
        <v>18.345244422401507</v>
      </c>
    </row>
    <row r="1959" spans="2:2" ht="15.6">
      <c r="B1959" s="197">
        <v>18.082887930274818</v>
      </c>
    </row>
    <row r="1960" spans="2:2" ht="15.6">
      <c r="B1960" s="197">
        <v>18.144410384313908</v>
      </c>
    </row>
    <row r="1961" spans="2:2" ht="15.6">
      <c r="B1961" s="197">
        <v>18.263404906293943</v>
      </c>
    </row>
    <row r="1962" spans="2:2" ht="15.6">
      <c r="B1962" s="197">
        <v>18.362502942733443</v>
      </c>
    </row>
    <row r="1963" spans="2:2" ht="15.6">
      <c r="B1963" s="197">
        <v>18.028499424350212</v>
      </c>
    </row>
    <row r="1964" spans="2:2" ht="15.6">
      <c r="B1964" s="197">
        <v>17.887243075043898</v>
      </c>
    </row>
    <row r="1965" spans="2:2" ht="15.6">
      <c r="B1965" s="197">
        <v>18.083244487763771</v>
      </c>
    </row>
    <row r="1966" spans="2:2" ht="15.6">
      <c r="B1966" s="197">
        <v>17.875206136047794</v>
      </c>
    </row>
    <row r="1967" spans="2:2" ht="15.6">
      <c r="B1967" s="197">
        <v>18.287483561262487</v>
      </c>
    </row>
    <row r="1968" spans="2:2" ht="15.6">
      <c r="B1968" s="197">
        <v>18.253043246295722</v>
      </c>
    </row>
    <row r="1969" spans="2:2" ht="15.6">
      <c r="B1969" s="197">
        <v>18.120214714032873</v>
      </c>
    </row>
    <row r="1970" spans="2:2" ht="15.6">
      <c r="B1970" s="197">
        <v>18.239387081756135</v>
      </c>
    </row>
    <row r="1971" spans="2:2" ht="15.6">
      <c r="B1971" s="197">
        <v>18.336955495652049</v>
      </c>
    </row>
    <row r="1972" spans="2:2" ht="15.6">
      <c r="B1972" s="197">
        <v>18.178847298831112</v>
      </c>
    </row>
    <row r="1973" spans="2:2" ht="15.6">
      <c r="B1973" s="197">
        <v>18.470787165058567</v>
      </c>
    </row>
    <row r="1974" spans="2:2" ht="15.6">
      <c r="B1974" s="197">
        <v>18.449761417287249</v>
      </c>
    </row>
    <row r="1975" spans="2:2" ht="15.6">
      <c r="B1975" s="197">
        <v>18.020625395960646</v>
      </c>
    </row>
    <row r="1976" spans="2:2" ht="15.6">
      <c r="B1976" s="197">
        <v>18.247510140362053</v>
      </c>
    </row>
    <row r="1977" spans="2:2" ht="15.6">
      <c r="B1977" s="197">
        <v>17.888867452386318</v>
      </c>
    </row>
    <row r="1978" spans="2:2" ht="15.6">
      <c r="B1978" s="197">
        <v>17.843536558857039</v>
      </c>
    </row>
    <row r="1979" spans="2:2" ht="15.6">
      <c r="B1979" s="197">
        <v>17.97445772635098</v>
      </c>
    </row>
    <row r="1980" spans="2:2" ht="15.6">
      <c r="B1980" s="197">
        <v>18.129395651488387</v>
      </c>
    </row>
    <row r="1981" spans="2:2" ht="15.6">
      <c r="B1981" s="197">
        <v>17.926118980658742</v>
      </c>
    </row>
    <row r="1982" spans="2:2" ht="15.6">
      <c r="B1982" s="197">
        <v>18.078354227110481</v>
      </c>
    </row>
    <row r="1983" spans="2:2" ht="15.6">
      <c r="B1983" s="197">
        <v>18.206313647949287</v>
      </c>
    </row>
    <row r="1984" spans="2:2" ht="15.6">
      <c r="B1984" s="197">
        <v>17.985636599743486</v>
      </c>
    </row>
    <row r="1985" spans="2:2" ht="15.6">
      <c r="B1985" s="197">
        <v>18.223330290735667</v>
      </c>
    </row>
    <row r="1986" spans="2:2" ht="15.6">
      <c r="B1986" s="197">
        <v>18.12201464100891</v>
      </c>
    </row>
    <row r="1987" spans="2:2" ht="15.6">
      <c r="B1987" s="197">
        <v>17.860258147211066</v>
      </c>
    </row>
    <row r="1988" spans="2:2" ht="15.6">
      <c r="B1988" s="197">
        <v>18.035992373520777</v>
      </c>
    </row>
    <row r="1989" spans="2:2" ht="15.6">
      <c r="B1989" s="197">
        <v>18.118834202701411</v>
      </c>
    </row>
    <row r="1990" spans="2:2" ht="15.6">
      <c r="B1990" s="197">
        <v>18.046314320699274</v>
      </c>
    </row>
    <row r="1991" spans="2:2" ht="15.6">
      <c r="B1991" s="197">
        <v>18.585276422954319</v>
      </c>
    </row>
    <row r="1992" spans="2:2" ht="15.6">
      <c r="B1992" s="197">
        <v>18.237051726831226</v>
      </c>
    </row>
    <row r="1993" spans="2:2" ht="15.6">
      <c r="B1993" s="197">
        <v>17.942821740732658</v>
      </c>
    </row>
    <row r="1994" spans="2:2" ht="15.6">
      <c r="B1994" s="197">
        <v>17.737452707722532</v>
      </c>
    </row>
    <row r="1995" spans="2:2" ht="15.6">
      <c r="B1995" s="197">
        <v>18.134108020494377</v>
      </c>
    </row>
    <row r="1996" spans="2:2" ht="15.6">
      <c r="B1996" s="197">
        <v>18.475023203790283</v>
      </c>
    </row>
    <row r="1997" spans="2:2" ht="15.6">
      <c r="B1997" s="197">
        <v>18.08037310055748</v>
      </c>
    </row>
    <row r="1998" spans="2:2" ht="15.6">
      <c r="B1998" s="197">
        <v>18.06461460222522</v>
      </c>
    </row>
    <row r="1999" spans="2:2" ht="15.6">
      <c r="B1999" s="197">
        <v>17.942513460038988</v>
      </c>
    </row>
    <row r="2000" spans="2:2" ht="15.6">
      <c r="B2000" s="197">
        <v>18.051140673017233</v>
      </c>
    </row>
    <row r="2001" spans="2:2" ht="15.6">
      <c r="B2001" s="197">
        <v>18.431475028910125</v>
      </c>
    </row>
    <row r="2002" spans="2:2" ht="15.6">
      <c r="B2002" s="197">
        <v>18.115513264555712</v>
      </c>
    </row>
    <row r="2003" spans="2:2" ht="15.6">
      <c r="B2003" s="197">
        <v>18.130514578365794</v>
      </c>
    </row>
    <row r="2004" spans="2:2" ht="15.6">
      <c r="B2004" s="197">
        <v>18.279604057842576</v>
      </c>
    </row>
    <row r="2005" spans="2:2" ht="15.6">
      <c r="B2005" s="197">
        <v>18.434912956179144</v>
      </c>
    </row>
    <row r="2006" spans="2:2" ht="15.6">
      <c r="B2006" s="197">
        <v>18.121028505689154</v>
      </c>
    </row>
    <row r="2007" spans="2:2" ht="15.6">
      <c r="B2007" s="197">
        <v>18.232617675320785</v>
      </c>
    </row>
    <row r="2008" spans="2:2" ht="15.6">
      <c r="B2008" s="197">
        <v>17.88768651112369</v>
      </c>
    </row>
    <row r="2009" spans="2:2" ht="15.6">
      <c r="B2009" s="197">
        <v>17.998465547125161</v>
      </c>
    </row>
    <row r="2010" spans="2:2" ht="15.6">
      <c r="B2010" s="197">
        <v>18.593258398906638</v>
      </c>
    </row>
    <row r="2011" spans="2:2" ht="15.6">
      <c r="B2011" s="197">
        <v>18.36545293587713</v>
      </c>
    </row>
    <row r="2012" spans="2:2" ht="15.6">
      <c r="B2012" s="197">
        <v>18.03665129807726</v>
      </c>
    </row>
    <row r="2013" spans="2:2" ht="15.6">
      <c r="B2013" s="197">
        <v>18.361565083332952</v>
      </c>
    </row>
    <row r="2014" spans="2:2" ht="15.6">
      <c r="B2014" s="197">
        <v>18.150705102727301</v>
      </c>
    </row>
    <row r="2015" spans="2:2" ht="15.6">
      <c r="B2015" s="197">
        <v>18.307512010383931</v>
      </c>
    </row>
    <row r="2016" spans="2:2" ht="15.6">
      <c r="B2016" s="197">
        <v>18.256472946069611</v>
      </c>
    </row>
    <row r="2017" spans="2:2" ht="15.6">
      <c r="B2017" s="197">
        <v>18.301104051462527</v>
      </c>
    </row>
    <row r="2018" spans="2:2" ht="15.6">
      <c r="B2018" s="197">
        <v>18.272879030621191</v>
      </c>
    </row>
    <row r="2019" spans="2:2" ht="15.6">
      <c r="B2019" s="197">
        <v>18.029918260769996</v>
      </c>
    </row>
    <row r="2020" spans="2:2" ht="15.6">
      <c r="B2020" s="197">
        <v>18.163502301513564</v>
      </c>
    </row>
    <row r="2021" spans="2:2" ht="15.6">
      <c r="B2021" s="197">
        <v>17.987146986593025</v>
      </c>
    </row>
    <row r="2022" spans="2:2" ht="15.6">
      <c r="B2022" s="197">
        <v>18.274795819529793</v>
      </c>
    </row>
    <row r="2023" spans="2:2" ht="15.6">
      <c r="B2023" s="197">
        <v>18.182604440654419</v>
      </c>
    </row>
    <row r="2024" spans="2:2" ht="15.6">
      <c r="B2024" s="197">
        <v>17.859619835997663</v>
      </c>
    </row>
    <row r="2025" spans="2:2" ht="15.6">
      <c r="B2025" s="197">
        <v>18.455259824323424</v>
      </c>
    </row>
    <row r="2026" spans="2:2" ht="15.6">
      <c r="B2026" s="197">
        <v>18.014047071063533</v>
      </c>
    </row>
    <row r="2027" spans="2:2" ht="15.6">
      <c r="B2027" s="197">
        <v>18.149887503178491</v>
      </c>
    </row>
    <row r="2028" spans="2:2" ht="15.6">
      <c r="B2028" s="197">
        <v>18.004179930987473</v>
      </c>
    </row>
    <row r="2029" spans="2:2" ht="15.6">
      <c r="B2029" s="197">
        <v>18.012055510159101</v>
      </c>
    </row>
    <row r="2030" spans="2:2" ht="15.6">
      <c r="B2030" s="197">
        <v>18.00650902455169</v>
      </c>
    </row>
    <row r="2031" spans="2:2" ht="15.6">
      <c r="B2031" s="197">
        <v>18.34888136699692</v>
      </c>
    </row>
    <row r="2032" spans="2:2" ht="15.6">
      <c r="B2032" s="197">
        <v>17.994675297592927</v>
      </c>
    </row>
    <row r="2033" spans="2:2" ht="15.6">
      <c r="B2033" s="197">
        <v>17.942436905899974</v>
      </c>
    </row>
    <row r="2034" spans="2:2" ht="15.6">
      <c r="B2034" s="197">
        <v>18.192138088135401</v>
      </c>
    </row>
    <row r="2035" spans="2:2" ht="15.6">
      <c r="B2035" s="197">
        <v>18.343114375057166</v>
      </c>
    </row>
    <row r="2036" spans="2:2" ht="15.6">
      <c r="B2036" s="197">
        <v>18.190409628382078</v>
      </c>
    </row>
    <row r="2037" spans="2:2" ht="15.6">
      <c r="B2037" s="197">
        <v>18.464838990099626</v>
      </c>
    </row>
    <row r="2038" spans="2:2" ht="15.6">
      <c r="B2038" s="197">
        <v>17.882618992466909</v>
      </c>
    </row>
    <row r="2039" spans="2:2" ht="15.6">
      <c r="B2039" s="197">
        <v>18.291717893277838</v>
      </c>
    </row>
    <row r="2040" spans="2:2" ht="15.6">
      <c r="B2040" s="197">
        <v>18.505301083784332</v>
      </c>
    </row>
    <row r="2041" spans="2:2" ht="15.6">
      <c r="B2041" s="197">
        <v>18.1191887313278</v>
      </c>
    </row>
    <row r="2042" spans="2:2" ht="15.6">
      <c r="B2042" s="197">
        <v>18.067547212638495</v>
      </c>
    </row>
    <row r="2043" spans="2:2" ht="15.6">
      <c r="B2043" s="197">
        <v>18.018976094375915</v>
      </c>
    </row>
    <row r="2044" spans="2:2" ht="15.6">
      <c r="B2044" s="197">
        <v>18.237598008036816</v>
      </c>
    </row>
    <row r="2045" spans="2:2" ht="15.6">
      <c r="B2045" s="197">
        <v>18.142618915488157</v>
      </c>
    </row>
    <row r="2046" spans="2:2" ht="15.6">
      <c r="B2046" s="197">
        <v>18.093822918626966</v>
      </c>
    </row>
    <row r="2047" spans="2:2" ht="15.6">
      <c r="B2047" s="197">
        <v>17.655371886745272</v>
      </c>
    </row>
    <row r="2048" spans="2:2" ht="15.6">
      <c r="B2048" s="197">
        <v>18.124642936793933</v>
      </c>
    </row>
    <row r="2049" spans="2:2" ht="15.6">
      <c r="B2049" s="197">
        <v>18.47971011988086</v>
      </c>
    </row>
    <row r="2050" spans="2:2" ht="15.6">
      <c r="B2050" s="197">
        <v>18.325530313792235</v>
      </c>
    </row>
    <row r="2051" spans="2:2" ht="15.6">
      <c r="B2051" s="197">
        <v>18.609160872632678</v>
      </c>
    </row>
    <row r="2052" spans="2:2" ht="15.6">
      <c r="B2052" s="197">
        <v>17.89388270275737</v>
      </c>
    </row>
    <row r="2053" spans="2:2" ht="15.6">
      <c r="B2053" s="197">
        <v>18.584566192189218</v>
      </c>
    </row>
    <row r="2054" spans="2:2" ht="15.6">
      <c r="B2054" s="197">
        <v>18.064747416861827</v>
      </c>
    </row>
    <row r="2055" spans="2:2" ht="15.6">
      <c r="B2055" s="197">
        <v>18.354515873830834</v>
      </c>
    </row>
    <row r="2056" spans="2:2" ht="15.6">
      <c r="B2056" s="197">
        <v>18.492645101106604</v>
      </c>
    </row>
    <row r="2057" spans="2:2" ht="15.6">
      <c r="B2057" s="197">
        <v>18.001703994728558</v>
      </c>
    </row>
    <row r="2058" spans="2:2" ht="15.6">
      <c r="B2058" s="197">
        <v>18.292519087048316</v>
      </c>
    </row>
    <row r="2059" spans="2:2" ht="15.6">
      <c r="B2059" s="197">
        <v>18.152652156146491</v>
      </c>
    </row>
    <row r="2060" spans="2:2" ht="15.6">
      <c r="B2060" s="197">
        <v>17.985896196637789</v>
      </c>
    </row>
    <row r="2061" spans="2:2" ht="15.6">
      <c r="B2061" s="197">
        <v>18.36620613909967</v>
      </c>
    </row>
    <row r="2062" spans="2:2" ht="15.6">
      <c r="B2062" s="197">
        <v>18.135393044579054</v>
      </c>
    </row>
    <row r="2063" spans="2:2" ht="15.6">
      <c r="B2063" s="197">
        <v>17.839398335477433</v>
      </c>
    </row>
    <row r="2064" spans="2:2" ht="15.6">
      <c r="B2064" s="197">
        <v>18.347178787939583</v>
      </c>
    </row>
    <row r="2065" spans="2:2" ht="15.6">
      <c r="B2065" s="197">
        <v>18.121174238248244</v>
      </c>
    </row>
    <row r="2066" spans="2:2" ht="15.6">
      <c r="B2066" s="197">
        <v>18.139325101491213</v>
      </c>
    </row>
    <row r="2067" spans="2:2" ht="15.6">
      <c r="B2067" s="197">
        <v>18.15034767046475</v>
      </c>
    </row>
    <row r="2068" spans="2:2" ht="15.6">
      <c r="B2068" s="197">
        <v>18.446639335190305</v>
      </c>
    </row>
    <row r="2069" spans="2:2" ht="15.6">
      <c r="B2069" s="197">
        <v>18.286949354957365</v>
      </c>
    </row>
    <row r="2070" spans="2:2" ht="15.6">
      <c r="B2070" s="197">
        <v>18.118655243729496</v>
      </c>
    </row>
    <row r="2071" spans="2:2" ht="15.6">
      <c r="B2071" s="197">
        <v>18.266317121308443</v>
      </c>
    </row>
    <row r="2072" spans="2:2" ht="15.6">
      <c r="B2072" s="197">
        <v>18.113303108359521</v>
      </c>
    </row>
    <row r="2073" spans="2:2" ht="15.6">
      <c r="B2073" s="197">
        <v>18.01426757989465</v>
      </c>
    </row>
    <row r="2074" spans="2:2" ht="15.6">
      <c r="B2074" s="197">
        <v>18.446988628724764</v>
      </c>
    </row>
    <row r="2075" spans="2:2" ht="15.6">
      <c r="B2075" s="197">
        <v>18.183147214521711</v>
      </c>
    </row>
    <row r="2076" spans="2:2" ht="15.6">
      <c r="B2076" s="197">
        <v>18.176510996100724</v>
      </c>
    </row>
    <row r="2077" spans="2:2" ht="15.6">
      <c r="B2077" s="197">
        <v>18.287982884432186</v>
      </c>
    </row>
    <row r="2078" spans="2:2" ht="15.6">
      <c r="B2078" s="197">
        <v>18.457187550060716</v>
      </c>
    </row>
    <row r="2079" spans="2:2" ht="15.6">
      <c r="B2079" s="197">
        <v>18.212893085400463</v>
      </c>
    </row>
    <row r="2080" spans="2:2" ht="15.6">
      <c r="B2080" s="197">
        <v>17.950582969616935</v>
      </c>
    </row>
    <row r="2081" spans="2:2" ht="15.6">
      <c r="B2081" s="197">
        <v>17.974302070142596</v>
      </c>
    </row>
    <row r="2082" spans="2:2" ht="15.6">
      <c r="B2082" s="197">
        <v>18.256120470045271</v>
      </c>
    </row>
    <row r="2083" spans="2:2" ht="15.6">
      <c r="B2083" s="197">
        <v>18.177859460777643</v>
      </c>
    </row>
    <row r="2084" spans="2:2" ht="15.6">
      <c r="B2084" s="197">
        <v>18.402320552115818</v>
      </c>
    </row>
    <row r="2085" spans="2:2" ht="15.6">
      <c r="B2085" s="197">
        <v>18.299882567000793</v>
      </c>
    </row>
    <row r="2086" spans="2:2" ht="15.6">
      <c r="B2086" s="197">
        <v>18.263910027663446</v>
      </c>
    </row>
    <row r="2087" spans="2:2" ht="15.6">
      <c r="B2087" s="197">
        <v>18.396338639773077</v>
      </c>
    </row>
    <row r="2088" spans="2:2" ht="15.6">
      <c r="B2088" s="197">
        <v>17.884001928910855</v>
      </c>
    </row>
    <row r="2089" spans="2:2" ht="15.6">
      <c r="B2089" s="197">
        <v>18.287359379480247</v>
      </c>
    </row>
    <row r="2090" spans="2:2" ht="15.6">
      <c r="B2090" s="197">
        <v>18.261256861402789</v>
      </c>
    </row>
    <row r="2091" spans="2:2" ht="15.6">
      <c r="B2091" s="197">
        <v>18.080216203629561</v>
      </c>
    </row>
    <row r="2092" spans="2:2" ht="15.6">
      <c r="B2092" s="197">
        <v>18.353394575686956</v>
      </c>
    </row>
    <row r="2093" spans="2:2" ht="15.6">
      <c r="B2093" s="197">
        <v>18.094559662130589</v>
      </c>
    </row>
    <row r="2094" spans="2:2" ht="15.6">
      <c r="B2094" s="197">
        <v>18.447318534534364</v>
      </c>
    </row>
    <row r="2095" spans="2:2" ht="15.6">
      <c r="B2095" s="197">
        <v>18.474783563336256</v>
      </c>
    </row>
    <row r="2096" spans="2:2" ht="15.6">
      <c r="B2096" s="197">
        <v>18.277112402527919</v>
      </c>
    </row>
    <row r="2097" spans="2:2" ht="15.6">
      <c r="B2097" s="197">
        <v>18.200745010866623</v>
      </c>
    </row>
    <row r="2098" spans="2:2" ht="15.6">
      <c r="B2098" s="197">
        <v>18.203060345037098</v>
      </c>
    </row>
    <row r="2099" spans="2:2" ht="15.6">
      <c r="B2099" s="197">
        <v>18.477854249012072</v>
      </c>
    </row>
    <row r="2100" spans="2:2" ht="15.6">
      <c r="B2100" s="197">
        <v>18.399990607293333</v>
      </c>
    </row>
    <row r="2101" spans="2:2" ht="15.6">
      <c r="B2101" s="197">
        <v>18.256289214420772</v>
      </c>
    </row>
    <row r="2102" spans="2:2" ht="15.6">
      <c r="B2102" s="197">
        <v>18.132570412479488</v>
      </c>
    </row>
    <row r="2103" spans="2:2" ht="15.6">
      <c r="B2103" s="197">
        <v>18.266217772568567</v>
      </c>
    </row>
    <row r="2104" spans="2:2" ht="15.6">
      <c r="B2104" s="197">
        <v>18.002854540792946</v>
      </c>
    </row>
    <row r="2105" spans="2:2" ht="15.6">
      <c r="B2105" s="197">
        <v>17.788284048379261</v>
      </c>
    </row>
    <row r="2106" spans="2:2" ht="15.6">
      <c r="B2106" s="197">
        <v>18.085440842861139</v>
      </c>
    </row>
    <row r="2107" spans="2:2" ht="15.6">
      <c r="B2107" s="197">
        <v>17.998440974461118</v>
      </c>
    </row>
    <row r="2108" spans="2:2" ht="15.6">
      <c r="B2108" s="197">
        <v>18.130997796211926</v>
      </c>
    </row>
    <row r="2109" spans="2:2" ht="15.6">
      <c r="B2109" s="197">
        <v>18.355588449338544</v>
      </c>
    </row>
    <row r="2110" spans="2:2" ht="15.6">
      <c r="B2110" s="197">
        <v>18.241927186242805</v>
      </c>
    </row>
    <row r="2111" spans="2:2" ht="15.6">
      <c r="B2111" s="197">
        <v>18.434298503081564</v>
      </c>
    </row>
    <row r="2112" spans="2:2" ht="15.6">
      <c r="B2112" s="197">
        <v>17.962047442719484</v>
      </c>
    </row>
    <row r="2113" spans="2:2" ht="15.6">
      <c r="B2113" s="197">
        <v>18.357323041062447</v>
      </c>
    </row>
    <row r="2114" spans="2:2" ht="15.6">
      <c r="B2114" s="197">
        <v>18.219840429475656</v>
      </c>
    </row>
    <row r="2115" spans="2:2" ht="15.6">
      <c r="B2115" s="197">
        <v>17.967593267326876</v>
      </c>
    </row>
    <row r="2116" spans="2:2" ht="15.6">
      <c r="B2116" s="197">
        <v>18.420254816151768</v>
      </c>
    </row>
    <row r="2117" spans="2:2" ht="15.6">
      <c r="B2117" s="197">
        <v>18.12727831827203</v>
      </c>
    </row>
    <row r="2118" spans="2:2" ht="15.6">
      <c r="B2118" s="197">
        <v>18.234052992018263</v>
      </c>
    </row>
    <row r="2119" spans="2:2" ht="15.6">
      <c r="B2119" s="197">
        <v>18.145763696988055</v>
      </c>
    </row>
    <row r="2120" spans="2:2" ht="15.6">
      <c r="B2120" s="197">
        <v>17.99223113129236</v>
      </c>
    </row>
    <row r="2121" spans="2:2" ht="15.6">
      <c r="B2121" s="197">
        <v>18.285241301513146</v>
      </c>
    </row>
    <row r="2122" spans="2:2" ht="15.6">
      <c r="B2122" s="197">
        <v>17.990536411493334</v>
      </c>
    </row>
    <row r="2123" spans="2:2" ht="15.6">
      <c r="B2123" s="197">
        <v>18.483113539756911</v>
      </c>
    </row>
    <row r="2124" spans="2:2" ht="15.6">
      <c r="B2124" s="197">
        <v>18.291437212958499</v>
      </c>
    </row>
    <row r="2125" spans="2:2" ht="15.6">
      <c r="B2125" s="197">
        <v>18.005093121477692</v>
      </c>
    </row>
    <row r="2126" spans="2:2" ht="15.6">
      <c r="B2126" s="197">
        <v>18.09470417875686</v>
      </c>
    </row>
    <row r="2127" spans="2:2" ht="15.6">
      <c r="B2127" s="197">
        <v>17.915052422901578</v>
      </c>
    </row>
    <row r="2128" spans="2:2" ht="15.6">
      <c r="B2128" s="197">
        <v>18.179319213150606</v>
      </c>
    </row>
    <row r="2129" spans="2:2" ht="15.6">
      <c r="B2129" s="197">
        <v>18.131522919806841</v>
      </c>
    </row>
    <row r="2130" spans="2:2" ht="15.6">
      <c r="B2130" s="197">
        <v>18.132210270683167</v>
      </c>
    </row>
    <row r="2131" spans="2:2" ht="15.6">
      <c r="B2131" s="197">
        <v>17.963101001239068</v>
      </c>
    </row>
    <row r="2132" spans="2:2" ht="15.6">
      <c r="B2132" s="197">
        <v>18.163221826822575</v>
      </c>
    </row>
    <row r="2133" spans="2:2" ht="15.6">
      <c r="B2133" s="197">
        <v>18.053327329622896</v>
      </c>
    </row>
    <row r="2134" spans="2:2" ht="15.6">
      <c r="B2134" s="197">
        <v>18.312758714614379</v>
      </c>
    </row>
    <row r="2135" spans="2:2" ht="15.6">
      <c r="B2135" s="197">
        <v>18.057814116851738</v>
      </c>
    </row>
    <row r="2136" spans="2:2" ht="15.6">
      <c r="B2136" s="197">
        <v>18.426049049804583</v>
      </c>
    </row>
    <row r="2137" spans="2:2" ht="15.6">
      <c r="B2137" s="197">
        <v>18.089742004520161</v>
      </c>
    </row>
    <row r="2138" spans="2:2" ht="15.6">
      <c r="B2138" s="197">
        <v>18.067986483852096</v>
      </c>
    </row>
    <row r="2139" spans="2:2" ht="15.6">
      <c r="B2139" s="197">
        <v>18.249245780378466</v>
      </c>
    </row>
    <row r="2140" spans="2:2" ht="15.6">
      <c r="B2140" s="197">
        <v>18.173113828721235</v>
      </c>
    </row>
    <row r="2141" spans="2:2" ht="15.6">
      <c r="B2141" s="197">
        <v>18.042426586786238</v>
      </c>
    </row>
    <row r="2142" spans="2:2" ht="15.6">
      <c r="B2142" s="197">
        <v>18.111476007929127</v>
      </c>
    </row>
    <row r="2143" spans="2:2" ht="15.6">
      <c r="B2143" s="197">
        <v>17.888631976404685</v>
      </c>
    </row>
    <row r="2144" spans="2:2" ht="15.6">
      <c r="B2144" s="197">
        <v>18.031367061033883</v>
      </c>
    </row>
    <row r="2145" spans="2:2" ht="15.6">
      <c r="B2145" s="197">
        <v>18.254454699107324</v>
      </c>
    </row>
    <row r="2146" spans="2:2" ht="15.6">
      <c r="B2146" s="197">
        <v>18.581130905425269</v>
      </c>
    </row>
    <row r="2147" spans="2:2" ht="15.6">
      <c r="B2147" s="197">
        <v>18.252270917917276</v>
      </c>
    </row>
    <row r="2148" spans="2:2" ht="15.6">
      <c r="B2148" s="197">
        <v>18.312649506623401</v>
      </c>
    </row>
    <row r="2149" spans="2:2" ht="15.6">
      <c r="B2149" s="197">
        <v>18.191895399894438</v>
      </c>
    </row>
    <row r="2150" spans="2:2" ht="15.6">
      <c r="B2150" s="197">
        <v>18.115521520140561</v>
      </c>
    </row>
    <row r="2151" spans="2:2" ht="15.6">
      <c r="B2151" s="197">
        <v>18.214278986723595</v>
      </c>
    </row>
    <row r="2152" spans="2:2" ht="15.6">
      <c r="B2152" s="197">
        <v>18.08990419098863</v>
      </c>
    </row>
    <row r="2153" spans="2:2" ht="15.6">
      <c r="B2153" s="197">
        <v>18.086053522771792</v>
      </c>
    </row>
    <row r="2154" spans="2:2" ht="15.6">
      <c r="B2154" s="197">
        <v>18.216858121438566</v>
      </c>
    </row>
    <row r="2155" spans="2:2" ht="15.6">
      <c r="B2155" s="197">
        <v>18.167253717253264</v>
      </c>
    </row>
    <row r="2156" spans="2:2" ht="15.6">
      <c r="B2156" s="197">
        <v>18.088586775004892</v>
      </c>
    </row>
    <row r="2157" spans="2:2" ht="15.6">
      <c r="B2157" s="197">
        <v>18.316468248982069</v>
      </c>
    </row>
    <row r="2158" spans="2:2" ht="15.6">
      <c r="B2158" s="197">
        <v>17.892936923111886</v>
      </c>
    </row>
    <row r="2159" spans="2:2" ht="15.6">
      <c r="B2159" s="197">
        <v>17.824987891540271</v>
      </c>
    </row>
    <row r="2160" spans="2:2" ht="15.6">
      <c r="B2160" s="197">
        <v>18.655774435637689</v>
      </c>
    </row>
    <row r="2161" spans="2:2" ht="15.6">
      <c r="B2161" s="197">
        <v>17.96705858444777</v>
      </c>
    </row>
    <row r="2162" spans="2:2" ht="15.6">
      <c r="B2162" s="197">
        <v>17.943976186507776</v>
      </c>
    </row>
    <row r="2163" spans="2:2" ht="15.6">
      <c r="B2163" s="197">
        <v>18.474521856563687</v>
      </c>
    </row>
    <row r="2164" spans="2:2" ht="15.6">
      <c r="B2164" s="197">
        <v>18.469087779134167</v>
      </c>
    </row>
    <row r="2165" spans="2:2" ht="15.6">
      <c r="B2165" s="197">
        <v>18.41648637539333</v>
      </c>
    </row>
    <row r="2166" spans="2:2" ht="15.6">
      <c r="B2166" s="197">
        <v>18.341397480172805</v>
      </c>
    </row>
    <row r="2167" spans="2:2" ht="15.6">
      <c r="B2167" s="197">
        <v>18.101802373481814</v>
      </c>
    </row>
    <row r="2168" spans="2:2" ht="15.6">
      <c r="B2168" s="197">
        <v>18.159040932936978</v>
      </c>
    </row>
    <row r="2169" spans="2:2" ht="15.6">
      <c r="B2169" s="197">
        <v>18.03023538993995</v>
      </c>
    </row>
    <row r="2170" spans="2:2" ht="15.6">
      <c r="B2170" s="197">
        <v>18.051372427572311</v>
      </c>
    </row>
    <row r="2171" spans="2:2" ht="15.6">
      <c r="B2171" s="197">
        <v>18.41140855298115</v>
      </c>
    </row>
    <row r="2172" spans="2:2" ht="15.6">
      <c r="B2172" s="197">
        <v>18.081541051327132</v>
      </c>
    </row>
    <row r="2173" spans="2:2" ht="15.6">
      <c r="B2173" s="197">
        <v>17.967440105037145</v>
      </c>
    </row>
    <row r="2174" spans="2:2" ht="15.6">
      <c r="B2174" s="197">
        <v>18.096278468425499</v>
      </c>
    </row>
    <row r="2175" spans="2:2" ht="15.6">
      <c r="B2175" s="197">
        <v>18.196224288309494</v>
      </c>
    </row>
    <row r="2176" spans="2:2" ht="15.6">
      <c r="B2176" s="197">
        <v>17.929871618076557</v>
      </c>
    </row>
    <row r="2177" spans="2:2" ht="15.6">
      <c r="B2177" s="197">
        <v>17.970222140308877</v>
      </c>
    </row>
    <row r="2178" spans="2:2" ht="15.6">
      <c r="B2178" s="197">
        <v>18.359580348012628</v>
      </c>
    </row>
    <row r="2179" spans="2:2" ht="15.6">
      <c r="B2179" s="197">
        <v>18.244428442470578</v>
      </c>
    </row>
    <row r="2180" spans="2:2" ht="15.6">
      <c r="B2180" s="197">
        <v>18.269346944625511</v>
      </c>
    </row>
    <row r="2181" spans="2:2" ht="15.6">
      <c r="B2181" s="197">
        <v>18.178944957296956</v>
      </c>
    </row>
    <row r="2182" spans="2:2" ht="15.6">
      <c r="B2182" s="197">
        <v>18.071925125045794</v>
      </c>
    </row>
    <row r="2183" spans="2:2" ht="15.6">
      <c r="B2183" s="197">
        <v>18.197451757693589</v>
      </c>
    </row>
    <row r="2184" spans="2:2" ht="15.6">
      <c r="B2184" s="197">
        <v>17.87802189105042</v>
      </c>
    </row>
    <row r="2185" spans="2:2" ht="15.6">
      <c r="B2185" s="197">
        <v>18.455838993889767</v>
      </c>
    </row>
    <row r="2186" spans="2:2" ht="15.6">
      <c r="B2186" s="197">
        <v>17.936166680724266</v>
      </c>
    </row>
    <row r="2187" spans="2:2" ht="15.6">
      <c r="B2187" s="197">
        <v>18.213737419261598</v>
      </c>
    </row>
    <row r="2188" spans="2:2" ht="15.6">
      <c r="B2188" s="197">
        <v>18.464724476915936</v>
      </c>
    </row>
    <row r="2189" spans="2:2" ht="15.6">
      <c r="B2189" s="197">
        <v>18.273764994919581</v>
      </c>
    </row>
    <row r="2190" spans="2:2" ht="15.6">
      <c r="B2190" s="197">
        <v>18.092012409626644</v>
      </c>
    </row>
    <row r="2191" spans="2:2" ht="15.6">
      <c r="B2191" s="197">
        <v>17.902968422128691</v>
      </c>
    </row>
    <row r="2192" spans="2:2" ht="15.6">
      <c r="B2192" s="197">
        <v>18.202137482989116</v>
      </c>
    </row>
    <row r="2193" spans="2:2" ht="15.6">
      <c r="B2193" s="197">
        <v>18.343157170819151</v>
      </c>
    </row>
    <row r="2194" spans="2:2" ht="15.6">
      <c r="B2194" s="197">
        <v>18.010520692766274</v>
      </c>
    </row>
    <row r="2195" spans="2:2" ht="15.6">
      <c r="B2195" s="197">
        <v>18.122898755257818</v>
      </c>
    </row>
    <row r="2196" spans="2:2" ht="15.6">
      <c r="B2196" s="197">
        <v>18.0257218256179</v>
      </c>
    </row>
    <row r="2197" spans="2:2" ht="15.6">
      <c r="B2197" s="197">
        <v>18.254349093479743</v>
      </c>
    </row>
    <row r="2198" spans="2:2" ht="15.6">
      <c r="B2198" s="197">
        <v>17.975863285364245</v>
      </c>
    </row>
    <row r="2199" spans="2:2" ht="15.6">
      <c r="B2199" s="197">
        <v>18.286696369920357</v>
      </c>
    </row>
    <row r="2200" spans="2:2" ht="15.6">
      <c r="B2200" s="197">
        <v>17.997110627359096</v>
      </c>
    </row>
    <row r="2201" spans="2:2" ht="15.6">
      <c r="B2201" s="197">
        <v>18.225403804107589</v>
      </c>
    </row>
    <row r="2202" spans="2:2" ht="15.6">
      <c r="B2202" s="197">
        <v>18.051918375533045</v>
      </c>
    </row>
    <row r="2203" spans="2:2" ht="15.6">
      <c r="B2203" s="197">
        <v>18.122802161054469</v>
      </c>
    </row>
    <row r="2204" spans="2:2" ht="15.6">
      <c r="B2204" s="197">
        <v>18.094631052242232</v>
      </c>
    </row>
    <row r="2205" spans="2:2" ht="15.6">
      <c r="B2205" s="197">
        <v>18.17449140991063</v>
      </c>
    </row>
    <row r="2206" spans="2:2" ht="15.6">
      <c r="B2206" s="197">
        <v>17.945800242373917</v>
      </c>
    </row>
    <row r="2207" spans="2:2" ht="15.6">
      <c r="B2207" s="197">
        <v>18.017208721728213</v>
      </c>
    </row>
    <row r="2208" spans="2:2" ht="15.6">
      <c r="B2208" s="197">
        <v>17.905087211743613</v>
      </c>
    </row>
    <row r="2209" spans="2:2" ht="15.6">
      <c r="B2209" s="197">
        <v>18.041042655900007</v>
      </c>
    </row>
    <row r="2210" spans="2:2" ht="15.6">
      <c r="B2210" s="197">
        <v>18.198630268814352</v>
      </c>
    </row>
    <row r="2211" spans="2:2" ht="15.6">
      <c r="B2211" s="197">
        <v>17.973449865130917</v>
      </c>
    </row>
    <row r="2212" spans="2:2" ht="15.6">
      <c r="B2212" s="197">
        <v>18.251299082597921</v>
      </c>
    </row>
    <row r="2213" spans="2:2" ht="15.6">
      <c r="B2213" s="197">
        <v>18.346541434400372</v>
      </c>
    </row>
    <row r="2214" spans="2:2" ht="15.6">
      <c r="B2214" s="197">
        <v>17.693037284219056</v>
      </c>
    </row>
    <row r="2215" spans="2:2" ht="15.6">
      <c r="B2215" s="197">
        <v>17.79978378773091</v>
      </c>
    </row>
    <row r="2216" spans="2:2" ht="15.6">
      <c r="B2216" s="197">
        <v>17.986715755698221</v>
      </c>
    </row>
    <row r="2217" spans="2:2" ht="15.6">
      <c r="B2217" s="197">
        <v>18.055916849029856</v>
      </c>
    </row>
    <row r="2218" spans="2:2" ht="15.6">
      <c r="B2218" s="197">
        <v>17.82878643523356</v>
      </c>
    </row>
    <row r="2219" spans="2:2" ht="15.6">
      <c r="B2219" s="197">
        <v>18.188842824397913</v>
      </c>
    </row>
    <row r="2220" spans="2:2" ht="15.6">
      <c r="B2220" s="197">
        <v>18.035646989219547</v>
      </c>
    </row>
    <row r="2221" spans="2:2" ht="15.6">
      <c r="B2221" s="197">
        <v>18.193436727307883</v>
      </c>
    </row>
    <row r="2222" spans="2:2" ht="15.6">
      <c r="B2222" s="197">
        <v>18.39057147680526</v>
      </c>
    </row>
    <row r="2223" spans="2:2" ht="15.6">
      <c r="B2223" s="197">
        <v>18.330100301429315</v>
      </c>
    </row>
    <row r="2224" spans="2:2" ht="15.6">
      <c r="B2224" s="197">
        <v>17.949971078347968</v>
      </c>
    </row>
    <row r="2225" spans="2:2" ht="15.6">
      <c r="B2225" s="197">
        <v>18.168744577337218</v>
      </c>
    </row>
    <row r="2226" spans="2:2" ht="15.6">
      <c r="B2226" s="197">
        <v>18.108661868209762</v>
      </c>
    </row>
    <row r="2227" spans="2:2" ht="15.6">
      <c r="B2227" s="197">
        <v>17.998670543207758</v>
      </c>
    </row>
    <row r="2228" spans="2:2" ht="15.6">
      <c r="B2228" s="197">
        <v>17.9898483993822</v>
      </c>
    </row>
    <row r="2229" spans="2:2" ht="15.6">
      <c r="B2229" s="197">
        <v>18.503930343479176</v>
      </c>
    </row>
    <row r="2230" spans="2:2" ht="15.6">
      <c r="B2230" s="197">
        <v>18.111787645443389</v>
      </c>
    </row>
    <row r="2231" spans="2:2" ht="15.6">
      <c r="B2231" s="197">
        <v>17.966856178018929</v>
      </c>
    </row>
    <row r="2232" spans="2:2" ht="15.6">
      <c r="B2232" s="197">
        <v>18.412808735308541</v>
      </c>
    </row>
    <row r="2233" spans="2:2" ht="15.6">
      <c r="B2233" s="197">
        <v>17.957467630545146</v>
      </c>
    </row>
    <row r="2234" spans="2:2" ht="15.6">
      <c r="B2234" s="197">
        <v>18.205792213185592</v>
      </c>
    </row>
    <row r="2235" spans="2:2" ht="15.6">
      <c r="B2235" s="197">
        <v>18.749398539372617</v>
      </c>
    </row>
    <row r="2236" spans="2:2" ht="15.6">
      <c r="B2236" s="197">
        <v>18.271861002012709</v>
      </c>
    </row>
    <row r="2237" spans="2:2" ht="15.6">
      <c r="B2237" s="197">
        <v>18.334842916135276</v>
      </c>
    </row>
    <row r="2238" spans="2:2" ht="15.6">
      <c r="B2238" s="197">
        <v>18.060409595501966</v>
      </c>
    </row>
    <row r="2239" spans="2:2" ht="15.6">
      <c r="B2239" s="197">
        <v>18.217081057938948</v>
      </c>
    </row>
    <row r="2240" spans="2:2" ht="15.6">
      <c r="B2240" s="197">
        <v>17.764468402684479</v>
      </c>
    </row>
    <row r="2241" spans="2:2" ht="15.6">
      <c r="B2241" s="197">
        <v>18.280378329397823</v>
      </c>
    </row>
    <row r="2242" spans="2:2" ht="15.6">
      <c r="B2242" s="197">
        <v>18.248390161047315</v>
      </c>
    </row>
    <row r="2243" spans="2:2" ht="15.6">
      <c r="B2243" s="197">
        <v>18.207415041070398</v>
      </c>
    </row>
    <row r="2244" spans="2:2" ht="15.6">
      <c r="B2244" s="197">
        <v>18.225664218346608</v>
      </c>
    </row>
    <row r="2245" spans="2:2" ht="15.6">
      <c r="B2245" s="197">
        <v>18.271504154916347</v>
      </c>
    </row>
    <row r="2246" spans="2:2" ht="15.6">
      <c r="B2246" s="197">
        <v>18.121901633806697</v>
      </c>
    </row>
    <row r="2247" spans="2:2" ht="15.6">
      <c r="B2247" s="197">
        <v>18.633993014782462</v>
      </c>
    </row>
    <row r="2248" spans="2:2" ht="15.6">
      <c r="B2248" s="197">
        <v>18.321406994901299</v>
      </c>
    </row>
    <row r="2249" spans="2:2" ht="15.6">
      <c r="B2249" s="197">
        <v>18.315726369191669</v>
      </c>
    </row>
    <row r="2250" spans="2:2" ht="15.6">
      <c r="B2250" s="197">
        <v>17.945111791298295</v>
      </c>
    </row>
    <row r="2251" spans="2:2" ht="15.6">
      <c r="B2251" s="197">
        <v>18.025171512234714</v>
      </c>
    </row>
    <row r="2252" spans="2:2" ht="15.6">
      <c r="B2252" s="197">
        <v>17.989755287234594</v>
      </c>
    </row>
    <row r="2253" spans="2:2" ht="15.6">
      <c r="B2253" s="197">
        <v>18.018884622242151</v>
      </c>
    </row>
    <row r="2254" spans="2:2" ht="15.6">
      <c r="B2254" s="197">
        <v>18.235118610396455</v>
      </c>
    </row>
    <row r="2255" spans="2:2" ht="15.6">
      <c r="B2255" s="197">
        <v>18.364806376904518</v>
      </c>
    </row>
    <row r="2256" spans="2:2" ht="15.6">
      <c r="B2256" s="197">
        <v>18.174180215223107</v>
      </c>
    </row>
    <row r="2257" spans="2:2" ht="15.6">
      <c r="B2257" s="197">
        <v>17.998738557021927</v>
      </c>
    </row>
    <row r="2258" spans="2:2" ht="15.6">
      <c r="B2258" s="197">
        <v>18.205769522445099</v>
      </c>
    </row>
    <row r="2259" spans="2:2" ht="15.6">
      <c r="B2259" s="197">
        <v>18.207287563564339</v>
      </c>
    </row>
    <row r="2260" spans="2:2" ht="15.6">
      <c r="B2260" s="197">
        <v>18.453873737492568</v>
      </c>
    </row>
    <row r="2261" spans="2:2" ht="15.6">
      <c r="B2261" s="197">
        <v>18.168136458607414</v>
      </c>
    </row>
    <row r="2262" spans="2:2" ht="15.6">
      <c r="B2262" s="197">
        <v>18.09378657529043</v>
      </c>
    </row>
    <row r="2263" spans="2:2" ht="15.6">
      <c r="B2263" s="197">
        <v>18.299669398883971</v>
      </c>
    </row>
    <row r="2264" spans="2:2" ht="15.6">
      <c r="B2264" s="197">
        <v>18.405139710053685</v>
      </c>
    </row>
    <row r="2265" spans="2:2" ht="15.6">
      <c r="B2265" s="197">
        <v>17.877978257927676</v>
      </c>
    </row>
    <row r="2266" spans="2:2" ht="15.6">
      <c r="B2266" s="197">
        <v>18.443464979235301</v>
      </c>
    </row>
    <row r="2267" spans="2:2" ht="15.6">
      <c r="B2267" s="197">
        <v>18.268449367593647</v>
      </c>
    </row>
    <row r="2268" spans="2:2" ht="15.6">
      <c r="B2268" s="197">
        <v>18.407332781163014</v>
      </c>
    </row>
    <row r="2269" spans="2:2" ht="15.6">
      <c r="B2269" s="197">
        <v>18.287130941226543</v>
      </c>
    </row>
    <row r="2270" spans="2:2" ht="15.6">
      <c r="B2270" s="197">
        <v>18.336707666612092</v>
      </c>
    </row>
    <row r="2271" spans="2:2" ht="15.6">
      <c r="B2271" s="197">
        <v>18.254373391291484</v>
      </c>
    </row>
    <row r="2272" spans="2:2" ht="15.6">
      <c r="B2272" s="197">
        <v>18.127223058069138</v>
      </c>
    </row>
    <row r="2273" spans="2:2" ht="15.6">
      <c r="B2273" s="197">
        <v>18.037265754176733</v>
      </c>
    </row>
    <row r="2274" spans="2:2" ht="15.6">
      <c r="B2274" s="197">
        <v>17.985018391340994</v>
      </c>
    </row>
    <row r="2275" spans="2:2" ht="15.6">
      <c r="B2275" s="197">
        <v>17.9752474246419</v>
      </c>
    </row>
    <row r="2276" spans="2:2" ht="15.6">
      <c r="B2276" s="197">
        <v>18.526243313906161</v>
      </c>
    </row>
    <row r="2277" spans="2:2" ht="15.6">
      <c r="B2277" s="197">
        <v>18.059420427103845</v>
      </c>
    </row>
    <row r="2278" spans="2:2" ht="15.6">
      <c r="B2278" s="197">
        <v>18.181588752878763</v>
      </c>
    </row>
    <row r="2279" spans="2:2" ht="15.6">
      <c r="B2279" s="197">
        <v>18.227304552031981</v>
      </c>
    </row>
    <row r="2280" spans="2:2" ht="15.6">
      <c r="B2280" s="197">
        <v>18.04942175858482</v>
      </c>
    </row>
    <row r="2281" spans="2:2" ht="15.6">
      <c r="B2281" s="197">
        <v>18.052771785342603</v>
      </c>
    </row>
    <row r="2282" spans="2:2" ht="15.6">
      <c r="B2282" s="197">
        <v>18.09020956733746</v>
      </c>
    </row>
    <row r="2283" spans="2:2" ht="15.6">
      <c r="B2283" s="197">
        <v>18.061330509224273</v>
      </c>
    </row>
    <row r="2284" spans="2:2" ht="15.6">
      <c r="B2284" s="197">
        <v>18.267633908817306</v>
      </c>
    </row>
    <row r="2285" spans="2:2" ht="15.6">
      <c r="B2285" s="197">
        <v>18.054520514253518</v>
      </c>
    </row>
    <row r="2286" spans="2:2" ht="15.6">
      <c r="B2286" s="197">
        <v>17.82829388401796</v>
      </c>
    </row>
    <row r="2287" spans="2:2" ht="15.6">
      <c r="B2287" s="197">
        <v>18.345447843634901</v>
      </c>
    </row>
    <row r="2288" spans="2:2" ht="15.6">
      <c r="B2288" s="197">
        <v>18.547306621343719</v>
      </c>
    </row>
    <row r="2289" spans="2:2" ht="15.6">
      <c r="B2289" s="197">
        <v>18.156623658295477</v>
      </c>
    </row>
    <row r="2290" spans="2:2" ht="15.6">
      <c r="B2290" s="197">
        <v>17.948132872038208</v>
      </c>
    </row>
    <row r="2291" spans="2:2" ht="15.6">
      <c r="B2291" s="197">
        <v>18.063368750885076</v>
      </c>
    </row>
    <row r="2292" spans="2:2" ht="15.6">
      <c r="B2292" s="197">
        <v>17.874132201147194</v>
      </c>
    </row>
    <row r="2293" spans="2:2" ht="15.6">
      <c r="B2293" s="197">
        <v>17.966215207754605</v>
      </c>
    </row>
    <row r="2294" spans="2:2" ht="15.6">
      <c r="B2294" s="197">
        <v>17.850083690042627</v>
      </c>
    </row>
    <row r="2295" spans="2:2" ht="15.6">
      <c r="B2295" s="197">
        <v>18.054391386575567</v>
      </c>
    </row>
    <row r="2296" spans="2:2" ht="15.6">
      <c r="B2296" s="197">
        <v>18.370139550478022</v>
      </c>
    </row>
    <row r="2297" spans="2:2" ht="15.6">
      <c r="B2297" s="197">
        <v>18.045107900100767</v>
      </c>
    </row>
    <row r="2298" spans="2:2" ht="15.6">
      <c r="B2298" s="197">
        <v>17.969184022329625</v>
      </c>
    </row>
    <row r="2299" spans="2:2" ht="15.6">
      <c r="B2299" s="197">
        <v>18.194208216488924</v>
      </c>
    </row>
    <row r="2300" spans="2:2" ht="15.6">
      <c r="B2300" s="197">
        <v>18.010212651888192</v>
      </c>
    </row>
    <row r="2301" spans="2:2" ht="15.6">
      <c r="B2301" s="197">
        <v>18.288359005793804</v>
      </c>
    </row>
    <row r="2302" spans="2:2" ht="15.6">
      <c r="B2302" s="197">
        <v>17.818225494687248</v>
      </c>
    </row>
    <row r="2303" spans="2:2" ht="15.6">
      <c r="B2303" s="197">
        <v>17.924284128072113</v>
      </c>
    </row>
    <row r="2304" spans="2:2" ht="15.6">
      <c r="B2304" s="197">
        <v>18.527882994453439</v>
      </c>
    </row>
    <row r="2305" spans="2:2" ht="15.6">
      <c r="B2305" s="197">
        <v>18.15520700039297</v>
      </c>
    </row>
    <row r="2306" spans="2:2" ht="15.6">
      <c r="B2306" s="197">
        <v>18.399597933798741</v>
      </c>
    </row>
    <row r="2307" spans="2:2" ht="15.6">
      <c r="B2307" s="197">
        <v>17.874392489015218</v>
      </c>
    </row>
    <row r="2308" spans="2:2" ht="15.6">
      <c r="B2308" s="197">
        <v>18.109739760002252</v>
      </c>
    </row>
    <row r="2309" spans="2:2" ht="15.6">
      <c r="B2309" s="197">
        <v>18.362668063611498</v>
      </c>
    </row>
    <row r="2310" spans="2:2" ht="15.6">
      <c r="B2310" s="197">
        <v>18.317415524129743</v>
      </c>
    </row>
    <row r="2311" spans="2:2" ht="15.6">
      <c r="B2311" s="197">
        <v>18.135488828656349</v>
      </c>
    </row>
    <row r="2312" spans="2:2" ht="15.6">
      <c r="B2312" s="197">
        <v>18.258389408829565</v>
      </c>
    </row>
    <row r="2313" spans="2:2" ht="15.6">
      <c r="B2313" s="197">
        <v>17.742943924462175</v>
      </c>
    </row>
    <row r="2314" spans="2:2" ht="15.6">
      <c r="B2314" s="197">
        <v>17.899630725283441</v>
      </c>
    </row>
    <row r="2315" spans="2:2" ht="15.6">
      <c r="B2315" s="197">
        <v>18.138644364377178</v>
      </c>
    </row>
    <row r="2316" spans="2:2" ht="15.6">
      <c r="B2316" s="197">
        <v>18.322367977723829</v>
      </c>
    </row>
    <row r="2317" spans="2:2" ht="15.6">
      <c r="B2317" s="197">
        <v>18.228912098126056</v>
      </c>
    </row>
    <row r="2318" spans="2:2" ht="15.6">
      <c r="B2318" s="197">
        <v>18.167354025574198</v>
      </c>
    </row>
    <row r="2319" spans="2:2" ht="15.6">
      <c r="B2319" s="197">
        <v>18.298747760073709</v>
      </c>
    </row>
    <row r="2320" spans="2:2" ht="15.6">
      <c r="B2320" s="197">
        <v>18.138991167292389</v>
      </c>
    </row>
    <row r="2321" spans="2:2" ht="15.6">
      <c r="B2321" s="197">
        <v>18.329365044716944</v>
      </c>
    </row>
    <row r="2322" spans="2:2" ht="15.6">
      <c r="B2322" s="197">
        <v>18.635475876221687</v>
      </c>
    </row>
    <row r="2323" spans="2:2" ht="15.6">
      <c r="B2323" s="197">
        <v>18.066682269851466</v>
      </c>
    </row>
    <row r="2324" spans="2:2" ht="15.6">
      <c r="B2324" s="197">
        <v>18.062014191123016</v>
      </c>
    </row>
    <row r="2325" spans="2:2" ht="15.6">
      <c r="B2325" s="197">
        <v>17.958334455638752</v>
      </c>
    </row>
    <row r="2326" spans="2:2" ht="15.6">
      <c r="B2326" s="197">
        <v>18.252805059925688</v>
      </c>
    </row>
    <row r="2327" spans="2:2" ht="15.6">
      <c r="B2327" s="197">
        <v>17.980948023091706</v>
      </c>
    </row>
    <row r="2328" spans="2:2" ht="15.6">
      <c r="B2328" s="197">
        <v>17.981559233742566</v>
      </c>
    </row>
    <row r="2329" spans="2:2" ht="15.6">
      <c r="B2329" s="197">
        <v>18.085749540411456</v>
      </c>
    </row>
    <row r="2330" spans="2:2" ht="15.6">
      <c r="B2330" s="197">
        <v>17.90851024071311</v>
      </c>
    </row>
    <row r="2331" spans="2:2" ht="15.6">
      <c r="B2331" s="197">
        <v>18.251404790053204</v>
      </c>
    </row>
    <row r="2332" spans="2:2" ht="15.6">
      <c r="B2332" s="197">
        <v>18.425423579331124</v>
      </c>
    </row>
    <row r="2333" spans="2:2" ht="15.6">
      <c r="B2333" s="197">
        <v>18.006093069028402</v>
      </c>
    </row>
    <row r="2334" spans="2:2" ht="15.6">
      <c r="B2334" s="197">
        <v>18.272720498431259</v>
      </c>
    </row>
    <row r="2335" spans="2:2" ht="15.6">
      <c r="B2335" s="197">
        <v>18.150564754231063</v>
      </c>
    </row>
    <row r="2336" spans="2:2" ht="15.6">
      <c r="B2336" s="197">
        <v>17.988353041326821</v>
      </c>
    </row>
    <row r="2337" spans="2:2" ht="15.6">
      <c r="B2337" s="197">
        <v>17.942139474379719</v>
      </c>
    </row>
    <row r="2338" spans="2:2" ht="15.6">
      <c r="B2338" s="197">
        <v>17.758664377081306</v>
      </c>
    </row>
    <row r="2339" spans="2:2" ht="15.6">
      <c r="B2339" s="197">
        <v>18.171942169138223</v>
      </c>
    </row>
    <row r="2340" spans="2:2" ht="15.6">
      <c r="B2340" s="197">
        <v>17.94038067292302</v>
      </c>
    </row>
    <row r="2341" spans="2:2" ht="15.6">
      <c r="B2341" s="197">
        <v>18.054660188391455</v>
      </c>
    </row>
    <row r="2342" spans="2:2" ht="15.6">
      <c r="B2342" s="197">
        <v>18.029824751950549</v>
      </c>
    </row>
    <row r="2343" spans="2:2" ht="15.6">
      <c r="B2343" s="197">
        <v>18.361104443893083</v>
      </c>
    </row>
    <row r="2344" spans="2:2" ht="15.6">
      <c r="B2344" s="197">
        <v>18.351716247136014</v>
      </c>
    </row>
    <row r="2345" spans="2:2" ht="15.6">
      <c r="B2345" s="197">
        <v>18.258489369915267</v>
      </c>
    </row>
    <row r="2346" spans="2:2" ht="15.6">
      <c r="B2346" s="197">
        <v>17.978123624849797</v>
      </c>
    </row>
    <row r="2347" spans="2:2" ht="15.6">
      <c r="B2347" s="197">
        <v>18.315824070340913</v>
      </c>
    </row>
    <row r="2348" spans="2:2" ht="15.6">
      <c r="B2348" s="197">
        <v>18.01155964083258</v>
      </c>
    </row>
    <row r="2349" spans="2:2" ht="15.6">
      <c r="B2349" s="197">
        <v>18.323274193869487</v>
      </c>
    </row>
    <row r="2350" spans="2:2" ht="15.6">
      <c r="B2350" s="197">
        <v>18.182305156125352</v>
      </c>
    </row>
    <row r="2351" spans="2:2" ht="15.6">
      <c r="B2351" s="197">
        <v>18.375787371290095</v>
      </c>
    </row>
    <row r="2352" spans="2:2" ht="15.6">
      <c r="B2352" s="197">
        <v>18.265560646759031</v>
      </c>
    </row>
    <row r="2353" spans="2:2" ht="15.6">
      <c r="B2353" s="197">
        <v>18.206310428255421</v>
      </c>
    </row>
    <row r="2354" spans="2:2" ht="15.6">
      <c r="B2354" s="197">
        <v>18.227850979273594</v>
      </c>
    </row>
    <row r="2355" spans="2:2" ht="15.6">
      <c r="B2355" s="197">
        <v>18.035980102155794</v>
      </c>
    </row>
    <row r="2356" spans="2:2" ht="15.6">
      <c r="B2356" s="197">
        <v>18.1999895118844</v>
      </c>
    </row>
    <row r="2357" spans="2:2" ht="15.6">
      <c r="B2357" s="197">
        <v>18.263880134382443</v>
      </c>
    </row>
    <row r="2358" spans="2:2" ht="15.6">
      <c r="B2358" s="197">
        <v>17.768550152772587</v>
      </c>
    </row>
    <row r="2359" spans="2:2" ht="15.6">
      <c r="B2359" s="197">
        <v>18.256941471953404</v>
      </c>
    </row>
    <row r="2360" spans="2:2" ht="15.6">
      <c r="B2360" s="197">
        <v>18.113506972079545</v>
      </c>
    </row>
    <row r="2361" spans="2:2" ht="15.6">
      <c r="B2361" s="197">
        <v>18.135398756354014</v>
      </c>
    </row>
    <row r="2362" spans="2:2" ht="15.6">
      <c r="B2362" s="197">
        <v>18.329816615091634</v>
      </c>
    </row>
    <row r="2363" spans="2:2" ht="15.6">
      <c r="B2363" s="197">
        <v>17.9696104359742</v>
      </c>
    </row>
    <row r="2364" spans="2:2" ht="15.6">
      <c r="B2364" s="197">
        <v>18.132488263520134</v>
      </c>
    </row>
    <row r="2365" spans="2:2" ht="15.6">
      <c r="B2365" s="197">
        <v>18.107298808656147</v>
      </c>
    </row>
    <row r="2366" spans="2:2" ht="15.6">
      <c r="B2366" s="197">
        <v>18.083999127606791</v>
      </c>
    </row>
    <row r="2367" spans="2:2" ht="15.6">
      <c r="B2367" s="197">
        <v>17.813216602261981</v>
      </c>
    </row>
    <row r="2368" spans="2:2" ht="15.6">
      <c r="B2368" s="197">
        <v>18.498560744980555</v>
      </c>
    </row>
    <row r="2369" spans="2:2" ht="15.6">
      <c r="B2369" s="197">
        <v>18.070368241895142</v>
      </c>
    </row>
    <row r="2370" spans="2:2" ht="15.6">
      <c r="B2370" s="197">
        <v>18.33080736761309</v>
      </c>
    </row>
    <row r="2371" spans="2:2" ht="15.6">
      <c r="B2371" s="197">
        <v>18.100546886786489</v>
      </c>
    </row>
    <row r="2372" spans="2:2" ht="15.6">
      <c r="B2372" s="197">
        <v>18.339375371469973</v>
      </c>
    </row>
    <row r="2373" spans="2:2" ht="15.6">
      <c r="B2373" s="197">
        <v>18.24809099876359</v>
      </c>
    </row>
    <row r="2374" spans="2:2" ht="15.6">
      <c r="B2374" s="197">
        <v>17.953690257637916</v>
      </c>
    </row>
    <row r="2375" spans="2:2" ht="15.6">
      <c r="B2375" s="197">
        <v>18.413599934488012</v>
      </c>
    </row>
    <row r="2376" spans="2:2" ht="15.6">
      <c r="B2376" s="197">
        <v>18.006933179470874</v>
      </c>
    </row>
    <row r="2377" spans="2:2" ht="15.6">
      <c r="B2377" s="197">
        <v>17.9722268268665</v>
      </c>
    </row>
    <row r="2378" spans="2:2" ht="15.6">
      <c r="B2378" s="197">
        <v>18.367549748852547</v>
      </c>
    </row>
    <row r="2379" spans="2:2" ht="15.6">
      <c r="B2379" s="197">
        <v>18.130297156920243</v>
      </c>
    </row>
    <row r="2380" spans="2:2" ht="15.6">
      <c r="B2380" s="197">
        <v>18.102187181575658</v>
      </c>
    </row>
    <row r="2381" spans="2:2" ht="15.6">
      <c r="B2381" s="197">
        <v>18.052721037454798</v>
      </c>
    </row>
    <row r="2382" spans="2:2" ht="15.6">
      <c r="B2382" s="197">
        <v>18.467809281561458</v>
      </c>
    </row>
    <row r="2383" spans="2:2" ht="15.6">
      <c r="B2383" s="197">
        <v>18.14178988973752</v>
      </c>
    </row>
    <row r="2384" spans="2:2" ht="15.6">
      <c r="B2384" s="197">
        <v>18.263664446536573</v>
      </c>
    </row>
    <row r="2385" spans="2:2" ht="15.6">
      <c r="B2385" s="197">
        <v>18.671462019889834</v>
      </c>
    </row>
    <row r="2386" spans="2:2" ht="15.6">
      <c r="B2386" s="197">
        <v>18.017672820454838</v>
      </c>
    </row>
    <row r="2387" spans="2:2" ht="15.6">
      <c r="B2387" s="197">
        <v>18.211955605935138</v>
      </c>
    </row>
    <row r="2388" spans="2:2" ht="15.6">
      <c r="B2388" s="197">
        <v>17.948374778909542</v>
      </c>
    </row>
    <row r="2389" spans="2:2" ht="15.6">
      <c r="B2389" s="197">
        <v>18.268944468592093</v>
      </c>
    </row>
    <row r="2390" spans="2:2" ht="15.6">
      <c r="B2390" s="197">
        <v>18.178824523865313</v>
      </c>
    </row>
    <row r="2391" spans="2:2" ht="15.6">
      <c r="B2391" s="197">
        <v>18.197641843948244</v>
      </c>
    </row>
    <row r="2392" spans="2:2" ht="15.6">
      <c r="B2392" s="197">
        <v>18.137990907166316</v>
      </c>
    </row>
    <row r="2393" spans="2:2" ht="15.6">
      <c r="B2393" s="197">
        <v>18.200358453673616</v>
      </c>
    </row>
    <row r="2394" spans="2:2" ht="15.6">
      <c r="B2394" s="197">
        <v>18.11886297963488</v>
      </c>
    </row>
    <row r="2395" spans="2:2" ht="15.6">
      <c r="B2395" s="197">
        <v>18.117047044934981</v>
      </c>
    </row>
    <row r="2396" spans="2:2" ht="15.6">
      <c r="B2396" s="197">
        <v>18.054676068844536</v>
      </c>
    </row>
    <row r="2397" spans="2:2" ht="15.6">
      <c r="B2397" s="197">
        <v>18.415018237326365</v>
      </c>
    </row>
    <row r="2398" spans="2:2" ht="15.6">
      <c r="B2398" s="197">
        <v>18.092976477611248</v>
      </c>
    </row>
    <row r="2399" spans="2:2" ht="15.6">
      <c r="B2399" s="197">
        <v>18.392152630680876</v>
      </c>
    </row>
    <row r="2400" spans="2:2" ht="15.6">
      <c r="B2400" s="197">
        <v>18.079207507472024</v>
      </c>
    </row>
    <row r="2401" spans="2:2" ht="15.6">
      <c r="B2401" s="197">
        <v>18.285354702902321</v>
      </c>
    </row>
    <row r="2402" spans="2:2" ht="15.6">
      <c r="B2402" s="197">
        <v>18.266142281252275</v>
      </c>
    </row>
    <row r="2403" spans="2:2" ht="15.6">
      <c r="B2403" s="197">
        <v>18.266537423234446</v>
      </c>
    </row>
    <row r="2404" spans="2:2" ht="15.6">
      <c r="B2404" s="197">
        <v>18.032432570887124</v>
      </c>
    </row>
    <row r="2405" spans="2:2" ht="15.6">
      <c r="B2405" s="197">
        <v>18.490209277182924</v>
      </c>
    </row>
    <row r="2406" spans="2:2" ht="15.6">
      <c r="B2406" s="197">
        <v>18.179250769344403</v>
      </c>
    </row>
    <row r="2407" spans="2:2" ht="15.6">
      <c r="B2407" s="197">
        <v>17.986695974026549</v>
      </c>
    </row>
    <row r="2408" spans="2:2" ht="15.6">
      <c r="B2408" s="197">
        <v>18.372549504593206</v>
      </c>
    </row>
    <row r="2409" spans="2:2" ht="15.6">
      <c r="B2409" s="197">
        <v>17.756909689979221</v>
      </c>
    </row>
    <row r="2410" spans="2:2" ht="15.6">
      <c r="B2410" s="197">
        <v>18.090393807813363</v>
      </c>
    </row>
    <row r="2411" spans="2:2" ht="15.6">
      <c r="B2411" s="197">
        <v>18.203018532641423</v>
      </c>
    </row>
    <row r="2412" spans="2:2" ht="15.6">
      <c r="B2412" s="197">
        <v>18.219761561902075</v>
      </c>
    </row>
    <row r="2413" spans="2:2" ht="15.6">
      <c r="B2413" s="197">
        <v>18.361225406624055</v>
      </c>
    </row>
    <row r="2414" spans="2:2" ht="15.6">
      <c r="B2414" s="197">
        <v>18.317808770577173</v>
      </c>
    </row>
    <row r="2415" spans="2:2" ht="15.6">
      <c r="B2415" s="197">
        <v>18.009125642405891</v>
      </c>
    </row>
    <row r="2416" spans="2:2" ht="15.6">
      <c r="B2416" s="197">
        <v>17.748095083672077</v>
      </c>
    </row>
    <row r="2417" spans="2:2" ht="15.6">
      <c r="B2417" s="197">
        <v>18.110274547353637</v>
      </c>
    </row>
    <row r="2418" spans="2:2" ht="15.6">
      <c r="B2418" s="197">
        <v>18.153709318277599</v>
      </c>
    </row>
    <row r="2419" spans="2:2" ht="15.6">
      <c r="B2419" s="197">
        <v>17.975434510463799</v>
      </c>
    </row>
    <row r="2420" spans="2:2" ht="15.6">
      <c r="B2420" s="197">
        <v>18.065484924606654</v>
      </c>
    </row>
    <row r="2421" spans="2:2" ht="15.6">
      <c r="B2421" s="197">
        <v>18.385146231173451</v>
      </c>
    </row>
    <row r="2422" spans="2:2" ht="15.6">
      <c r="B2422" s="197">
        <v>17.869768987751424</v>
      </c>
    </row>
    <row r="2423" spans="2:2" ht="15.6">
      <c r="B2423" s="197">
        <v>18.313108874337765</v>
      </c>
    </row>
    <row r="2424" spans="2:2" ht="15.6">
      <c r="B2424" s="197">
        <v>18.212928227615699</v>
      </c>
    </row>
    <row r="2425" spans="2:2" ht="15.6">
      <c r="B2425" s="197">
        <v>17.994464335649024</v>
      </c>
    </row>
    <row r="2426" spans="2:2" ht="15.6">
      <c r="B2426" s="197">
        <v>18.089480060209464</v>
      </c>
    </row>
    <row r="2427" spans="2:2" ht="15.6">
      <c r="B2427" s="197">
        <v>18.121267071953586</v>
      </c>
    </row>
    <row r="2428" spans="2:2" ht="15.6">
      <c r="B2428" s="197">
        <v>18.266169179516545</v>
      </c>
    </row>
    <row r="2429" spans="2:2" ht="15.6">
      <c r="B2429" s="197">
        <v>18.506823420033321</v>
      </c>
    </row>
    <row r="2430" spans="2:2" ht="15.6">
      <c r="B2430" s="197">
        <v>18.332827147026883</v>
      </c>
    </row>
    <row r="2431" spans="2:2" ht="15.6">
      <c r="B2431" s="197">
        <v>18.465151480409446</v>
      </c>
    </row>
    <row r="2432" spans="2:2" ht="15.6">
      <c r="B2432" s="197">
        <v>18.190250320626436</v>
      </c>
    </row>
    <row r="2433" spans="2:2" ht="15.6">
      <c r="B2433" s="197">
        <v>18.184252082972666</v>
      </c>
    </row>
    <row r="2434" spans="2:2" ht="15.6">
      <c r="B2434" s="197">
        <v>17.966491197890626</v>
      </c>
    </row>
    <row r="2435" spans="2:2" ht="15.6">
      <c r="B2435" s="197">
        <v>18.399948919799815</v>
      </c>
    </row>
    <row r="2436" spans="2:2" ht="15.6">
      <c r="B2436" s="197">
        <v>18.367153330553911</v>
      </c>
    </row>
    <row r="2437" spans="2:2" ht="15.6">
      <c r="B2437" s="197">
        <v>18.09691468530303</v>
      </c>
    </row>
    <row r="2438" spans="2:2" ht="15.6">
      <c r="B2438" s="197">
        <v>17.916307954058968</v>
      </c>
    </row>
    <row r="2439" spans="2:2" ht="15.6">
      <c r="B2439" s="197">
        <v>18.55144954922304</v>
      </c>
    </row>
    <row r="2440" spans="2:2" ht="15.6">
      <c r="B2440" s="197">
        <v>18.206047096890149</v>
      </c>
    </row>
    <row r="2441" spans="2:2" ht="15.6">
      <c r="B2441" s="197">
        <v>18.25179099443891</v>
      </c>
    </row>
    <row r="2442" spans="2:2" ht="15.6">
      <c r="B2442" s="197">
        <v>17.733679782177404</v>
      </c>
    </row>
    <row r="2443" spans="2:2" ht="15.6">
      <c r="B2443" s="197">
        <v>17.973669081983388</v>
      </c>
    </row>
    <row r="2444" spans="2:2" ht="15.6">
      <c r="B2444" s="197">
        <v>18.198430813049036</v>
      </c>
    </row>
    <row r="2445" spans="2:2" ht="15.6">
      <c r="B2445" s="197">
        <v>18.33113998884021</v>
      </c>
    </row>
    <row r="2446" spans="2:2" ht="15.6">
      <c r="B2446" s="197">
        <v>18.014377352816695</v>
      </c>
    </row>
    <row r="2447" spans="2:2" ht="15.6">
      <c r="B2447" s="197">
        <v>17.972635338241584</v>
      </c>
    </row>
    <row r="2448" spans="2:2" ht="15.6">
      <c r="B2448" s="197">
        <v>17.819610034351275</v>
      </c>
    </row>
    <row r="2449" spans="2:2" ht="15.6">
      <c r="B2449" s="197">
        <v>18.137381534163858</v>
      </c>
    </row>
    <row r="2450" spans="2:2" ht="15.6">
      <c r="B2450" s="197">
        <v>17.714099603259129</v>
      </c>
    </row>
    <row r="2451" spans="2:2" ht="15.6">
      <c r="B2451" s="197">
        <v>18.123580606256105</v>
      </c>
    </row>
    <row r="2452" spans="2:2" ht="15.6">
      <c r="B2452" s="197">
        <v>17.793404860737379</v>
      </c>
    </row>
    <row r="2453" spans="2:2" ht="15.6">
      <c r="B2453" s="197">
        <v>18.077261799820011</v>
      </c>
    </row>
    <row r="2454" spans="2:2" ht="15.6">
      <c r="B2454" s="197">
        <v>17.971682189671412</v>
      </c>
    </row>
    <row r="2455" spans="2:2" ht="15.6">
      <c r="B2455" s="197">
        <v>18.048832679883528</v>
      </c>
    </row>
    <row r="2456" spans="2:2" ht="15.6">
      <c r="B2456" s="197">
        <v>18.080790039614495</v>
      </c>
    </row>
    <row r="2457" spans="2:2" ht="15.6">
      <c r="B2457" s="197">
        <v>18.395136006493477</v>
      </c>
    </row>
    <row r="2458" spans="2:2" ht="15.6">
      <c r="B2458" s="197">
        <v>17.95359761461145</v>
      </c>
    </row>
    <row r="2459" spans="2:2" ht="15.6">
      <c r="B2459" s="197">
        <v>18.347954525899215</v>
      </c>
    </row>
    <row r="2460" spans="2:2" ht="15.6">
      <c r="B2460" s="197">
        <v>18.02479721950111</v>
      </c>
    </row>
    <row r="2461" spans="2:2" ht="15.6">
      <c r="B2461" s="197">
        <v>17.938143907255654</v>
      </c>
    </row>
    <row r="2462" spans="2:2" ht="15.6">
      <c r="B2462" s="197">
        <v>18.441451107900601</v>
      </c>
    </row>
    <row r="2463" spans="2:2" ht="15.6">
      <c r="B2463" s="197">
        <v>18.293706004325717</v>
      </c>
    </row>
    <row r="2464" spans="2:2" ht="15.6">
      <c r="B2464" s="197">
        <v>18.298477064358785</v>
      </c>
    </row>
    <row r="2465" spans="2:2" ht="15.6">
      <c r="B2465" s="197">
        <v>18.077589327332895</v>
      </c>
    </row>
    <row r="2466" spans="2:2" ht="15.6">
      <c r="B2466" s="197">
        <v>18.37282058903287</v>
      </c>
    </row>
    <row r="2467" spans="2:2" ht="15.6">
      <c r="B2467" s="197">
        <v>18.101343411461823</v>
      </c>
    </row>
    <row r="2468" spans="2:2" ht="15.6">
      <c r="B2468" s="197">
        <v>18.169342993346056</v>
      </c>
    </row>
    <row r="2469" spans="2:2" ht="15.6">
      <c r="B2469" s="197">
        <v>18.120061303054445</v>
      </c>
    </row>
    <row r="2470" spans="2:2" ht="15.6">
      <c r="B2470" s="197">
        <v>18.461195196759764</v>
      </c>
    </row>
    <row r="2471" spans="2:2" ht="15.6">
      <c r="B2471" s="197">
        <v>18.028084359397337</v>
      </c>
    </row>
    <row r="2472" spans="2:2" ht="15.6">
      <c r="B2472" s="197">
        <v>18.234241318206895</v>
      </c>
    </row>
    <row r="2473" spans="2:2" ht="15.6">
      <c r="B2473" s="197">
        <v>17.997874510701021</v>
      </c>
    </row>
    <row r="2474" spans="2:2" ht="15.6">
      <c r="B2474" s="197">
        <v>18.212734468132584</v>
      </c>
    </row>
    <row r="2475" spans="2:2" ht="15.6">
      <c r="B2475" s="197">
        <v>18.442771495425358</v>
      </c>
    </row>
    <row r="2476" spans="2:2" ht="15.6">
      <c r="B2476" s="197">
        <v>18.299539971963874</v>
      </c>
    </row>
    <row r="2477" spans="2:2" ht="15.6">
      <c r="B2477" s="197">
        <v>18.115176934486708</v>
      </c>
    </row>
    <row r="2478" spans="2:2" ht="15.6">
      <c r="B2478" s="197">
        <v>17.982538734238091</v>
      </c>
    </row>
    <row r="2479" spans="2:2" ht="15.6">
      <c r="B2479" s="197">
        <v>18.263723261245037</v>
      </c>
    </row>
    <row r="2480" spans="2:2" ht="15.6">
      <c r="B2480" s="197">
        <v>17.966007103325655</v>
      </c>
    </row>
    <row r="2481" spans="2:2" ht="15.6">
      <c r="B2481" s="197">
        <v>18.157417679912744</v>
      </c>
    </row>
    <row r="2482" spans="2:2" ht="15.6">
      <c r="B2482" s="197">
        <v>18.146765429498974</v>
      </c>
    </row>
    <row r="2483" spans="2:2" ht="15.6">
      <c r="B2483" s="197">
        <v>18.115747118152512</v>
      </c>
    </row>
    <row r="2484" spans="2:2" ht="15.6">
      <c r="B2484" s="197">
        <v>18.060444945027836</v>
      </c>
    </row>
    <row r="2485" spans="2:2" ht="15.6">
      <c r="B2485" s="197">
        <v>18.1078013878872</v>
      </c>
    </row>
    <row r="2486" spans="2:2" ht="15.6">
      <c r="B2486" s="197">
        <v>18.14389982139479</v>
      </c>
    </row>
    <row r="2487" spans="2:2" ht="15.6">
      <c r="B2487" s="197">
        <v>18.11948508346023</v>
      </c>
    </row>
    <row r="2488" spans="2:2" ht="15.6">
      <c r="B2488" s="197">
        <v>18.161757349391575</v>
      </c>
    </row>
    <row r="2489" spans="2:2" ht="15.6">
      <c r="B2489" s="197">
        <v>18.253278474827969</v>
      </c>
    </row>
    <row r="2490" spans="2:2" ht="15.6">
      <c r="B2490" s="197">
        <v>18.100445569308437</v>
      </c>
    </row>
    <row r="2491" spans="2:2" ht="15.6">
      <c r="B2491" s="197">
        <v>18.222589080574309</v>
      </c>
    </row>
    <row r="2492" spans="2:2" ht="15.6">
      <c r="B2492" s="197">
        <v>18.212814249074992</v>
      </c>
    </row>
    <row r="2493" spans="2:2" ht="15.6">
      <c r="B2493" s="197">
        <v>18.199669883469639</v>
      </c>
    </row>
    <row r="2494" spans="2:2" ht="15.6">
      <c r="B2494" s="197">
        <v>18.047878270510019</v>
      </c>
    </row>
    <row r="2495" spans="2:2" ht="15.6">
      <c r="B2495" s="197">
        <v>17.839241999749969</v>
      </c>
    </row>
    <row r="2496" spans="2:2" ht="15.6">
      <c r="B2496" s="197">
        <v>18.278792558046369</v>
      </c>
    </row>
    <row r="2497" spans="2:2" ht="15.6">
      <c r="B2497" s="197">
        <v>18.221600358120575</v>
      </c>
    </row>
    <row r="2498" spans="2:2" ht="15.6">
      <c r="B2498" s="197">
        <v>17.823867426360255</v>
      </c>
    </row>
    <row r="2499" spans="2:2" ht="15.6">
      <c r="B2499" s="197">
        <v>17.875001129208918</v>
      </c>
    </row>
    <row r="2500" spans="2:2" ht="15.6">
      <c r="B2500" s="197">
        <v>17.988174090602712</v>
      </c>
    </row>
    <row r="2501" spans="2:2" ht="15.6">
      <c r="B2501" s="197">
        <v>18.381204947368929</v>
      </c>
    </row>
    <row r="2502" spans="2:2" ht="15.6">
      <c r="B2502" s="197">
        <v>18.055314851695247</v>
      </c>
    </row>
    <row r="2503" spans="2:2" ht="15.6">
      <c r="B2503" s="197">
        <v>18.091976940454952</v>
      </c>
    </row>
    <row r="2504" spans="2:2" ht="15.6">
      <c r="B2504" s="197">
        <v>18.112243323662735</v>
      </c>
    </row>
    <row r="2505" spans="2:2" ht="15.6">
      <c r="B2505" s="197">
        <v>18.18794805679229</v>
      </c>
    </row>
    <row r="2506" spans="2:2" ht="15.6">
      <c r="B2506" s="197">
        <v>18.068965782404149</v>
      </c>
    </row>
    <row r="2507" spans="2:2" ht="15.6">
      <c r="B2507" s="197">
        <v>18.314012532453678</v>
      </c>
    </row>
    <row r="2508" spans="2:2" ht="15.6">
      <c r="B2508" s="197">
        <v>18.348762121051713</v>
      </c>
    </row>
    <row r="2509" spans="2:2" ht="15.6">
      <c r="B2509" s="197">
        <v>18.172851613346047</v>
      </c>
    </row>
    <row r="2510" spans="2:2" ht="15.6">
      <c r="B2510" s="197">
        <v>18.281023370423483</v>
      </c>
    </row>
    <row r="2511" spans="2:2" ht="15.6">
      <c r="B2511" s="197">
        <v>18.262412042078271</v>
      </c>
    </row>
    <row r="2512" spans="2:2" ht="15.6">
      <c r="B2512" s="197">
        <v>18.141021337194626</v>
      </c>
    </row>
    <row r="2513" spans="2:2" ht="15.6">
      <c r="B2513" s="197">
        <v>18.174891407203607</v>
      </c>
    </row>
    <row r="2514" spans="2:2" ht="15.6">
      <c r="B2514" s="197">
        <v>18.394342240132865</v>
      </c>
    </row>
    <row r="2515" spans="2:2" ht="15.6">
      <c r="B2515" s="197">
        <v>18.01158507063835</v>
      </c>
    </row>
    <row r="2516" spans="2:2" ht="15.6">
      <c r="B2516" s="197">
        <v>18.129244315145908</v>
      </c>
    </row>
    <row r="2517" spans="2:2" ht="15.6">
      <c r="B2517" s="197">
        <v>18.295119821252481</v>
      </c>
    </row>
    <row r="2518" spans="2:2" ht="15.6">
      <c r="B2518" s="197">
        <v>18.419159732691593</v>
      </c>
    </row>
    <row r="2519" spans="2:2" ht="15.6">
      <c r="B2519" s="197">
        <v>18.292477714868983</v>
      </c>
    </row>
    <row r="2520" spans="2:2" ht="15.6">
      <c r="B2520" s="197">
        <v>18.186005540180673</v>
      </c>
    </row>
    <row r="2521" spans="2:2" ht="15.6">
      <c r="B2521" s="197">
        <v>18.451295055240497</v>
      </c>
    </row>
    <row r="2522" spans="2:2" ht="15.6">
      <c r="B2522" s="197">
        <v>18.359969099208737</v>
      </c>
    </row>
    <row r="2523" spans="2:2" ht="15.6">
      <c r="B2523" s="197">
        <v>18.063406327685257</v>
      </c>
    </row>
    <row r="2524" spans="2:2" ht="15.6">
      <c r="B2524" s="197">
        <v>17.857484207208834</v>
      </c>
    </row>
    <row r="2525" spans="2:2" ht="15.6">
      <c r="B2525" s="197">
        <v>18.241434193124864</v>
      </c>
    </row>
    <row r="2526" spans="2:2" ht="15.6">
      <c r="B2526" s="197">
        <v>18.413057354360046</v>
      </c>
    </row>
    <row r="2527" spans="2:2" ht="15.6">
      <c r="B2527" s="197">
        <v>18.302237435490547</v>
      </c>
    </row>
    <row r="2528" spans="2:2" ht="15.6">
      <c r="B2528" s="197">
        <v>18.322686504983341</v>
      </c>
    </row>
    <row r="2529" spans="2:2" ht="15.6">
      <c r="B2529" s="197">
        <v>18.410422804927336</v>
      </c>
    </row>
    <row r="2530" spans="2:2" ht="15.6">
      <c r="B2530" s="197">
        <v>18.123811987246853</v>
      </c>
    </row>
    <row r="2531" spans="2:2" ht="15.6">
      <c r="B2531" s="197">
        <v>17.856844844779292</v>
      </c>
    </row>
    <row r="2532" spans="2:2" ht="15.6">
      <c r="B2532" s="197">
        <v>18.166025250185818</v>
      </c>
    </row>
    <row r="2533" spans="2:2" ht="15.6">
      <c r="B2533" s="197">
        <v>18.143016549401608</v>
      </c>
    </row>
    <row r="2534" spans="2:2" ht="15.6">
      <c r="B2534" s="197">
        <v>18.094568169504083</v>
      </c>
    </row>
    <row r="2535" spans="2:2" ht="15.6">
      <c r="B2535" s="197">
        <v>18.510193018299777</v>
      </c>
    </row>
    <row r="2536" spans="2:2" ht="15.6">
      <c r="B2536" s="197">
        <v>18.177458447246185</v>
      </c>
    </row>
    <row r="2537" spans="2:2" ht="15.6">
      <c r="B2537" s="197">
        <v>18.442057157122772</v>
      </c>
    </row>
    <row r="2538" spans="2:2" ht="15.6">
      <c r="B2538" s="197">
        <v>17.728563201526693</v>
      </c>
    </row>
    <row r="2539" spans="2:2" ht="15.6">
      <c r="B2539" s="197">
        <v>17.991499367338335</v>
      </c>
    </row>
    <row r="2540" spans="2:2" ht="15.6">
      <c r="B2540" s="197">
        <v>18.511784466702402</v>
      </c>
    </row>
    <row r="2541" spans="2:2" ht="15.6">
      <c r="B2541" s="197">
        <v>18.110778746327099</v>
      </c>
    </row>
    <row r="2542" spans="2:2" ht="15.6">
      <c r="B2542" s="197">
        <v>17.892113906508062</v>
      </c>
    </row>
    <row r="2543" spans="2:2" ht="15.6">
      <c r="B2543" s="197">
        <v>17.787946972467662</v>
      </c>
    </row>
    <row r="2544" spans="2:2" ht="15.6">
      <c r="B2544" s="197">
        <v>18.318336525872354</v>
      </c>
    </row>
    <row r="2545" spans="2:2" ht="15.6">
      <c r="B2545" s="197">
        <v>18.133679888836991</v>
      </c>
    </row>
    <row r="2546" spans="2:2" ht="15.6">
      <c r="B2546" s="197">
        <v>17.835798581224957</v>
      </c>
    </row>
    <row r="2547" spans="2:2" ht="15.6">
      <c r="B2547" s="197">
        <v>18.191930725417436</v>
      </c>
    </row>
    <row r="2548" spans="2:2" ht="15.6">
      <c r="B2548" s="197">
        <v>17.847449795722451</v>
      </c>
    </row>
    <row r="2549" spans="2:2" ht="15.6">
      <c r="B2549" s="197">
        <v>18.361349208215142</v>
      </c>
    </row>
    <row r="2550" spans="2:2" ht="15.6">
      <c r="B2550" s="197">
        <v>17.886538360066282</v>
      </c>
    </row>
    <row r="2551" spans="2:2" ht="15.6">
      <c r="B2551" s="197">
        <v>18.288350250064529</v>
      </c>
    </row>
    <row r="2552" spans="2:2" ht="15.6">
      <c r="B2552" s="197">
        <v>18.365082499459827</v>
      </c>
    </row>
    <row r="2553" spans="2:2" ht="15.6">
      <c r="B2553" s="197">
        <v>18.34714263951798</v>
      </c>
    </row>
    <row r="2554" spans="2:2" ht="15.6">
      <c r="B2554" s="197">
        <v>17.636766234498452</v>
      </c>
    </row>
    <row r="2555" spans="2:2" ht="15.6">
      <c r="B2555" s="197">
        <v>17.840253140605494</v>
      </c>
    </row>
    <row r="2556" spans="2:2" ht="15.6">
      <c r="B2556" s="197">
        <v>18.063693281014483</v>
      </c>
    </row>
    <row r="2557" spans="2:2" ht="15.6">
      <c r="B2557" s="197">
        <v>18.332693336001956</v>
      </c>
    </row>
    <row r="2558" spans="2:2" ht="15.6">
      <c r="B2558" s="197">
        <v>18.21204144529322</v>
      </c>
    </row>
    <row r="2559" spans="2:2" ht="15.6">
      <c r="B2559" s="197">
        <v>18.182695823073015</v>
      </c>
    </row>
    <row r="2560" spans="2:2" ht="15.6">
      <c r="B2560" s="197">
        <v>17.883646172717338</v>
      </c>
    </row>
    <row r="2561" spans="2:2" ht="15.6">
      <c r="B2561" s="197">
        <v>18.360385298656489</v>
      </c>
    </row>
    <row r="2562" spans="2:2" ht="15.6">
      <c r="B2562" s="197">
        <v>18.282952600120836</v>
      </c>
    </row>
    <row r="2563" spans="2:2" ht="15.6">
      <c r="B2563" s="197">
        <v>17.998974621954371</v>
      </c>
    </row>
    <row r="2564" spans="2:2" ht="15.6">
      <c r="B2564" s="197">
        <v>18.263979047302108</v>
      </c>
    </row>
    <row r="2565" spans="2:2" ht="15.6">
      <c r="B2565" s="197">
        <v>18.364118645405391</v>
      </c>
    </row>
    <row r="2566" spans="2:2" ht="15.6">
      <c r="B2566" s="197">
        <v>17.933240456140766</v>
      </c>
    </row>
    <row r="2567" spans="2:2" ht="15.6">
      <c r="B2567" s="197">
        <v>18.170927549635294</v>
      </c>
    </row>
    <row r="2568" spans="2:2" ht="15.6">
      <c r="B2568" s="197">
        <v>17.854384659992153</v>
      </c>
    </row>
    <row r="2569" spans="2:2" ht="15.6">
      <c r="B2569" s="197">
        <v>18.132383724893376</v>
      </c>
    </row>
    <row r="2570" spans="2:2" ht="15.6">
      <c r="B2570" s="197">
        <v>17.967133819505847</v>
      </c>
    </row>
    <row r="2571" spans="2:2" ht="15.6">
      <c r="B2571" s="197">
        <v>18.2328072563989</v>
      </c>
    </row>
    <row r="2572" spans="2:2" ht="15.6">
      <c r="B2572" s="197">
        <v>18.029855636242079</v>
      </c>
    </row>
    <row r="2573" spans="2:2" ht="15.6">
      <c r="B2573" s="197">
        <v>17.912661994351108</v>
      </c>
    </row>
    <row r="2574" spans="2:2" ht="15.6">
      <c r="B2574" s="197">
        <v>18.168743119067454</v>
      </c>
    </row>
    <row r="2575" spans="2:2" ht="15.6">
      <c r="B2575" s="197">
        <v>17.912683868833263</v>
      </c>
    </row>
    <row r="2576" spans="2:2" ht="15.6">
      <c r="B2576" s="197">
        <v>18.205465235101379</v>
      </c>
    </row>
    <row r="2577" spans="2:2" ht="15.6">
      <c r="B2577" s="197">
        <v>18.048971559045036</v>
      </c>
    </row>
    <row r="2578" spans="2:2" ht="15.6">
      <c r="B2578" s="197">
        <v>17.758935724587353</v>
      </c>
    </row>
    <row r="2579" spans="2:2" ht="15.6">
      <c r="B2579" s="197">
        <v>17.858231194498305</v>
      </c>
    </row>
    <row r="2580" spans="2:2" ht="15.6">
      <c r="B2580" s="197">
        <v>18.187801976574708</v>
      </c>
    </row>
    <row r="2581" spans="2:2" ht="15.6">
      <c r="B2581" s="197">
        <v>17.940703789465079</v>
      </c>
    </row>
    <row r="2582" spans="2:2" ht="15.6">
      <c r="B2582" s="197">
        <v>17.950645462916921</v>
      </c>
    </row>
    <row r="2583" spans="2:2" ht="15.6">
      <c r="B2583" s="197">
        <v>18.512232436729299</v>
      </c>
    </row>
    <row r="2584" spans="2:2" ht="15.6">
      <c r="B2584" s="197">
        <v>18.035038740575533</v>
      </c>
    </row>
    <row r="2585" spans="2:2" ht="15.6">
      <c r="B2585" s="197">
        <v>17.972554948956105</v>
      </c>
    </row>
    <row r="2586" spans="2:2" ht="15.6">
      <c r="B2586" s="197">
        <v>18.143650621715317</v>
      </c>
    </row>
    <row r="2587" spans="2:2" ht="15.6">
      <c r="B2587" s="197">
        <v>18.09873223878332</v>
      </c>
    </row>
    <row r="2588" spans="2:2" ht="15.6">
      <c r="B2588" s="197">
        <v>18.308332732542052</v>
      </c>
    </row>
    <row r="2589" spans="2:2" ht="15.6">
      <c r="B2589" s="197">
        <v>18.190266527028527</v>
      </c>
    </row>
    <row r="2590" spans="2:2" ht="15.6">
      <c r="B2590" s="197">
        <v>18.152322344488624</v>
      </c>
    </row>
    <row r="2591" spans="2:2" ht="15.6">
      <c r="B2591" s="197">
        <v>18.276885777880537</v>
      </c>
    </row>
    <row r="2592" spans="2:2" ht="15.6">
      <c r="B2592" s="197">
        <v>17.973593358450348</v>
      </c>
    </row>
    <row r="2593" spans="2:2" ht="15.6">
      <c r="B2593" s="197">
        <v>18.146469447086407</v>
      </c>
    </row>
    <row r="2594" spans="2:2" ht="15.6">
      <c r="B2594" s="197">
        <v>18.167150123982999</v>
      </c>
    </row>
    <row r="2595" spans="2:2" ht="15.6">
      <c r="B2595" s="197">
        <v>18.398930464678692</v>
      </c>
    </row>
    <row r="2596" spans="2:2" ht="15.6">
      <c r="B2596" s="197">
        <v>18.086623543702622</v>
      </c>
    </row>
    <row r="2597" spans="2:2" ht="15.6">
      <c r="B2597" s="197">
        <v>18.165456052836216</v>
      </c>
    </row>
    <row r="2598" spans="2:2" ht="15.6">
      <c r="B2598" s="197">
        <v>18.092761169146552</v>
      </c>
    </row>
    <row r="2599" spans="2:2" ht="15.6">
      <c r="B2599" s="197">
        <v>18.344296913462106</v>
      </c>
    </row>
    <row r="2600" spans="2:2" ht="15.6">
      <c r="B2600" s="197">
        <v>18.214975002169176</v>
      </c>
    </row>
    <row r="2601" spans="2:2" ht="15.6">
      <c r="B2601" s="197">
        <v>17.954922947580766</v>
      </c>
    </row>
    <row r="2602" spans="2:2" ht="15.6">
      <c r="B2602" s="197">
        <v>18.107219263610585</v>
      </c>
    </row>
    <row r="2603" spans="2:2" ht="15.6">
      <c r="B2603" s="197">
        <v>18.572052811021848</v>
      </c>
    </row>
    <row r="2604" spans="2:2" ht="15.6">
      <c r="B2604" s="197">
        <v>18.484328852331011</v>
      </c>
    </row>
    <row r="2605" spans="2:2" ht="15.6">
      <c r="B2605" s="197">
        <v>17.90190379827612</v>
      </c>
    </row>
    <row r="2606" spans="2:2" ht="15.6">
      <c r="B2606" s="197">
        <v>17.99843177688895</v>
      </c>
    </row>
    <row r="2607" spans="2:2" ht="15.6">
      <c r="B2607" s="197">
        <v>18.083372809725638</v>
      </c>
    </row>
    <row r="2608" spans="2:2" ht="15.6">
      <c r="B2608" s="197">
        <v>18.135063834686051</v>
      </c>
    </row>
    <row r="2609" spans="2:2" ht="15.6">
      <c r="B2609" s="197">
        <v>18.165926460524588</v>
      </c>
    </row>
    <row r="2610" spans="2:2" ht="15.6">
      <c r="B2610" s="197">
        <v>17.911626676173398</v>
      </c>
    </row>
    <row r="2611" spans="2:2" ht="15.6">
      <c r="B2611" s="197">
        <v>18.283341808742176</v>
      </c>
    </row>
    <row r="2612" spans="2:2" ht="15.6">
      <c r="B2612" s="197">
        <v>17.865585551464545</v>
      </c>
    </row>
    <row r="2613" spans="2:2" ht="15.6">
      <c r="B2613" s="197">
        <v>18.077880572075092</v>
      </c>
    </row>
    <row r="2614" spans="2:2" ht="15.6">
      <c r="B2614" s="197">
        <v>18.422681505685695</v>
      </c>
    </row>
    <row r="2615" spans="2:2" ht="15.6">
      <c r="B2615" s="197">
        <v>17.925200463884817</v>
      </c>
    </row>
    <row r="2616" spans="2:2" ht="15.6">
      <c r="B2616" s="197">
        <v>18.374584538976947</v>
      </c>
    </row>
    <row r="2617" spans="2:2" ht="15.6">
      <c r="B2617" s="197">
        <v>18.168980681242999</v>
      </c>
    </row>
    <row r="2618" spans="2:2" ht="15.6">
      <c r="B2618" s="197">
        <v>18.193455048556409</v>
      </c>
    </row>
    <row r="2619" spans="2:2" ht="15.6">
      <c r="B2619" s="197">
        <v>18.014552742948133</v>
      </c>
    </row>
    <row r="2620" spans="2:2" ht="15.6">
      <c r="B2620" s="197">
        <v>18.461304189198565</v>
      </c>
    </row>
    <row r="2621" spans="2:2" ht="15.6">
      <c r="B2621" s="197">
        <v>18.177886617232481</v>
      </c>
    </row>
    <row r="2622" spans="2:2" ht="15.6">
      <c r="B2622" s="197">
        <v>18.006605747642425</v>
      </c>
    </row>
    <row r="2623" spans="2:2" ht="15.6">
      <c r="B2623" s="197">
        <v>18.799374702516758</v>
      </c>
    </row>
    <row r="2624" spans="2:2" ht="15.6">
      <c r="B2624" s="197">
        <v>17.939142939350397</v>
      </c>
    </row>
    <row r="2625" spans="2:2" ht="15.6">
      <c r="B2625" s="197">
        <v>18.465554734830686</v>
      </c>
    </row>
    <row r="2626" spans="2:2" ht="15.6">
      <c r="B2626" s="197">
        <v>18.086120673457383</v>
      </c>
    </row>
    <row r="2627" spans="2:2" ht="15.6">
      <c r="B2627" s="197">
        <v>18.300976326080381</v>
      </c>
    </row>
    <row r="2628" spans="2:2" ht="15.6">
      <c r="B2628" s="197">
        <v>18.29810391584676</v>
      </c>
    </row>
    <row r="2629" spans="2:2" ht="15.6">
      <c r="B2629" s="197">
        <v>18.413190741926119</v>
      </c>
    </row>
    <row r="2630" spans="2:2" ht="15.6">
      <c r="B2630" s="197">
        <v>17.968637794619806</v>
      </c>
    </row>
    <row r="2631" spans="2:2" ht="15.6">
      <c r="B2631" s="197">
        <v>17.984971300659097</v>
      </c>
    </row>
    <row r="2632" spans="2:2" ht="15.6">
      <c r="B2632" s="197">
        <v>17.859526541904895</v>
      </c>
    </row>
    <row r="2633" spans="2:2" ht="15.6">
      <c r="B2633" s="197">
        <v>18.140058951162693</v>
      </c>
    </row>
    <row r="2634" spans="2:2" ht="15.6">
      <c r="B2634" s="197">
        <v>18.144111481287624</v>
      </c>
    </row>
    <row r="2635" spans="2:2" ht="15.6">
      <c r="B2635" s="197">
        <v>18.301880076480433</v>
      </c>
    </row>
    <row r="2636" spans="2:2" ht="15.6">
      <c r="B2636" s="197">
        <v>18.294768476552733</v>
      </c>
    </row>
    <row r="2637" spans="2:2" ht="15.6">
      <c r="B2637" s="197">
        <v>18.09335591811146</v>
      </c>
    </row>
    <row r="2638" spans="2:2" ht="15.6">
      <c r="B2638" s="197">
        <v>18.131526305291054</v>
      </c>
    </row>
    <row r="2639" spans="2:2" ht="15.6">
      <c r="B2639" s="197">
        <v>18.175393049109797</v>
      </c>
    </row>
    <row r="2640" spans="2:2" ht="15.6">
      <c r="B2640" s="197">
        <v>17.984697566210684</v>
      </c>
    </row>
    <row r="2641" spans="2:2" ht="15.6">
      <c r="B2641" s="197">
        <v>18.104830998279287</v>
      </c>
    </row>
    <row r="2642" spans="2:2" ht="15.6">
      <c r="B2642" s="197">
        <v>18.034481822439027</v>
      </c>
    </row>
    <row r="2643" spans="2:2" ht="15.6">
      <c r="B2643" s="197">
        <v>18.148483051289173</v>
      </c>
    </row>
    <row r="2644" spans="2:2" ht="15.6">
      <c r="B2644" s="197">
        <v>18.367415611542818</v>
      </c>
    </row>
    <row r="2645" spans="2:2" ht="15.6">
      <c r="B2645" s="197">
        <v>18.306533766185915</v>
      </c>
    </row>
    <row r="2646" spans="2:2" ht="15.6">
      <c r="B2646" s="197">
        <v>18.15161127804911</v>
      </c>
    </row>
    <row r="2647" spans="2:2" ht="15.6">
      <c r="B2647" s="197">
        <v>17.989037520123386</v>
      </c>
    </row>
    <row r="2648" spans="2:2" ht="15.6">
      <c r="B2648" s="197">
        <v>18.263137702523874</v>
      </c>
    </row>
    <row r="2649" spans="2:2" ht="15.6">
      <c r="B2649" s="197">
        <v>18.07934742254416</v>
      </c>
    </row>
    <row r="2650" spans="2:2" ht="15.6">
      <c r="B2650" s="197">
        <v>17.799734024192052</v>
      </c>
    </row>
    <row r="2651" spans="2:2" ht="15.6">
      <c r="B2651" s="197">
        <v>18.470583454798057</v>
      </c>
    </row>
    <row r="2652" spans="2:2" ht="15.6">
      <c r="B2652" s="197">
        <v>18.227690929506799</v>
      </c>
    </row>
    <row r="2653" spans="2:2" ht="15.6">
      <c r="B2653" s="197">
        <v>18.184196780461644</v>
      </c>
    </row>
    <row r="2654" spans="2:2" ht="15.6">
      <c r="B2654" s="197">
        <v>18.063142006515118</v>
      </c>
    </row>
    <row r="2655" spans="2:2" ht="15.6">
      <c r="B2655" s="197">
        <v>18.449148546240156</v>
      </c>
    </row>
    <row r="2656" spans="2:2" ht="15.6">
      <c r="B2656" s="197">
        <v>17.904695275418216</v>
      </c>
    </row>
    <row r="2657" spans="2:2" ht="15.6">
      <c r="B2657" s="197">
        <v>18.228657254072541</v>
      </c>
    </row>
    <row r="2658" spans="2:2" ht="15.6">
      <c r="B2658" s="197">
        <v>18.051355486310868</v>
      </c>
    </row>
    <row r="2659" spans="2:2" ht="15.6">
      <c r="B2659" s="197">
        <v>18.336980400703652</v>
      </c>
    </row>
    <row r="2660" spans="2:2" ht="15.6">
      <c r="B2660" s="197">
        <v>18.369470435018084</v>
      </c>
    </row>
    <row r="2661" spans="2:2" ht="15.6">
      <c r="B2661" s="197">
        <v>17.910591088619611</v>
      </c>
    </row>
    <row r="2662" spans="2:2" ht="15.6">
      <c r="B2662" s="197">
        <v>18.189242864687113</v>
      </c>
    </row>
    <row r="2663" spans="2:2" ht="15.6">
      <c r="B2663" s="197">
        <v>17.858967619556182</v>
      </c>
    </row>
    <row r="2664" spans="2:2" ht="15.6">
      <c r="B2664" s="197">
        <v>17.763719202134514</v>
      </c>
    </row>
    <row r="2665" spans="2:2" ht="15.6">
      <c r="B2665" s="197">
        <v>17.990048162233375</v>
      </c>
    </row>
    <row r="2666" spans="2:2" ht="15.6">
      <c r="B2666" s="197">
        <v>17.785483746143889</v>
      </c>
    </row>
    <row r="2667" spans="2:2" ht="15.6">
      <c r="B2667" s="197">
        <v>18.2938737521078</v>
      </c>
    </row>
    <row r="2668" spans="2:2" ht="15.6">
      <c r="B2668" s="197">
        <v>18.049019084646137</v>
      </c>
    </row>
    <row r="2669" spans="2:2" ht="15.6">
      <c r="B2669" s="197">
        <v>17.978068230428576</v>
      </c>
    </row>
    <row r="2670" spans="2:2" ht="15.6">
      <c r="B2670" s="197">
        <v>18.423272564333889</v>
      </c>
    </row>
    <row r="2671" spans="2:2" ht="15.6">
      <c r="B2671" s="197">
        <v>18.134602454802579</v>
      </c>
    </row>
    <row r="2672" spans="2:2" ht="15.6">
      <c r="B2672" s="197">
        <v>18.506184278668954</v>
      </c>
    </row>
    <row r="2673" spans="2:2" ht="15.6">
      <c r="B2673" s="197">
        <v>18.221019085436506</v>
      </c>
    </row>
    <row r="2674" spans="2:2" ht="15.6">
      <c r="B2674" s="197">
        <v>18.251220089944834</v>
      </c>
    </row>
    <row r="2675" spans="2:2" ht="15.6">
      <c r="B2675" s="197">
        <v>18.018508598628827</v>
      </c>
    </row>
    <row r="2676" spans="2:2" ht="15.6">
      <c r="B2676" s="197">
        <v>18.182031653700786</v>
      </c>
    </row>
    <row r="2677" spans="2:2" ht="15.6">
      <c r="B2677" s="197">
        <v>18.118901507548909</v>
      </c>
    </row>
    <row r="2678" spans="2:2" ht="15.6">
      <c r="B2678" s="197">
        <v>17.866209993107777</v>
      </c>
    </row>
    <row r="2679" spans="2:2" ht="15.6">
      <c r="B2679" s="197">
        <v>17.950045404273503</v>
      </c>
    </row>
    <row r="2680" spans="2:2" ht="15.6">
      <c r="B2680" s="197">
        <v>18.242032881754877</v>
      </c>
    </row>
    <row r="2681" spans="2:2" ht="15.6">
      <c r="B2681" s="197">
        <v>18.317998845665343</v>
      </c>
    </row>
    <row r="2682" spans="2:2" ht="15.6">
      <c r="B2682" s="197">
        <v>18.424765041104411</v>
      </c>
    </row>
    <row r="2683" spans="2:2" ht="15.6">
      <c r="B2683" s="197">
        <v>18.145190393628678</v>
      </c>
    </row>
    <row r="2684" spans="2:2" ht="15.6">
      <c r="B2684" s="197">
        <v>18.486779690476933</v>
      </c>
    </row>
    <row r="2685" spans="2:2" ht="15.6">
      <c r="B2685" s="197">
        <v>18.219712045736372</v>
      </c>
    </row>
    <row r="2686" spans="2:2" ht="15.6">
      <c r="B2686" s="197">
        <v>17.941907359278705</v>
      </c>
    </row>
    <row r="2687" spans="2:2" ht="15.6">
      <c r="B2687" s="197">
        <v>18.229193264986002</v>
      </c>
    </row>
    <row r="2688" spans="2:2" ht="15.6">
      <c r="B2688" s="197">
        <v>18.258151342231315</v>
      </c>
    </row>
    <row r="2689" spans="2:2" ht="15.6">
      <c r="B2689" s="197">
        <v>18.31284363688734</v>
      </c>
    </row>
    <row r="2690" spans="2:2" ht="15.6">
      <c r="B2690" s="197">
        <v>18.045045962084025</v>
      </c>
    </row>
    <row r="2691" spans="2:2" ht="15.6">
      <c r="B2691" s="197">
        <v>18.190524280486514</v>
      </c>
    </row>
    <row r="2692" spans="2:2" ht="15.6">
      <c r="B2692" s="197">
        <v>18.233834917312862</v>
      </c>
    </row>
    <row r="2693" spans="2:2" ht="15.6">
      <c r="B2693" s="197">
        <v>17.948660654027975</v>
      </c>
    </row>
    <row r="2694" spans="2:2" ht="15.6">
      <c r="B2694" s="197">
        <v>18.328158095714649</v>
      </c>
    </row>
    <row r="2695" spans="2:2" ht="15.6">
      <c r="B2695" s="197">
        <v>18.299852362781994</v>
      </c>
    </row>
    <row r="2696" spans="2:2" ht="15.6">
      <c r="B2696" s="197">
        <v>18.138712563889925</v>
      </c>
    </row>
    <row r="2697" spans="2:2" ht="15.6">
      <c r="B2697" s="197">
        <v>18.134855447886874</v>
      </c>
    </row>
    <row r="2698" spans="2:2" ht="15.6">
      <c r="B2698" s="197">
        <v>18.22365132915402</v>
      </c>
    </row>
    <row r="2699" spans="2:2" ht="15.6">
      <c r="B2699" s="197">
        <v>17.860142977169094</v>
      </c>
    </row>
    <row r="2700" spans="2:2" ht="15.6">
      <c r="B2700" s="197">
        <v>18.093915667059768</v>
      </c>
    </row>
    <row r="2701" spans="2:2" ht="15.6">
      <c r="B2701" s="197">
        <v>17.853704417060467</v>
      </c>
    </row>
    <row r="2702" spans="2:2" ht="15.6">
      <c r="B2702" s="197">
        <v>18.235165083807928</v>
      </c>
    </row>
    <row r="2703" spans="2:2" ht="15.6">
      <c r="B2703" s="197">
        <v>18.482899788293054</v>
      </c>
    </row>
    <row r="2704" spans="2:2" ht="15.6">
      <c r="B2704" s="197">
        <v>18.135932855677861</v>
      </c>
    </row>
    <row r="2705" spans="2:2" ht="15.6">
      <c r="B2705" s="197">
        <v>17.977981289274759</v>
      </c>
    </row>
    <row r="2706" spans="2:2" ht="15.6">
      <c r="B2706" s="197">
        <v>18.022009045482271</v>
      </c>
    </row>
    <row r="2707" spans="2:2" ht="15.6">
      <c r="B2707" s="197">
        <v>18.377031785826453</v>
      </c>
    </row>
    <row r="2708" spans="2:2" ht="15.6">
      <c r="B2708" s="197">
        <v>18.191391369118776</v>
      </c>
    </row>
    <row r="2709" spans="2:2" ht="15.6">
      <c r="B2709" s="197">
        <v>18.175732799060448</v>
      </c>
    </row>
    <row r="2710" spans="2:2" ht="15.6">
      <c r="B2710" s="197">
        <v>17.992509151428745</v>
      </c>
    </row>
    <row r="2711" spans="2:2" ht="15.6">
      <c r="B2711" s="197">
        <v>18.205883218872575</v>
      </c>
    </row>
    <row r="2712" spans="2:2" ht="15.6">
      <c r="B2712" s="197">
        <v>18.375973019749722</v>
      </c>
    </row>
    <row r="2713" spans="2:2" ht="15.6">
      <c r="B2713" s="197">
        <v>18.405470265053506</v>
      </c>
    </row>
    <row r="2714" spans="2:2" ht="15.6">
      <c r="B2714" s="197">
        <v>17.906300988098323</v>
      </c>
    </row>
    <row r="2715" spans="2:2" ht="15.6">
      <c r="B2715" s="197">
        <v>18.372473069083377</v>
      </c>
    </row>
    <row r="2716" spans="2:2" ht="15.6">
      <c r="B2716" s="197">
        <v>18.086221410801599</v>
      </c>
    </row>
    <row r="2717" spans="2:2" ht="15.6">
      <c r="B2717" s="197">
        <v>18.253835930010744</v>
      </c>
    </row>
    <row r="2718" spans="2:2" ht="15.6">
      <c r="B2718" s="197">
        <v>17.977060222483562</v>
      </c>
    </row>
    <row r="2719" spans="2:2" ht="15.6">
      <c r="B2719" s="197">
        <v>17.777343416474508</v>
      </c>
    </row>
    <row r="2720" spans="2:2" ht="15.6">
      <c r="B2720" s="197">
        <v>18.096074926679591</v>
      </c>
    </row>
    <row r="2721" spans="2:2" ht="15.6">
      <c r="B2721" s="197">
        <v>18.295800011814727</v>
      </c>
    </row>
    <row r="2722" spans="2:2" ht="15.6">
      <c r="B2722" s="197">
        <v>18.172081335274537</v>
      </c>
    </row>
    <row r="2723" spans="2:2" ht="15.6">
      <c r="B2723" s="197">
        <v>18.179891039768457</v>
      </c>
    </row>
    <row r="2724" spans="2:2" ht="15.6">
      <c r="B2724" s="197">
        <v>18.085571990547663</v>
      </c>
    </row>
    <row r="2725" spans="2:2" ht="15.6">
      <c r="B2725" s="197">
        <v>18.42370377384999</v>
      </c>
    </row>
    <row r="2726" spans="2:2" ht="15.6">
      <c r="B2726" s="197">
        <v>18.20203325611141</v>
      </c>
    </row>
    <row r="2727" spans="2:2" ht="15.6">
      <c r="B2727" s="197">
        <v>18.270334464782291</v>
      </c>
    </row>
    <row r="2728" spans="2:2" ht="15.6">
      <c r="B2728" s="197">
        <v>18.133989566981416</v>
      </c>
    </row>
    <row r="2729" spans="2:2" ht="15.6">
      <c r="B2729" s="197">
        <v>18.122408459919736</v>
      </c>
    </row>
    <row r="2730" spans="2:2" ht="15.6">
      <c r="B2730" s="197">
        <v>18.072985129450235</v>
      </c>
    </row>
    <row r="2731" spans="2:2" ht="15.6">
      <c r="B2731" s="197">
        <v>17.774400902882185</v>
      </c>
    </row>
    <row r="2732" spans="2:2" ht="15.6">
      <c r="B2732" s="197">
        <v>18.328200734526813</v>
      </c>
    </row>
    <row r="2733" spans="2:2" ht="15.6">
      <c r="B2733" s="197">
        <v>17.87850546823406</v>
      </c>
    </row>
    <row r="2734" spans="2:2" ht="15.6">
      <c r="B2734" s="197">
        <v>18.275422687919853</v>
      </c>
    </row>
    <row r="2735" spans="2:2" ht="15.6">
      <c r="B2735" s="197">
        <v>18.339092113238596</v>
      </c>
    </row>
    <row r="2736" spans="2:2" ht="15.6">
      <c r="B2736" s="197">
        <v>17.874005004457516</v>
      </c>
    </row>
    <row r="2737" spans="2:2" ht="15.6">
      <c r="B2737" s="197">
        <v>18.263296887637711</v>
      </c>
    </row>
    <row r="2738" spans="2:2" ht="15.6">
      <c r="B2738" s="197">
        <v>18.216570333880899</v>
      </c>
    </row>
    <row r="2739" spans="2:2" ht="15.6">
      <c r="B2739" s="197">
        <v>18.120124439104156</v>
      </c>
    </row>
    <row r="2740" spans="2:2" ht="15.6">
      <c r="B2740" s="197">
        <v>18.129885580035133</v>
      </c>
    </row>
    <row r="2741" spans="2:2" ht="15.6">
      <c r="B2741" s="197">
        <v>18.329256035756423</v>
      </c>
    </row>
    <row r="2742" spans="2:2" ht="15.6">
      <c r="B2742" s="197">
        <v>17.785567661226985</v>
      </c>
    </row>
    <row r="2743" spans="2:2" ht="15.6">
      <c r="B2743" s="197">
        <v>18.163149553892286</v>
      </c>
    </row>
    <row r="2744" spans="2:2" ht="15.6">
      <c r="B2744" s="197">
        <v>18.066133873319203</v>
      </c>
    </row>
    <row r="2745" spans="2:2" ht="15.6">
      <c r="B2745" s="197">
        <v>18.219454459172969</v>
      </c>
    </row>
    <row r="2746" spans="2:2" ht="15.6">
      <c r="B2746" s="197">
        <v>18.073835039778704</v>
      </c>
    </row>
    <row r="2747" spans="2:2" ht="15.6">
      <c r="B2747" s="197">
        <v>17.735442132350755</v>
      </c>
    </row>
    <row r="2748" spans="2:2" ht="15.6">
      <c r="B2748" s="197">
        <v>18.43150389725832</v>
      </c>
    </row>
    <row r="2749" spans="2:2" ht="15.6">
      <c r="B2749" s="197">
        <v>18.242613193026955</v>
      </c>
    </row>
    <row r="2750" spans="2:2" ht="15.6">
      <c r="B2750" s="197">
        <v>18.652062058530969</v>
      </c>
    </row>
    <row r="2751" spans="2:2" ht="15.6">
      <c r="B2751" s="197">
        <v>18.37402417642468</v>
      </c>
    </row>
    <row r="2752" spans="2:2" ht="15.6">
      <c r="B2752" s="197">
        <v>18.39498453244839</v>
      </c>
    </row>
    <row r="2753" spans="2:2" ht="15.6">
      <c r="B2753" s="197">
        <v>18.232686202721588</v>
      </c>
    </row>
    <row r="2754" spans="2:2" ht="15.6">
      <c r="B2754" s="197">
        <v>18.224981793630668</v>
      </c>
    </row>
    <row r="2755" spans="2:2" ht="15.6">
      <c r="B2755" s="197">
        <v>17.990866627759839</v>
      </c>
    </row>
    <row r="2756" spans="2:2" ht="15.6">
      <c r="B2756" s="197">
        <v>18.089413467280625</v>
      </c>
    </row>
    <row r="2757" spans="2:2" ht="15.6">
      <c r="B2757" s="197">
        <v>18.173996707091717</v>
      </c>
    </row>
    <row r="2758" spans="2:2" ht="15.6">
      <c r="B2758" s="197">
        <v>17.920532036031183</v>
      </c>
    </row>
    <row r="2759" spans="2:2" ht="15.6">
      <c r="B2759" s="197">
        <v>18.009547541201101</v>
      </c>
    </row>
    <row r="2760" spans="2:2" ht="15.6">
      <c r="B2760" s="197">
        <v>18.14540811427484</v>
      </c>
    </row>
    <row r="2761" spans="2:2" ht="15.6">
      <c r="B2761" s="197">
        <v>18.371178614568308</v>
      </c>
    </row>
    <row r="2762" spans="2:2" ht="15.6">
      <c r="B2762" s="197">
        <v>17.853573433053029</v>
      </c>
    </row>
    <row r="2763" spans="2:2" ht="15.6">
      <c r="B2763" s="197">
        <v>18.057225806327125</v>
      </c>
    </row>
    <row r="2764" spans="2:2" ht="15.6">
      <c r="B2764" s="197">
        <v>17.999484511429479</v>
      </c>
    </row>
    <row r="2765" spans="2:2" ht="15.6">
      <c r="B2765" s="197">
        <v>18.135051324830734</v>
      </c>
    </row>
    <row r="2766" spans="2:2" ht="15.6">
      <c r="B2766" s="197">
        <v>18.274602251602055</v>
      </c>
    </row>
    <row r="2767" spans="2:2" ht="15.6">
      <c r="B2767" s="197">
        <v>18.172912862581896</v>
      </c>
    </row>
    <row r="2768" spans="2:2" ht="15.6">
      <c r="B2768" s="197">
        <v>18.083633382659052</v>
      </c>
    </row>
    <row r="2769" spans="2:2" ht="15.6">
      <c r="B2769" s="197">
        <v>18.250552344270911</v>
      </c>
    </row>
    <row r="2770" spans="2:2" ht="15.6">
      <c r="B2770" s="197">
        <v>18.045447066025393</v>
      </c>
    </row>
    <row r="2771" spans="2:2" ht="15.6">
      <c r="B2771" s="197">
        <v>17.963740146715157</v>
      </c>
    </row>
    <row r="2772" spans="2:2" ht="15.6">
      <c r="B2772" s="197">
        <v>18.113003944900242</v>
      </c>
    </row>
    <row r="2773" spans="2:2" ht="15.6">
      <c r="B2773" s="197">
        <v>17.720842852523731</v>
      </c>
    </row>
    <row r="2774" spans="2:2" ht="15.6">
      <c r="B2774" s="197">
        <v>18.074249688531513</v>
      </c>
    </row>
    <row r="2775" spans="2:2" ht="15.6">
      <c r="B2775" s="197">
        <v>18.176599535809142</v>
      </c>
    </row>
    <row r="2776" spans="2:2" ht="15.6">
      <c r="B2776" s="197">
        <v>17.953302725308902</v>
      </c>
    </row>
    <row r="2777" spans="2:2" ht="15.6">
      <c r="B2777" s="197">
        <v>18.279363716980381</v>
      </c>
    </row>
    <row r="2778" spans="2:2" ht="15.6">
      <c r="B2778" s="197">
        <v>17.939921538602356</v>
      </c>
    </row>
    <row r="2779" spans="2:2" ht="15.6">
      <c r="B2779" s="197">
        <v>18.302048840662238</v>
      </c>
    </row>
    <row r="2780" spans="2:2" ht="15.6">
      <c r="B2780" s="197">
        <v>18.347876443146685</v>
      </c>
    </row>
    <row r="2781" spans="2:2" ht="15.6">
      <c r="B2781" s="197">
        <v>18.49389798966229</v>
      </c>
    </row>
    <row r="2782" spans="2:2" ht="15.6">
      <c r="B2782" s="197">
        <v>17.8908510575442</v>
      </c>
    </row>
    <row r="2783" spans="2:2" ht="15.6">
      <c r="B2783" s="197">
        <v>17.825128277498393</v>
      </c>
    </row>
    <row r="2784" spans="2:2" ht="15.6">
      <c r="B2784" s="197">
        <v>17.989578249929682</v>
      </c>
    </row>
    <row r="2785" spans="2:2" ht="15.6">
      <c r="B2785" s="197">
        <v>18.117976782241747</v>
      </c>
    </row>
    <row r="2786" spans="2:2" ht="15.6">
      <c r="B2786" s="197">
        <v>18.595594330868416</v>
      </c>
    </row>
    <row r="2787" spans="2:2" ht="15.6">
      <c r="B2787" s="197">
        <v>17.758684594243871</v>
      </c>
    </row>
    <row r="2788" spans="2:2" ht="15.6">
      <c r="B2788" s="197">
        <v>18.21220543431529</v>
      </c>
    </row>
    <row r="2789" spans="2:2" ht="15.6">
      <c r="B2789" s="197">
        <v>18.192264879897699</v>
      </c>
    </row>
    <row r="2790" spans="2:2" ht="15.6">
      <c r="B2790" s="197">
        <v>18.246759140656714</v>
      </c>
    </row>
    <row r="2791" spans="2:2" ht="15.6">
      <c r="B2791" s="197">
        <v>17.987561642867142</v>
      </c>
    </row>
    <row r="2792" spans="2:2" ht="15.6">
      <c r="B2792" s="197">
        <v>17.972762582323799</v>
      </c>
    </row>
    <row r="2793" spans="2:2" ht="15.6">
      <c r="B2793" s="197">
        <v>18.172814960169088</v>
      </c>
    </row>
    <row r="2794" spans="2:2" ht="15.6">
      <c r="B2794" s="197">
        <v>17.976535201642196</v>
      </c>
    </row>
    <row r="2795" spans="2:2" ht="15.6">
      <c r="B2795" s="197">
        <v>18.190781830977791</v>
      </c>
    </row>
    <row r="2796" spans="2:2" ht="15.6">
      <c r="B2796" s="197">
        <v>18.060253080515132</v>
      </c>
    </row>
    <row r="2797" spans="2:2" ht="15.6">
      <c r="B2797" s="197">
        <v>18.033926826804478</v>
      </c>
    </row>
    <row r="2798" spans="2:2" ht="15.6">
      <c r="B2798" s="197">
        <v>18.278005834154225</v>
      </c>
    </row>
    <row r="2799" spans="2:2" ht="15.6">
      <c r="B2799" s="197">
        <v>17.955664519224708</v>
      </c>
    </row>
    <row r="2800" spans="2:2" ht="15.6">
      <c r="B2800" s="197">
        <v>17.953631023134431</v>
      </c>
    </row>
    <row r="2801" spans="2:2" ht="15.6">
      <c r="B2801" s="197">
        <v>17.829691608324119</v>
      </c>
    </row>
    <row r="2802" spans="2:2" ht="15.6">
      <c r="B2802" s="197">
        <v>17.974879400356102</v>
      </c>
    </row>
    <row r="2803" spans="2:2" ht="15.6">
      <c r="B2803" s="197">
        <v>18.449963465688477</v>
      </c>
    </row>
    <row r="2804" spans="2:2" ht="15.6">
      <c r="B2804" s="197">
        <v>18.09867846008828</v>
      </c>
    </row>
    <row r="2805" spans="2:2" ht="15.6">
      <c r="B2805" s="197">
        <v>18.204231199041164</v>
      </c>
    </row>
    <row r="2806" spans="2:2" ht="15.6">
      <c r="B2806" s="197">
        <v>18.282595417812516</v>
      </c>
    </row>
    <row r="2807" spans="2:2" ht="15.6">
      <c r="B2807" s="197">
        <v>18.175251124612121</v>
      </c>
    </row>
    <row r="2808" spans="2:2" ht="15.6">
      <c r="B2808" s="197">
        <v>18.33114091073983</v>
      </c>
    </row>
    <row r="2809" spans="2:2" ht="15.6">
      <c r="B2809" s="197">
        <v>18.494013928044229</v>
      </c>
    </row>
    <row r="2810" spans="2:2" ht="15.6">
      <c r="B2810" s="197">
        <v>18.334988528277524</v>
      </c>
    </row>
    <row r="2811" spans="2:2" ht="15.6">
      <c r="B2811" s="197">
        <v>18.009123478585774</v>
      </c>
    </row>
    <row r="2812" spans="2:2" ht="15.6">
      <c r="B2812" s="197">
        <v>17.908700117755121</v>
      </c>
    </row>
    <row r="2813" spans="2:2" ht="15.6">
      <c r="B2813" s="197">
        <v>18.290493534855909</v>
      </c>
    </row>
    <row r="2814" spans="2:2" ht="15.6">
      <c r="B2814" s="197">
        <v>18.290822666491703</v>
      </c>
    </row>
    <row r="2815" spans="2:2" ht="15.6">
      <c r="B2815" s="197">
        <v>18.215021610337462</v>
      </c>
    </row>
    <row r="2816" spans="2:2" ht="15.6">
      <c r="B2816" s="197">
        <v>18.01757623180281</v>
      </c>
    </row>
    <row r="2817" spans="2:2" ht="15.6">
      <c r="B2817" s="197">
        <v>17.864275161075824</v>
      </c>
    </row>
    <row r="2818" spans="2:2" ht="15.6">
      <c r="B2818" s="197">
        <v>18.377166093673928</v>
      </c>
    </row>
    <row r="2819" spans="2:2" ht="15.6">
      <c r="B2819" s="197">
        <v>18.275369435618181</v>
      </c>
    </row>
    <row r="2820" spans="2:2" ht="15.6">
      <c r="B2820" s="197">
        <v>18.086137002482076</v>
      </c>
    </row>
    <row r="2821" spans="2:2" ht="15.6">
      <c r="B2821" s="197">
        <v>17.910758835077107</v>
      </c>
    </row>
    <row r="2822" spans="2:2" ht="15.6">
      <c r="B2822" s="197">
        <v>17.65628545334652</v>
      </c>
    </row>
    <row r="2823" spans="2:2" ht="15.6">
      <c r="B2823" s="197">
        <v>18.187366470187364</v>
      </c>
    </row>
    <row r="2824" spans="2:2" ht="15.6">
      <c r="B2824" s="197">
        <v>17.950790438329129</v>
      </c>
    </row>
    <row r="2825" spans="2:2" ht="15.6">
      <c r="B2825" s="197">
        <v>18.109507113602159</v>
      </c>
    </row>
    <row r="2826" spans="2:2" ht="15.6">
      <c r="B2826" s="197">
        <v>18.092380786486135</v>
      </c>
    </row>
    <row r="2827" spans="2:2" ht="15.6">
      <c r="B2827" s="197">
        <v>18.277297107036059</v>
      </c>
    </row>
    <row r="2828" spans="2:2" ht="15.6">
      <c r="B2828" s="197">
        <v>18.277705028505725</v>
      </c>
    </row>
    <row r="2829" spans="2:2" ht="15.6">
      <c r="B2829" s="197">
        <v>18.266772345005705</v>
      </c>
    </row>
    <row r="2830" spans="2:2" ht="15.6">
      <c r="B2830" s="197">
        <v>18.098184945115833</v>
      </c>
    </row>
    <row r="2831" spans="2:2" ht="15.6">
      <c r="B2831" s="197">
        <v>18.395976281670784</v>
      </c>
    </row>
    <row r="2832" spans="2:2" ht="15.6">
      <c r="B2832" s="197">
        <v>18.299529137169394</v>
      </c>
    </row>
    <row r="2833" spans="2:2" ht="15.6">
      <c r="B2833" s="197">
        <v>18.40519352453186</v>
      </c>
    </row>
    <row r="2834" spans="2:2" ht="15.6">
      <c r="B2834" s="197">
        <v>18.316114596498579</v>
      </c>
    </row>
    <row r="2835" spans="2:2" ht="15.6">
      <c r="B2835" s="197">
        <v>18.153504310467422</v>
      </c>
    </row>
    <row r="2836" spans="2:2" ht="15.6">
      <c r="B2836" s="197">
        <v>18.423012109241409</v>
      </c>
    </row>
    <row r="2837" spans="2:2" ht="15.6">
      <c r="B2837" s="197">
        <v>18.228578906150975</v>
      </c>
    </row>
    <row r="2838" spans="2:2" ht="15.6">
      <c r="B2838" s="197">
        <v>17.887812437856532</v>
      </c>
    </row>
    <row r="2839" spans="2:2" ht="15.6">
      <c r="B2839" s="197">
        <v>18.019203972954582</v>
      </c>
    </row>
    <row r="2840" spans="2:2" ht="15.6">
      <c r="B2840" s="197">
        <v>18.159028879003955</v>
      </c>
    </row>
    <row r="2841" spans="2:2" ht="15.6">
      <c r="B2841" s="197">
        <v>17.932535307549607</v>
      </c>
    </row>
    <row r="2842" spans="2:2" ht="15.6">
      <c r="B2842" s="197">
        <v>18.00168315242091</v>
      </c>
    </row>
    <row r="2843" spans="2:2" ht="15.6">
      <c r="B2843" s="197">
        <v>18.035329089846691</v>
      </c>
    </row>
    <row r="2844" spans="2:2" ht="15.6">
      <c r="B2844" s="197">
        <v>17.879049071514256</v>
      </c>
    </row>
    <row r="2845" spans="2:2" ht="15.6">
      <c r="B2845" s="197">
        <v>18.171855251642178</v>
      </c>
    </row>
    <row r="2846" spans="2:2" ht="15.6">
      <c r="B2846" s="197">
        <v>18.062051797188996</v>
      </c>
    </row>
    <row r="2847" spans="2:2" ht="15.6">
      <c r="B2847" s="197">
        <v>17.984704167096883</v>
      </c>
    </row>
    <row r="2848" spans="2:2" ht="15.6">
      <c r="B2848" s="197">
        <v>18.290587745599897</v>
      </c>
    </row>
    <row r="2849" spans="2:2" ht="15.6">
      <c r="B2849" s="197">
        <v>18.049627064966334</v>
      </c>
    </row>
    <row r="2850" spans="2:2" ht="15.6">
      <c r="B2850" s="197">
        <v>17.885097041606887</v>
      </c>
    </row>
    <row r="2851" spans="2:2" ht="15.6">
      <c r="B2851" s="197">
        <v>18.131357008641341</v>
      </c>
    </row>
    <row r="2852" spans="2:2" ht="15.6">
      <c r="B2852" s="197">
        <v>18.242423072599276</v>
      </c>
    </row>
    <row r="2853" spans="2:2" ht="15.6">
      <c r="B2853" s="197">
        <v>18.024454565605652</v>
      </c>
    </row>
    <row r="2854" spans="2:2" ht="15.6">
      <c r="B2854" s="197">
        <v>18.228568332326439</v>
      </c>
    </row>
    <row r="2855" spans="2:2" ht="15.6">
      <c r="B2855" s="197">
        <v>18.355560010347283</v>
      </c>
    </row>
    <row r="2856" spans="2:2" ht="15.6">
      <c r="B2856" s="197">
        <v>17.885423848624427</v>
      </c>
    </row>
    <row r="2857" spans="2:2" ht="15.6">
      <c r="B2857" s="197">
        <v>18.129826122213245</v>
      </c>
    </row>
    <row r="2858" spans="2:2" ht="15.6">
      <c r="B2858" s="197">
        <v>17.931378548384529</v>
      </c>
    </row>
    <row r="2859" spans="2:2" ht="15.6">
      <c r="B2859" s="197">
        <v>18.176446178712926</v>
      </c>
    </row>
    <row r="2860" spans="2:2" ht="15.6">
      <c r="B2860" s="197">
        <v>18.200092172672029</v>
      </c>
    </row>
    <row r="2861" spans="2:2" ht="15.6">
      <c r="B2861" s="197">
        <v>18.33008840905072</v>
      </c>
    </row>
    <row r="2862" spans="2:2" ht="15.6">
      <c r="B2862" s="197">
        <v>17.844377925085634</v>
      </c>
    </row>
    <row r="2863" spans="2:2" ht="15.6">
      <c r="B2863" s="197">
        <v>17.901372164014113</v>
      </c>
    </row>
    <row r="2864" spans="2:2" ht="15.6">
      <c r="B2864" s="197">
        <v>18.080201710109783</v>
      </c>
    </row>
    <row r="2865" spans="2:2" ht="15.6">
      <c r="B2865" s="197">
        <v>18.424301624166453</v>
      </c>
    </row>
    <row r="2866" spans="2:2" ht="15.6">
      <c r="B2866" s="197">
        <v>17.869399020385359</v>
      </c>
    </row>
    <row r="2867" spans="2:2" ht="15.6">
      <c r="B2867" s="197">
        <v>18.048759515816467</v>
      </c>
    </row>
    <row r="2868" spans="2:2" ht="15.6">
      <c r="B2868" s="197">
        <v>17.935765531730709</v>
      </c>
    </row>
    <row r="2869" spans="2:2" ht="15.6">
      <c r="B2869" s="197">
        <v>18.371882315499246</v>
      </c>
    </row>
    <row r="2870" spans="2:2" ht="15.6">
      <c r="B2870" s="197">
        <v>17.968623571241803</v>
      </c>
    </row>
    <row r="2871" spans="2:2" ht="15.6">
      <c r="B2871" s="197">
        <v>17.843315607511585</v>
      </c>
    </row>
    <row r="2872" spans="2:2" ht="15.6">
      <c r="B2872" s="197">
        <v>18.079057821972839</v>
      </c>
    </row>
    <row r="2873" spans="2:2" ht="15.6">
      <c r="B2873" s="197">
        <v>18.218065349148752</v>
      </c>
    </row>
    <row r="2874" spans="2:2" ht="15.6">
      <c r="B2874" s="197">
        <v>18.005693582652405</v>
      </c>
    </row>
    <row r="2875" spans="2:2" ht="15.6">
      <c r="B2875" s="197">
        <v>18.217750595954254</v>
      </c>
    </row>
    <row r="2876" spans="2:2" ht="15.6">
      <c r="B2876" s="197">
        <v>18.135958391944019</v>
      </c>
    </row>
    <row r="2877" spans="2:2" ht="15.6">
      <c r="B2877" s="197">
        <v>18.387549984589146</v>
      </c>
    </row>
    <row r="2878" spans="2:2" ht="15.6">
      <c r="B2878" s="197">
        <v>18.124455928486316</v>
      </c>
    </row>
    <row r="2879" spans="2:2" ht="15.6">
      <c r="B2879" s="197">
        <v>18.370531568182205</v>
      </c>
    </row>
    <row r="2880" spans="2:2" ht="15.6">
      <c r="B2880" s="197">
        <v>17.986232613450781</v>
      </c>
    </row>
    <row r="2881" spans="2:2" ht="15.6">
      <c r="B2881" s="197">
        <v>18.055764625243448</v>
      </c>
    </row>
    <row r="2882" spans="2:2" ht="15.6">
      <c r="B2882" s="197">
        <v>17.995469948231221</v>
      </c>
    </row>
    <row r="2883" spans="2:2" ht="15.6">
      <c r="B2883" s="197">
        <v>18.232735758520867</v>
      </c>
    </row>
    <row r="2884" spans="2:2" ht="15.6">
      <c r="B2884" s="197">
        <v>18.438296853088506</v>
      </c>
    </row>
    <row r="2885" spans="2:2" ht="15.6">
      <c r="B2885" s="197">
        <v>18.099736556966402</v>
      </c>
    </row>
    <row r="2886" spans="2:2" ht="15.6">
      <c r="B2886" s="197">
        <v>18.370777314096809</v>
      </c>
    </row>
    <row r="2887" spans="2:2" ht="15.6">
      <c r="B2887" s="197">
        <v>18.388523948573816</v>
      </c>
    </row>
    <row r="2888" spans="2:2" ht="15.6">
      <c r="B2888" s="197">
        <v>18.22654791812765</v>
      </c>
    </row>
    <row r="2889" spans="2:2" ht="15.6">
      <c r="B2889" s="197">
        <v>17.77317787418124</v>
      </c>
    </row>
    <row r="2890" spans="2:2" ht="15.6">
      <c r="B2890" s="197">
        <v>18.092755870542124</v>
      </c>
    </row>
    <row r="2891" spans="2:2" ht="15.6">
      <c r="B2891" s="197">
        <v>17.876738208347138</v>
      </c>
    </row>
    <row r="2892" spans="2:2" ht="15.6">
      <c r="B2892" s="197">
        <v>18.519687484091147</v>
      </c>
    </row>
    <row r="2893" spans="2:2" ht="15.6">
      <c r="B2893" s="197">
        <v>17.877413969683619</v>
      </c>
    </row>
    <row r="2894" spans="2:2" ht="15.6">
      <c r="B2894" s="197">
        <v>18.155149748495084</v>
      </c>
    </row>
    <row r="2895" spans="2:2" ht="15.6">
      <c r="B2895" s="197">
        <v>17.846842300125598</v>
      </c>
    </row>
    <row r="2896" spans="2:2" ht="15.6">
      <c r="B2896" s="197">
        <v>17.954783301619059</v>
      </c>
    </row>
    <row r="2897" spans="2:2" ht="15.6">
      <c r="B2897" s="197">
        <v>17.823498232029241</v>
      </c>
    </row>
    <row r="2898" spans="2:2" ht="15.6">
      <c r="B2898" s="197">
        <v>18.202068155082422</v>
      </c>
    </row>
    <row r="2899" spans="2:2" ht="15.6">
      <c r="B2899" s="197">
        <v>17.975752633942417</v>
      </c>
    </row>
    <row r="2900" spans="2:2" ht="15.6">
      <c r="B2900" s="197">
        <v>18.231550289196711</v>
      </c>
    </row>
    <row r="2901" spans="2:2" ht="15.6">
      <c r="B2901" s="197">
        <v>17.952370731476485</v>
      </c>
    </row>
    <row r="2902" spans="2:2" ht="15.6">
      <c r="B2902" s="197">
        <v>18.090164960272681</v>
      </c>
    </row>
    <row r="2903" spans="2:2" ht="15.6">
      <c r="B2903" s="197">
        <v>18.569812163559341</v>
      </c>
    </row>
    <row r="2904" spans="2:2" ht="15.6">
      <c r="B2904" s="197">
        <v>17.961147927234784</v>
      </c>
    </row>
    <row r="2905" spans="2:2" ht="15.6">
      <c r="B2905" s="197">
        <v>18.694151947342259</v>
      </c>
    </row>
    <row r="2906" spans="2:2" ht="15.6">
      <c r="B2906" s="197">
        <v>18.073358713697651</v>
      </c>
    </row>
    <row r="2907" spans="2:2" ht="15.6">
      <c r="B2907" s="197">
        <v>18.589330074266794</v>
      </c>
    </row>
    <row r="2908" spans="2:2" ht="15.6">
      <c r="B2908" s="197">
        <v>18.197901540153854</v>
      </c>
    </row>
    <row r="2909" spans="2:2" ht="15.6">
      <c r="B2909" s="197">
        <v>18.219167045918841</v>
      </c>
    </row>
    <row r="2910" spans="2:2" ht="15.6">
      <c r="B2910" s="197">
        <v>18.293554907131998</v>
      </c>
    </row>
    <row r="2911" spans="2:2" ht="15.6">
      <c r="B2911" s="197">
        <v>18.127284576488616</v>
      </c>
    </row>
    <row r="2912" spans="2:2" ht="15.6">
      <c r="B2912" s="197">
        <v>18.249994561980554</v>
      </c>
    </row>
    <row r="2913" spans="2:2" ht="15.6">
      <c r="B2913" s="197">
        <v>17.927227093851904</v>
      </c>
    </row>
    <row r="2914" spans="2:2" ht="15.6">
      <c r="B2914" s="197">
        <v>17.927460349668095</v>
      </c>
    </row>
    <row r="2915" spans="2:2" ht="15.6">
      <c r="B2915" s="197">
        <v>18.028235254084187</v>
      </c>
    </row>
    <row r="2916" spans="2:2" ht="15.6">
      <c r="B2916" s="197">
        <v>18.171063761788297</v>
      </c>
    </row>
    <row r="2917" spans="2:2" ht="15.6">
      <c r="B2917" s="197">
        <v>18.100439195070184</v>
      </c>
    </row>
    <row r="2918" spans="2:2" ht="15.6">
      <c r="B2918" s="197">
        <v>18.250684152458657</v>
      </c>
    </row>
    <row r="2919" spans="2:2" ht="15.6">
      <c r="B2919" s="197">
        <v>18.206956003692319</v>
      </c>
    </row>
    <row r="2920" spans="2:2" ht="15.6">
      <c r="B2920" s="197">
        <v>18.413355283101861</v>
      </c>
    </row>
    <row r="2921" spans="2:2" ht="15.6">
      <c r="B2921" s="197">
        <v>18.425072987145608</v>
      </c>
    </row>
    <row r="2922" spans="2:2" ht="15.6">
      <c r="B2922" s="197">
        <v>18.112854368913453</v>
      </c>
    </row>
    <row r="2923" spans="2:2" ht="15.6">
      <c r="B2923" s="197">
        <v>17.865585315153538</v>
      </c>
    </row>
    <row r="2924" spans="2:2" ht="15.6">
      <c r="B2924" s="197">
        <v>18.253200100598846</v>
      </c>
    </row>
    <row r="2925" spans="2:2" ht="15.6">
      <c r="B2925" s="197">
        <v>18.417418082353571</v>
      </c>
    </row>
    <row r="2926" spans="2:2" ht="15.6">
      <c r="B2926" s="197">
        <v>18.314786855907915</v>
      </c>
    </row>
    <row r="2927" spans="2:2" ht="15.6">
      <c r="B2927" s="197">
        <v>18.176859108517139</v>
      </c>
    </row>
    <row r="2928" spans="2:2" ht="15.6">
      <c r="B2928" s="197">
        <v>18.058513846344123</v>
      </c>
    </row>
    <row r="2929" spans="2:2" ht="15.6">
      <c r="B2929" s="197">
        <v>18.001873816892196</v>
      </c>
    </row>
    <row r="2930" spans="2:2" ht="15.6">
      <c r="B2930" s="197">
        <v>17.679723918947722</v>
      </c>
    </row>
    <row r="2931" spans="2:2" ht="15.6">
      <c r="B2931" s="197">
        <v>18.193104363504645</v>
      </c>
    </row>
    <row r="2932" spans="2:2" ht="15.6">
      <c r="B2932" s="197">
        <v>18.107070690224205</v>
      </c>
    </row>
    <row r="2933" spans="2:2" ht="15.6">
      <c r="B2933" s="197">
        <v>17.799709273906032</v>
      </c>
    </row>
    <row r="2934" spans="2:2" ht="15.6">
      <c r="B2934" s="197">
        <v>18.012238182403699</v>
      </c>
    </row>
    <row r="2935" spans="2:2" ht="15.6">
      <c r="B2935" s="197">
        <v>17.942692774875788</v>
      </c>
    </row>
    <row r="2936" spans="2:2" ht="15.6">
      <c r="B2936" s="197">
        <v>18.151372709082032</v>
      </c>
    </row>
    <row r="2937" spans="2:2" ht="15.6">
      <c r="B2937" s="197">
        <v>18.06781970273159</v>
      </c>
    </row>
    <row r="2938" spans="2:2" ht="15.6">
      <c r="B2938" s="197">
        <v>18.597065576401921</v>
      </c>
    </row>
    <row r="2939" spans="2:2" ht="15.6">
      <c r="B2939" s="197">
        <v>17.95956719485438</v>
      </c>
    </row>
    <row r="2940" spans="2:2" ht="15.6">
      <c r="B2940" s="197">
        <v>18.197260190613992</v>
      </c>
    </row>
    <row r="2941" spans="2:2" ht="15.6">
      <c r="B2941" s="197">
        <v>18.095953797006374</v>
      </c>
    </row>
    <row r="2942" spans="2:2" ht="15.6">
      <c r="B2942" s="197">
        <v>18.189079030421865</v>
      </c>
    </row>
    <row r="2943" spans="2:2" ht="15.6">
      <c r="B2943" s="197">
        <v>17.71060492493714</v>
      </c>
    </row>
    <row r="2944" spans="2:2" ht="15.6">
      <c r="B2944" s="197">
        <v>18.151771244140324</v>
      </c>
    </row>
    <row r="2945" spans="2:2" ht="15.6">
      <c r="B2945" s="197">
        <v>18.265704997612659</v>
      </c>
    </row>
    <row r="2946" spans="2:2" ht="15.6">
      <c r="B2946" s="197">
        <v>18.204054401355958</v>
      </c>
    </row>
    <row r="2947" spans="2:2" ht="15.6">
      <c r="B2947" s="197">
        <v>18.314172032628065</v>
      </c>
    </row>
    <row r="2948" spans="2:2" ht="15.6">
      <c r="B2948" s="197">
        <v>17.906749765406595</v>
      </c>
    </row>
    <row r="2949" spans="2:2" ht="15.6">
      <c r="B2949" s="197">
        <v>18.465618783226436</v>
      </c>
    </row>
    <row r="2950" spans="2:2" ht="15.6">
      <c r="B2950" s="197">
        <v>18.545562924853652</v>
      </c>
    </row>
    <row r="2951" spans="2:2" ht="15.6">
      <c r="B2951" s="197">
        <v>18.255337891981135</v>
      </c>
    </row>
    <row r="2952" spans="2:2" ht="15.6">
      <c r="B2952" s="197">
        <v>18.03310371409594</v>
      </c>
    </row>
    <row r="2953" spans="2:2" ht="15.6">
      <c r="B2953" s="197">
        <v>17.975310689612147</v>
      </c>
    </row>
    <row r="2954" spans="2:2" ht="15.6">
      <c r="B2954" s="197">
        <v>18.448879582582208</v>
      </c>
    </row>
    <row r="2955" spans="2:2" ht="15.6">
      <c r="B2955" s="197">
        <v>18.237689997363049</v>
      </c>
    </row>
    <row r="2956" spans="2:2" ht="15.6">
      <c r="B2956" s="197">
        <v>17.993217482442432</v>
      </c>
    </row>
    <row r="2957" spans="2:2" ht="15.6">
      <c r="B2957" s="197">
        <v>18.141694089521597</v>
      </c>
    </row>
    <row r="2958" spans="2:2" ht="15.6">
      <c r="B2958" s="197">
        <v>18.472112113313614</v>
      </c>
    </row>
    <row r="2959" spans="2:2" ht="15.6">
      <c r="B2959" s="197">
        <v>17.976214255808319</v>
      </c>
    </row>
    <row r="2960" spans="2:2" ht="15.6">
      <c r="B2960" s="197">
        <v>17.838914703790582</v>
      </c>
    </row>
    <row r="2961" spans="2:2" ht="15.6">
      <c r="B2961" s="197">
        <v>18.424143209055892</v>
      </c>
    </row>
    <row r="2962" spans="2:2" ht="15.6">
      <c r="B2962" s="197">
        <v>18.168361715309921</v>
      </c>
    </row>
    <row r="2963" spans="2:2" ht="15.6">
      <c r="B2963" s="197">
        <v>18.267376163865279</v>
      </c>
    </row>
    <row r="2964" spans="2:2" ht="15.6">
      <c r="B2964" s="197">
        <v>17.993316828846197</v>
      </c>
    </row>
    <row r="2965" spans="2:2" ht="15.6">
      <c r="B2965" s="197">
        <v>18.402333628807011</v>
      </c>
    </row>
    <row r="2966" spans="2:2" ht="15.6">
      <c r="B2966" s="197">
        <v>18.094640796537171</v>
      </c>
    </row>
    <row r="2967" spans="2:2" ht="15.6">
      <c r="B2967" s="197">
        <v>17.832383014939342</v>
      </c>
    </row>
    <row r="2968" spans="2:2" ht="15.6">
      <c r="B2968" s="197">
        <v>18.408015916466653</v>
      </c>
    </row>
    <row r="2969" spans="2:2" ht="15.6">
      <c r="B2969" s="197">
        <v>18.25783454096976</v>
      </c>
    </row>
    <row r="2970" spans="2:2" ht="15.6">
      <c r="B2970" s="197">
        <v>18.189298124688886</v>
      </c>
    </row>
    <row r="2971" spans="2:2" ht="15.6">
      <c r="B2971" s="197">
        <v>18.173927737345192</v>
      </c>
    </row>
    <row r="2972" spans="2:2" ht="15.6">
      <c r="B2972" s="197">
        <v>18.326258762964205</v>
      </c>
    </row>
    <row r="2973" spans="2:2" ht="15.6">
      <c r="B2973" s="197">
        <v>18.002721498717264</v>
      </c>
    </row>
    <row r="2974" spans="2:2" ht="15.6">
      <c r="B2974" s="197">
        <v>18.026095036278843</v>
      </c>
    </row>
    <row r="2975" spans="2:2" ht="15.6">
      <c r="B2975" s="197">
        <v>18.394939042541495</v>
      </c>
    </row>
    <row r="2976" spans="2:2" ht="15.6">
      <c r="B2976" s="197">
        <v>18.114802084644978</v>
      </c>
    </row>
    <row r="2977" spans="2:2" ht="15.6">
      <c r="B2977" s="197">
        <v>18.436434897168763</v>
      </c>
    </row>
    <row r="2978" spans="2:2" ht="15.6">
      <c r="B2978" s="197">
        <v>18.159071160807201</v>
      </c>
    </row>
    <row r="2979" spans="2:2" ht="15.6">
      <c r="B2979" s="197">
        <v>18.78941119923509</v>
      </c>
    </row>
    <row r="2980" spans="2:2" ht="15.6">
      <c r="B2980" s="197">
        <v>18.118445489412224</v>
      </c>
    </row>
    <row r="2981" spans="2:2" ht="15.6">
      <c r="B2981" s="197">
        <v>18.080438746445235</v>
      </c>
    </row>
    <row r="2982" spans="2:2" ht="15.6">
      <c r="B2982" s="197">
        <v>17.8835926207955</v>
      </c>
    </row>
    <row r="2983" spans="2:2" ht="15.6">
      <c r="B2983" s="197">
        <v>18.404150048854959</v>
      </c>
    </row>
    <row r="2984" spans="2:2" ht="15.6">
      <c r="B2984" s="197">
        <v>18.052199397021013</v>
      </c>
    </row>
    <row r="2985" spans="2:2" ht="15.6">
      <c r="B2985" s="197">
        <v>18.183773314892203</v>
      </c>
    </row>
    <row r="2986" spans="2:2" ht="15.6">
      <c r="B2986" s="197">
        <v>17.827848264941721</v>
      </c>
    </row>
    <row r="2987" spans="2:2" ht="15.6">
      <c r="B2987" s="197">
        <v>18.199605458909605</v>
      </c>
    </row>
    <row r="2988" spans="2:2" ht="15.6">
      <c r="B2988" s="197">
        <v>18.276505220369874</v>
      </c>
    </row>
    <row r="2989" spans="2:2" ht="15.6">
      <c r="B2989" s="197">
        <v>17.78853122335358</v>
      </c>
    </row>
    <row r="2990" spans="2:2" ht="15.6">
      <c r="B2990" s="197">
        <v>17.930514956562114</v>
      </c>
    </row>
    <row r="2991" spans="2:2" ht="15.6">
      <c r="B2991" s="197">
        <v>17.894088308357485</v>
      </c>
    </row>
    <row r="2992" spans="2:2" ht="15.6">
      <c r="B2992" s="197">
        <v>18.594395438988442</v>
      </c>
    </row>
    <row r="2993" spans="2:2" ht="15.6">
      <c r="B2993" s="197">
        <v>18.260606672002499</v>
      </c>
    </row>
    <row r="2994" spans="2:2" ht="15.6">
      <c r="B2994" s="197">
        <v>17.734780549138506</v>
      </c>
    </row>
    <row r="2995" spans="2:2" ht="15.6">
      <c r="B2995" s="197">
        <v>18.182399903226909</v>
      </c>
    </row>
    <row r="2996" spans="2:2" ht="15.6">
      <c r="B2996" s="197">
        <v>18.379321353325082</v>
      </c>
    </row>
    <row r="2997" spans="2:2" ht="15.6">
      <c r="B2997" s="197">
        <v>17.878267110837545</v>
      </c>
    </row>
    <row r="2998" spans="2:2" ht="15.6">
      <c r="B2998" s="197">
        <v>18.301014084446738</v>
      </c>
    </row>
    <row r="2999" spans="2:2" ht="15.6">
      <c r="B2999" s="197">
        <v>18.291116567637655</v>
      </c>
    </row>
    <row r="3000" spans="2:2" ht="15.6">
      <c r="B3000" s="197">
        <v>18.164184909391743</v>
      </c>
    </row>
    <row r="3001" spans="2:2" ht="15.6">
      <c r="B3001" s="197">
        <v>18.259583424368536</v>
      </c>
    </row>
    <row r="3002" spans="2:2" ht="15.6">
      <c r="B3002" s="197">
        <v>18.486038070217496</v>
      </c>
    </row>
    <row r="3003" spans="2:2" ht="15.6">
      <c r="B3003" s="197">
        <v>17.980931986777211</v>
      </c>
    </row>
    <row r="3004" spans="2:2" ht="15.6">
      <c r="B3004" s="197">
        <v>18.111941291880481</v>
      </c>
    </row>
    <row r="3005" spans="2:2" ht="15.6">
      <c r="B3005" s="197">
        <v>18.056540002953618</v>
      </c>
    </row>
    <row r="3006" spans="2:2" ht="15.6">
      <c r="B3006" s="197">
        <v>18.129720132766096</v>
      </c>
    </row>
    <row r="3007" spans="2:2" ht="15.6">
      <c r="B3007" s="197">
        <v>18.321068093512107</v>
      </c>
    </row>
    <row r="3008" spans="2:2" ht="15.6">
      <c r="B3008" s="197">
        <v>18.023274438637412</v>
      </c>
    </row>
    <row r="3009" spans="2:2" ht="15.6">
      <c r="B3009" s="197">
        <v>18.387971840518738</v>
      </c>
    </row>
    <row r="3010" spans="2:2" ht="15.6">
      <c r="B3010" s="197">
        <v>18.471142428860645</v>
      </c>
    </row>
    <row r="3011" spans="2:2" ht="15.6">
      <c r="B3011" s="197">
        <v>17.507002749937179</v>
      </c>
    </row>
    <row r="3012" spans="2:2" ht="15.6">
      <c r="B3012" s="197">
        <v>18.065296705011516</v>
      </c>
    </row>
    <row r="3013" spans="2:2" ht="15.6">
      <c r="B3013" s="197">
        <v>18.259104062531591</v>
      </c>
    </row>
    <row r="3014" spans="2:2" ht="15.6">
      <c r="B3014" s="197">
        <v>18.161136201995919</v>
      </c>
    </row>
    <row r="3015" spans="2:2" ht="15.6">
      <c r="B3015" s="197">
        <v>18.285905235132994</v>
      </c>
    </row>
    <row r="3016" spans="2:2" ht="15.6">
      <c r="B3016" s="197">
        <v>18.571632803232294</v>
      </c>
    </row>
    <row r="3017" spans="2:2" ht="15.6">
      <c r="B3017" s="197">
        <v>18.292271232094549</v>
      </c>
    </row>
    <row r="3018" spans="2:2" ht="15.6">
      <c r="B3018" s="197">
        <v>18.183101415376839</v>
      </c>
    </row>
    <row r="3019" spans="2:2" ht="15.6">
      <c r="B3019" s="197">
        <v>18.280779068441717</v>
      </c>
    </row>
    <row r="3020" spans="2:2" ht="15.6">
      <c r="B3020" s="197">
        <v>18.234205928241611</v>
      </c>
    </row>
    <row r="3021" spans="2:2" ht="15.6">
      <c r="B3021" s="197">
        <v>17.9570313196485</v>
      </c>
    </row>
    <row r="3022" spans="2:2" ht="15.6">
      <c r="B3022" s="197">
        <v>18.029088639055523</v>
      </c>
    </row>
    <row r="3023" spans="2:2" ht="15.6">
      <c r="B3023" s="197">
        <v>18.262724589686236</v>
      </c>
    </row>
    <row r="3024" spans="2:2" ht="15.6">
      <c r="B3024" s="197">
        <v>18.065369096726151</v>
      </c>
    </row>
    <row r="3025" spans="2:2" ht="15.6">
      <c r="B3025" s="197">
        <v>17.829114817838249</v>
      </c>
    </row>
    <row r="3026" spans="2:2" ht="15.6">
      <c r="B3026" s="197">
        <v>18.110218102636821</v>
      </c>
    </row>
    <row r="3027" spans="2:2" ht="15.6">
      <c r="B3027" s="197">
        <v>18.256250442968337</v>
      </c>
    </row>
    <row r="3028" spans="2:2" ht="15.6">
      <c r="B3028" s="197">
        <v>18.212136172121586</v>
      </c>
    </row>
    <row r="3029" spans="2:2" ht="15.6">
      <c r="B3029" s="197">
        <v>17.853634645047094</v>
      </c>
    </row>
    <row r="3030" spans="2:2" ht="15.6">
      <c r="B3030" s="197">
        <v>18.012782534661291</v>
      </c>
    </row>
    <row r="3031" spans="2:2" ht="15.6">
      <c r="B3031" s="197">
        <v>17.799195468535356</v>
      </c>
    </row>
    <row r="3032" spans="2:2" ht="15.6">
      <c r="B3032" s="197">
        <v>18.183256675251332</v>
      </c>
    </row>
    <row r="3033" spans="2:2" ht="15.6">
      <c r="B3033" s="197">
        <v>18.221459492730567</v>
      </c>
    </row>
    <row r="3034" spans="2:2" ht="15.6">
      <c r="B3034" s="197">
        <v>18.197788823245656</v>
      </c>
    </row>
    <row r="3035" spans="2:2" ht="15.6">
      <c r="B3035" s="197">
        <v>18.089468017779247</v>
      </c>
    </row>
    <row r="3036" spans="2:2" ht="15.6">
      <c r="B3036" s="197">
        <v>18.401417886131465</v>
      </c>
    </row>
    <row r="3037" spans="2:2" ht="15.6">
      <c r="B3037" s="197">
        <v>18.213613058697469</v>
      </c>
    </row>
    <row r="3038" spans="2:2" ht="15.6">
      <c r="B3038" s="197">
        <v>18.148212869147812</v>
      </c>
    </row>
    <row r="3039" spans="2:2" ht="15.6">
      <c r="B3039" s="197">
        <v>18.082724215796471</v>
      </c>
    </row>
    <row r="3040" spans="2:2" ht="15.6">
      <c r="B3040" s="197">
        <v>18.073576183398295</v>
      </c>
    </row>
    <row r="3041" spans="2:2" ht="15.6">
      <c r="B3041" s="197">
        <v>18.141166805636381</v>
      </c>
    </row>
    <row r="3042" spans="2:2" ht="15.6">
      <c r="B3042" s="197">
        <v>18.117867888959243</v>
      </c>
    </row>
    <row r="3043" spans="2:2" ht="15.6">
      <c r="B3043" s="197">
        <v>18.17122374627148</v>
      </c>
    </row>
    <row r="3044" spans="2:2" ht="15.6">
      <c r="B3044" s="197">
        <v>17.933780769544615</v>
      </c>
    </row>
    <row r="3045" spans="2:2" ht="15.6">
      <c r="B3045" s="197">
        <v>17.968547221727981</v>
      </c>
    </row>
    <row r="3046" spans="2:2" ht="15.6">
      <c r="B3046" s="197">
        <v>18.158885756954245</v>
      </c>
    </row>
    <row r="3047" spans="2:2" ht="15.6">
      <c r="B3047" s="197">
        <v>17.841068438743381</v>
      </c>
    </row>
    <row r="3048" spans="2:2" ht="15.6">
      <c r="B3048" s="197">
        <v>18.34322886639082</v>
      </c>
    </row>
    <row r="3049" spans="2:2" ht="15.6">
      <c r="B3049" s="197">
        <v>18.095887059959274</v>
      </c>
    </row>
    <row r="3050" spans="2:2" ht="15.6">
      <c r="B3050" s="197">
        <v>18.295853955699762</v>
      </c>
    </row>
    <row r="3051" spans="2:2" ht="15.6">
      <c r="B3051" s="197">
        <v>18.158373137051854</v>
      </c>
    </row>
    <row r="3052" spans="2:2" ht="15.6">
      <c r="B3052" s="197">
        <v>18.316304065530112</v>
      </c>
    </row>
    <row r="3053" spans="2:2" ht="15.6">
      <c r="B3053" s="197">
        <v>18.762915024443046</v>
      </c>
    </row>
    <row r="3054" spans="2:2" ht="15.6">
      <c r="B3054" s="197">
        <v>17.695694547196897</v>
      </c>
    </row>
    <row r="3055" spans="2:2" ht="15.6">
      <c r="B3055" s="197">
        <v>17.923099940670458</v>
      </c>
    </row>
    <row r="3056" spans="2:2" ht="15.6">
      <c r="B3056" s="197">
        <v>18.301652279414114</v>
      </c>
    </row>
    <row r="3057" spans="2:2" ht="15.6">
      <c r="B3057" s="197">
        <v>18.22068639068813</v>
      </c>
    </row>
    <row r="3058" spans="2:2" ht="15.6">
      <c r="B3058" s="197">
        <v>18.057358286217255</v>
      </c>
    </row>
    <row r="3059" spans="2:2" ht="15.6">
      <c r="B3059" s="197">
        <v>18.267925050624104</v>
      </c>
    </row>
    <row r="3060" spans="2:2" ht="15.6">
      <c r="B3060" s="197">
        <v>18.03233712169606</v>
      </c>
    </row>
    <row r="3061" spans="2:2" ht="15.6">
      <c r="B3061" s="197">
        <v>17.796186072349293</v>
      </c>
    </row>
    <row r="3062" spans="2:2" ht="15.6">
      <c r="B3062" s="197">
        <v>18.193370731710633</v>
      </c>
    </row>
    <row r="3063" spans="2:2" ht="15.6">
      <c r="B3063" s="197">
        <v>18.141925134287998</v>
      </c>
    </row>
    <row r="3064" spans="2:2" ht="15.6">
      <c r="B3064" s="197">
        <v>18.173207711317076</v>
      </c>
    </row>
    <row r="3065" spans="2:2" ht="15.6">
      <c r="B3065" s="197">
        <v>18.413118113942833</v>
      </c>
    </row>
    <row r="3066" spans="2:2" ht="15.6">
      <c r="B3066" s="197">
        <v>18.319672235642219</v>
      </c>
    </row>
    <row r="3067" spans="2:2" ht="15.6">
      <c r="B3067" s="197">
        <v>18.47097180427949</v>
      </c>
    </row>
    <row r="3068" spans="2:2" ht="15.6">
      <c r="B3068" s="197">
        <v>18.104835742439306</v>
      </c>
    </row>
    <row r="3069" spans="2:2" ht="15.6">
      <c r="B3069" s="197">
        <v>18.042856166786947</v>
      </c>
    </row>
    <row r="3070" spans="2:2" ht="15.6">
      <c r="B3070" s="197">
        <v>18.206157583275871</v>
      </c>
    </row>
    <row r="3071" spans="2:2" ht="15.6">
      <c r="B3071" s="197">
        <v>18.029029743341621</v>
      </c>
    </row>
    <row r="3072" spans="2:2" ht="15.6">
      <c r="B3072" s="197">
        <v>18.018148248085478</v>
      </c>
    </row>
    <row r="3073" spans="2:2" ht="15.6">
      <c r="B3073" s="197">
        <v>17.868725654128657</v>
      </c>
    </row>
    <row r="3074" spans="2:2" ht="15.6">
      <c r="B3074" s="197">
        <v>18.44355265232447</v>
      </c>
    </row>
    <row r="3075" spans="2:2" ht="15.6">
      <c r="B3075" s="197">
        <v>18.018595496910084</v>
      </c>
    </row>
    <row r="3076" spans="2:2" ht="15.6">
      <c r="B3076" s="197">
        <v>18.58700549495002</v>
      </c>
    </row>
    <row r="3077" spans="2:2" ht="15.6">
      <c r="B3077" s="197">
        <v>18.393867207466222</v>
      </c>
    </row>
    <row r="3078" spans="2:2" ht="15.6">
      <c r="B3078" s="197">
        <v>18.407468987955081</v>
      </c>
    </row>
    <row r="3079" spans="2:2" ht="15.6">
      <c r="B3079" s="197">
        <v>18.292011325745879</v>
      </c>
    </row>
    <row r="3080" spans="2:2" ht="15.6">
      <c r="B3080" s="197">
        <v>18.259861858324335</v>
      </c>
    </row>
    <row r="3081" spans="2:2" ht="15.6">
      <c r="B3081" s="197">
        <v>18.194789634759264</v>
      </c>
    </row>
    <row r="3082" spans="2:2" ht="15.6">
      <c r="B3082" s="197">
        <v>18.389896419894761</v>
      </c>
    </row>
    <row r="3083" spans="2:2" ht="15.6">
      <c r="B3083" s="197">
        <v>18.074760682390508</v>
      </c>
    </row>
    <row r="3084" spans="2:2" ht="15.6">
      <c r="B3084" s="197">
        <v>18.410162774009883</v>
      </c>
    </row>
    <row r="3085" spans="2:2" ht="15.6">
      <c r="B3085" s="197">
        <v>18.531020899643174</v>
      </c>
    </row>
    <row r="3086" spans="2:2" ht="15.6">
      <c r="B3086" s="197">
        <v>18.112273604642233</v>
      </c>
    </row>
    <row r="3087" spans="2:2" ht="15.6">
      <c r="B3087" s="197">
        <v>18.159038823266652</v>
      </c>
    </row>
    <row r="3088" spans="2:2" ht="15.6">
      <c r="B3088" s="197">
        <v>18.363105947648798</v>
      </c>
    </row>
    <row r="3089" spans="2:2" ht="15.6">
      <c r="B3089" s="197">
        <v>17.988873722686591</v>
      </c>
    </row>
    <row r="3090" spans="2:2" ht="15.6">
      <c r="B3090" s="197">
        <v>18.274136208030534</v>
      </c>
    </row>
    <row r="3091" spans="2:2" ht="15.6">
      <c r="B3091" s="197">
        <v>18.186742636489114</v>
      </c>
    </row>
    <row r="3092" spans="2:2" ht="15.6">
      <c r="B3092" s="197">
        <v>18.241107747211366</v>
      </c>
    </row>
    <row r="3093" spans="2:2" ht="15.6">
      <c r="B3093" s="197">
        <v>18.286760848090076</v>
      </c>
    </row>
    <row r="3094" spans="2:2" ht="15.6">
      <c r="B3094" s="197">
        <v>18.307250526219672</v>
      </c>
    </row>
    <row r="3095" spans="2:2" ht="15.6">
      <c r="B3095" s="197">
        <v>18.249557990530214</v>
      </c>
    </row>
    <row r="3096" spans="2:2" ht="15.6">
      <c r="B3096" s="197">
        <v>18.374504664784073</v>
      </c>
    </row>
    <row r="3097" spans="2:2" ht="15.6">
      <c r="B3097" s="197">
        <v>17.948165308435833</v>
      </c>
    </row>
    <row r="3098" spans="2:2" ht="15.6">
      <c r="B3098" s="197">
        <v>18.271083506676757</v>
      </c>
    </row>
    <row r="3099" spans="2:2" ht="15.6">
      <c r="B3099" s="197">
        <v>18.242937143943713</v>
      </c>
    </row>
    <row r="3100" spans="2:2" ht="15.6">
      <c r="B3100" s="197">
        <v>18.155477514321127</v>
      </c>
    </row>
    <row r="3101" spans="2:2" ht="15.6">
      <c r="B3101" s="197">
        <v>18.273064266079523</v>
      </c>
    </row>
    <row r="3102" spans="2:2" ht="15.6">
      <c r="B3102" s="197">
        <v>17.886524604964755</v>
      </c>
    </row>
    <row r="3103" spans="2:2" ht="15.6">
      <c r="B3103" s="197">
        <v>18.256720883022034</v>
      </c>
    </row>
    <row r="3104" spans="2:2" ht="15.6">
      <c r="B3104" s="197">
        <v>17.996949140879654</v>
      </c>
    </row>
    <row r="3105" spans="2:2" ht="15.6">
      <c r="B3105" s="197">
        <v>18.091085668991028</v>
      </c>
    </row>
    <row r="3106" spans="2:2" ht="15.6">
      <c r="B3106" s="197">
        <v>18.01827520713335</v>
      </c>
    </row>
    <row r="3107" spans="2:2" ht="15.6">
      <c r="B3107" s="197">
        <v>17.862685440886381</v>
      </c>
    </row>
    <row r="3108" spans="2:2" ht="15.6">
      <c r="B3108" s="197">
        <v>17.785641115610009</v>
      </c>
    </row>
    <row r="3109" spans="2:2" ht="15.6">
      <c r="B3109" s="197">
        <v>18.311604480696978</v>
      </c>
    </row>
    <row r="3110" spans="2:2" ht="15.6">
      <c r="B3110" s="197">
        <v>17.799637000408644</v>
      </c>
    </row>
    <row r="3111" spans="2:2" ht="15.6">
      <c r="B3111" s="197">
        <v>18.209277827955237</v>
      </c>
    </row>
    <row r="3112" spans="2:2" ht="15.6">
      <c r="B3112" s="197">
        <v>17.750140497736947</v>
      </c>
    </row>
    <row r="3113" spans="2:2" ht="15.6">
      <c r="B3113" s="197">
        <v>18.204872664163297</v>
      </c>
    </row>
    <row r="3114" spans="2:2" ht="15.6">
      <c r="B3114" s="197">
        <v>18.292244419388819</v>
      </c>
    </row>
    <row r="3115" spans="2:2" ht="15.6">
      <c r="B3115" s="197">
        <v>18.289398514397373</v>
      </c>
    </row>
    <row r="3116" spans="2:2" ht="15.6">
      <c r="B3116" s="197">
        <v>18.061726561990362</v>
      </c>
    </row>
    <row r="3117" spans="2:2" ht="15.6">
      <c r="B3117" s="197">
        <v>17.721214552002905</v>
      </c>
    </row>
    <row r="3118" spans="2:2" ht="15.6">
      <c r="B3118" s="197">
        <v>17.913892025610988</v>
      </c>
    </row>
    <row r="3119" spans="2:2" ht="15.6">
      <c r="B3119" s="197">
        <v>17.815205991535837</v>
      </c>
    </row>
    <row r="3120" spans="2:2" ht="15.6">
      <c r="B3120" s="197">
        <v>17.884142801301785</v>
      </c>
    </row>
    <row r="3121" spans="2:2" ht="15.6">
      <c r="B3121" s="197">
        <v>18.247519173338013</v>
      </c>
    </row>
    <row r="3122" spans="2:2" ht="15.6">
      <c r="B3122" s="197">
        <v>18.144901323939859</v>
      </c>
    </row>
    <row r="3123" spans="2:2" ht="15.6">
      <c r="B3123" s="197">
        <v>17.994061247869801</v>
      </c>
    </row>
    <row r="3124" spans="2:2" ht="15.6">
      <c r="B3124" s="197">
        <v>18.082683959452726</v>
      </c>
    </row>
    <row r="3125" spans="2:2" ht="15.6">
      <c r="B3125" s="197">
        <v>17.980349242661426</v>
      </c>
    </row>
    <row r="3126" spans="2:2" ht="15.6">
      <c r="B3126" s="197">
        <v>18.145392316141876</v>
      </c>
    </row>
    <row r="3127" spans="2:2" ht="15.6">
      <c r="B3127" s="197">
        <v>18.027175298475068</v>
      </c>
    </row>
    <row r="3128" spans="2:2" ht="15.6">
      <c r="B3128" s="197">
        <v>18.252816360928737</v>
      </c>
    </row>
    <row r="3129" spans="2:2" ht="15.6">
      <c r="B3129" s="197">
        <v>18.243853417807909</v>
      </c>
    </row>
    <row r="3130" spans="2:2" ht="15.6">
      <c r="B3130" s="197">
        <v>18.233019147277027</v>
      </c>
    </row>
    <row r="3131" spans="2:2" ht="15.6">
      <c r="B3131" s="197">
        <v>18.214309533958755</v>
      </c>
    </row>
    <row r="3132" spans="2:2" ht="15.6">
      <c r="B3132" s="197">
        <v>18.174914581957637</v>
      </c>
    </row>
    <row r="3133" spans="2:2" ht="15.6">
      <c r="B3133" s="197">
        <v>18.041305240869445</v>
      </c>
    </row>
    <row r="3134" spans="2:2" ht="15.6">
      <c r="B3134" s="197">
        <v>18.276123996033927</v>
      </c>
    </row>
    <row r="3135" spans="2:2" ht="15.6">
      <c r="B3135" s="197">
        <v>18.195361027060265</v>
      </c>
    </row>
    <row r="3136" spans="2:2" ht="15.6">
      <c r="B3136" s="197">
        <v>17.896012901444482</v>
      </c>
    </row>
    <row r="3137" spans="2:2" ht="15.6">
      <c r="B3137" s="197">
        <v>18.067862725894358</v>
      </c>
    </row>
    <row r="3138" spans="2:2" ht="15.6">
      <c r="B3138" s="197">
        <v>18.0111505114347</v>
      </c>
    </row>
    <row r="3139" spans="2:2" ht="15.6">
      <c r="B3139" s="197">
        <v>18.467992429641448</v>
      </c>
    </row>
    <row r="3140" spans="2:2" ht="15.6">
      <c r="B3140" s="197">
        <v>18.212577405362918</v>
      </c>
    </row>
    <row r="3141" spans="2:2" ht="15.6">
      <c r="B3141" s="197">
        <v>18.318661751217572</v>
      </c>
    </row>
    <row r="3142" spans="2:2" ht="15.6">
      <c r="B3142" s="197">
        <v>18.035952870668922</v>
      </c>
    </row>
    <row r="3143" spans="2:2" ht="15.6">
      <c r="B3143" s="197">
        <v>18.465238449215729</v>
      </c>
    </row>
    <row r="3144" spans="2:2" ht="15.6">
      <c r="B3144" s="197">
        <v>18.134493345992755</v>
      </c>
    </row>
    <row r="3145" spans="2:2" ht="15.6">
      <c r="B3145" s="197">
        <v>18.295815695395174</v>
      </c>
    </row>
    <row r="3146" spans="2:2" ht="15.6">
      <c r="B3146" s="197">
        <v>17.902732511089596</v>
      </c>
    </row>
    <row r="3147" spans="2:2" ht="15.6">
      <c r="B3147" s="197">
        <v>18.585309679241604</v>
      </c>
    </row>
    <row r="3148" spans="2:2" ht="15.6">
      <c r="B3148" s="197">
        <v>17.789652033406774</v>
      </c>
    </row>
    <row r="3149" spans="2:2" ht="15.6">
      <c r="B3149" s="197">
        <v>18.070041956382759</v>
      </c>
    </row>
    <row r="3150" spans="2:2" ht="15.6">
      <c r="B3150" s="197">
        <v>18.153055936642485</v>
      </c>
    </row>
    <row r="3151" spans="2:2" ht="15.6">
      <c r="B3151" s="197">
        <v>17.904682349085725</v>
      </c>
    </row>
    <row r="3152" spans="2:2" ht="15.6">
      <c r="B3152" s="197">
        <v>17.963019388700321</v>
      </c>
    </row>
    <row r="3153" spans="2:2" ht="15.6">
      <c r="B3153" s="197">
        <v>17.958800235753515</v>
      </c>
    </row>
    <row r="3154" spans="2:2" ht="15.6">
      <c r="B3154" s="197">
        <v>18.281124393938491</v>
      </c>
    </row>
    <row r="3155" spans="2:2" ht="15.6">
      <c r="B3155" s="197">
        <v>18.33805171390242</v>
      </c>
    </row>
    <row r="3156" spans="2:2" ht="15.6">
      <c r="B3156" s="197">
        <v>18.131119071642953</v>
      </c>
    </row>
    <row r="3157" spans="2:2" ht="15.6">
      <c r="B3157" s="197">
        <v>17.911727615944667</v>
      </c>
    </row>
    <row r="3158" spans="2:2" ht="15.6">
      <c r="B3158" s="197">
        <v>18.009601763812778</v>
      </c>
    </row>
    <row r="3159" spans="2:2" ht="15.6">
      <c r="B3159" s="197">
        <v>18.339405202629656</v>
      </c>
    </row>
    <row r="3160" spans="2:2" ht="15.6">
      <c r="B3160" s="197">
        <v>18.052609434915968</v>
      </c>
    </row>
    <row r="3161" spans="2:2" ht="15.6">
      <c r="B3161" s="197">
        <v>18.266208311388201</v>
      </c>
    </row>
    <row r="3162" spans="2:2" ht="15.6">
      <c r="B3162" s="197">
        <v>18.037421787840472</v>
      </c>
    </row>
    <row r="3163" spans="2:2" ht="15.6">
      <c r="B3163" s="197">
        <v>18.128053271398024</v>
      </c>
    </row>
    <row r="3164" spans="2:2" ht="15.6">
      <c r="B3164" s="197">
        <v>18.304534743959255</v>
      </c>
    </row>
    <row r="3165" spans="2:2" ht="15.6">
      <c r="B3165" s="197">
        <v>18.013710821996948</v>
      </c>
    </row>
    <row r="3166" spans="2:2" ht="15.6">
      <c r="B3166" s="197">
        <v>17.790073913884406</v>
      </c>
    </row>
    <row r="3167" spans="2:2" ht="15.6">
      <c r="B3167" s="197">
        <v>18.274122157680861</v>
      </c>
    </row>
    <row r="3168" spans="2:2" ht="15.6">
      <c r="B3168" s="197">
        <v>18.172477564804222</v>
      </c>
    </row>
    <row r="3169" spans="2:2" ht="15.6">
      <c r="B3169" s="197">
        <v>18.187491229579443</v>
      </c>
    </row>
    <row r="3170" spans="2:2" ht="15.6">
      <c r="B3170" s="197">
        <v>18.070011940196981</v>
      </c>
    </row>
    <row r="3171" spans="2:2" ht="15.6">
      <c r="B3171" s="197">
        <v>18.124908638470512</v>
      </c>
    </row>
    <row r="3172" spans="2:2" ht="15.6">
      <c r="B3172" s="197">
        <v>18.2081576233257</v>
      </c>
    </row>
    <row r="3173" spans="2:2" ht="15.6">
      <c r="B3173" s="197">
        <v>18.210468959490122</v>
      </c>
    </row>
    <row r="3174" spans="2:2" ht="15.6">
      <c r="B3174" s="197">
        <v>18.296833526913268</v>
      </c>
    </row>
    <row r="3175" spans="2:2" ht="15.6">
      <c r="B3175" s="197">
        <v>18.426267751810919</v>
      </c>
    </row>
    <row r="3176" spans="2:2" ht="15.6">
      <c r="B3176" s="197">
        <v>18.035792258896446</v>
      </c>
    </row>
    <row r="3177" spans="2:2" ht="15.6">
      <c r="B3177" s="197">
        <v>18.102014026561054</v>
      </c>
    </row>
    <row r="3178" spans="2:2" ht="15.6">
      <c r="B3178" s="197">
        <v>18.077215606622058</v>
      </c>
    </row>
    <row r="3179" spans="2:2" ht="15.6">
      <c r="B3179" s="197">
        <v>18.529256695546053</v>
      </c>
    </row>
    <row r="3180" spans="2:2" ht="15.6">
      <c r="B3180" s="197">
        <v>18.111239784700263</v>
      </c>
    </row>
    <row r="3181" spans="2:2" ht="15.6">
      <c r="B3181" s="197">
        <v>18.323302899077039</v>
      </c>
    </row>
    <row r="3182" spans="2:2" ht="15.6">
      <c r="B3182" s="197">
        <v>18.025417885202774</v>
      </c>
    </row>
    <row r="3183" spans="2:2" ht="15.6">
      <c r="B3183" s="197">
        <v>18.529087065229255</v>
      </c>
    </row>
    <row r="3184" spans="2:2" ht="15.6">
      <c r="B3184" s="197">
        <v>18.372997920668013</v>
      </c>
    </row>
    <row r="3185" spans="2:2" ht="15.6">
      <c r="B3185" s="197">
        <v>18.074811612475042</v>
      </c>
    </row>
    <row r="3186" spans="2:2" ht="15.6">
      <c r="B3186" s="197">
        <v>18.075573555931864</v>
      </c>
    </row>
    <row r="3187" spans="2:2" ht="15.6">
      <c r="B3187" s="197">
        <v>17.954023482395616</v>
      </c>
    </row>
    <row r="3188" spans="2:2" ht="15.6">
      <c r="B3188" s="197">
        <v>18.12034935736564</v>
      </c>
    </row>
    <row r="3189" spans="2:2" ht="15.6">
      <c r="B3189" s="197">
        <v>17.970486324255869</v>
      </c>
    </row>
    <row r="3190" spans="2:2" ht="15.6">
      <c r="B3190" s="197">
        <v>18.171765532494735</v>
      </c>
    </row>
    <row r="3191" spans="2:2" ht="15.6">
      <c r="B3191" s="197">
        <v>18.129676701098084</v>
      </c>
    </row>
    <row r="3192" spans="2:2" ht="15.6">
      <c r="B3192" s="197">
        <v>18.872266372727264</v>
      </c>
    </row>
    <row r="3193" spans="2:2" ht="15.6">
      <c r="B3193" s="197">
        <v>17.714213564002748</v>
      </c>
    </row>
    <row r="3194" spans="2:2" ht="15.6">
      <c r="B3194" s="197">
        <v>18.168063621049278</v>
      </c>
    </row>
    <row r="3195" spans="2:2" ht="15.6">
      <c r="B3195" s="197">
        <v>17.947593181575375</v>
      </c>
    </row>
    <row r="3196" spans="2:2" ht="15.6">
      <c r="B3196" s="197">
        <v>18.273345282854226</v>
      </c>
    </row>
    <row r="3197" spans="2:2" ht="15.6">
      <c r="B3197" s="197">
        <v>17.982007238967373</v>
      </c>
    </row>
    <row r="3198" spans="2:2" ht="15.6">
      <c r="B3198" s="197">
        <v>18.391328567021326</v>
      </c>
    </row>
    <row r="3199" spans="2:2" ht="15.6">
      <c r="B3199" s="197">
        <v>17.967266613667036</v>
      </c>
    </row>
    <row r="3200" spans="2:2" ht="15.6">
      <c r="B3200" s="197">
        <v>17.89345819950535</v>
      </c>
    </row>
    <row r="3201" spans="2:2" ht="15.6">
      <c r="B3201" s="197">
        <v>18.229225765290664</v>
      </c>
    </row>
    <row r="3202" spans="2:2" ht="15.6">
      <c r="B3202" s="197">
        <v>18.047912063460167</v>
      </c>
    </row>
    <row r="3203" spans="2:2" ht="15.6">
      <c r="B3203" s="197">
        <v>18.421279109956981</v>
      </c>
    </row>
    <row r="3204" spans="2:2" ht="15.6">
      <c r="B3204" s="197">
        <v>18.309840055062619</v>
      </c>
    </row>
    <row r="3205" spans="2:2" ht="15.6">
      <c r="B3205" s="197">
        <v>18.224759994385735</v>
      </c>
    </row>
    <row r="3206" spans="2:2" ht="15.6">
      <c r="B3206" s="197">
        <v>18.376628971161075</v>
      </c>
    </row>
    <row r="3207" spans="2:2" ht="15.6">
      <c r="B3207" s="197">
        <v>18.025419799128336</v>
      </c>
    </row>
    <row r="3208" spans="2:2" ht="15.6">
      <c r="B3208" s="197">
        <v>18.462704159337452</v>
      </c>
    </row>
    <row r="3209" spans="2:2" ht="15.6">
      <c r="B3209" s="197">
        <v>18.006754847257834</v>
      </c>
    </row>
    <row r="3210" spans="2:2" ht="15.6">
      <c r="B3210" s="197">
        <v>17.780793709506355</v>
      </c>
    </row>
    <row r="3211" spans="2:2" ht="15.6">
      <c r="B3211" s="197">
        <v>18.521268593299457</v>
      </c>
    </row>
    <row r="3212" spans="2:2" ht="15.6">
      <c r="B3212" s="197">
        <v>18.257269238525279</v>
      </c>
    </row>
    <row r="3213" spans="2:2" ht="15.6">
      <c r="B3213" s="197">
        <v>17.876950953152761</v>
      </c>
    </row>
    <row r="3214" spans="2:2" ht="15.6">
      <c r="B3214" s="197">
        <v>18.300678499907345</v>
      </c>
    </row>
    <row r="3215" spans="2:2" ht="15.6">
      <c r="B3215" s="197">
        <v>17.517255265176438</v>
      </c>
    </row>
    <row r="3216" spans="2:2" ht="15.6">
      <c r="B3216" s="197">
        <v>18.225808593203929</v>
      </c>
    </row>
    <row r="3217" spans="2:2" ht="15.6">
      <c r="B3217" s="197">
        <v>18.48916951467945</v>
      </c>
    </row>
    <row r="3218" spans="2:2" ht="15.6">
      <c r="B3218" s="197">
        <v>18.13424154303345</v>
      </c>
    </row>
    <row r="3219" spans="2:2" ht="15.6">
      <c r="B3219" s="197">
        <v>18.181813868868552</v>
      </c>
    </row>
    <row r="3220" spans="2:2" ht="15.6">
      <c r="B3220" s="197">
        <v>17.707155166713893</v>
      </c>
    </row>
    <row r="3221" spans="2:2" ht="15.6">
      <c r="B3221" s="197">
        <v>18.139081037039876</v>
      </c>
    </row>
    <row r="3222" spans="2:2" ht="15.6">
      <c r="B3222" s="197">
        <v>18.078152554858349</v>
      </c>
    </row>
    <row r="3223" spans="2:2" ht="15.6">
      <c r="B3223" s="197">
        <v>18.160124981548492</v>
      </c>
    </row>
    <row r="3224" spans="2:2" ht="15.6">
      <c r="B3224" s="197">
        <v>18.225549254957514</v>
      </c>
    </row>
    <row r="3225" spans="2:2" ht="15.6">
      <c r="B3225" s="197">
        <v>18.36953049605609</v>
      </c>
    </row>
    <row r="3226" spans="2:2" ht="15.6">
      <c r="B3226" s="197">
        <v>18.454978887734857</v>
      </c>
    </row>
    <row r="3227" spans="2:2" ht="15.6">
      <c r="B3227" s="197">
        <v>18.289993955295714</v>
      </c>
    </row>
    <row r="3228" spans="2:2" ht="15.6">
      <c r="B3228" s="197">
        <v>18.286156773583276</v>
      </c>
    </row>
    <row r="3229" spans="2:2" ht="15.6">
      <c r="B3229" s="197">
        <v>17.815617650173255</v>
      </c>
    </row>
    <row r="3230" spans="2:2" ht="15.6">
      <c r="B3230" s="197">
        <v>18.262707172273142</v>
      </c>
    </row>
    <row r="3231" spans="2:2" ht="15.6">
      <c r="B3231" s="197">
        <v>17.933787997925283</v>
      </c>
    </row>
    <row r="3232" spans="2:2" ht="15.6">
      <c r="B3232" s="197">
        <v>18.206594979830292</v>
      </c>
    </row>
    <row r="3233" spans="2:2" ht="15.6">
      <c r="B3233" s="197">
        <v>17.985787215015325</v>
      </c>
    </row>
    <row r="3234" spans="2:2" ht="15.6">
      <c r="B3234" s="197">
        <v>18.054497170825261</v>
      </c>
    </row>
    <row r="3235" spans="2:2" ht="15.6">
      <c r="B3235" s="197">
        <v>18.205506607855231</v>
      </c>
    </row>
    <row r="3236" spans="2:2" ht="15.6">
      <c r="B3236" s="197">
        <v>18.429129127943032</v>
      </c>
    </row>
    <row r="3237" spans="2:2" ht="15.6">
      <c r="B3237" s="197">
        <v>18.225359976246569</v>
      </c>
    </row>
    <row r="3238" spans="2:2" ht="15.6">
      <c r="B3238" s="197">
        <v>17.881869343761082</v>
      </c>
    </row>
    <row r="3239" spans="2:2" ht="15.6">
      <c r="B3239" s="197">
        <v>18.175157339819375</v>
      </c>
    </row>
    <row r="3240" spans="2:2" ht="15.6">
      <c r="B3240" s="197">
        <v>17.917680070481179</v>
      </c>
    </row>
    <row r="3241" spans="2:2" ht="15.6">
      <c r="B3241" s="197">
        <v>18.203651750314933</v>
      </c>
    </row>
    <row r="3242" spans="2:2" ht="15.6">
      <c r="B3242" s="197">
        <v>18.399183121305079</v>
      </c>
    </row>
    <row r="3243" spans="2:2" ht="15.6">
      <c r="B3243" s="197">
        <v>17.894645652577601</v>
      </c>
    </row>
    <row r="3244" spans="2:2" ht="15.6">
      <c r="B3244" s="197">
        <v>18.179122505109017</v>
      </c>
    </row>
    <row r="3245" spans="2:2" ht="15.6">
      <c r="B3245" s="197">
        <v>18.208543282047849</v>
      </c>
    </row>
    <row r="3246" spans="2:2" ht="15.6">
      <c r="B3246" s="197">
        <v>17.911491577477047</v>
      </c>
    </row>
    <row r="3247" spans="2:2" ht="15.6">
      <c r="B3247" s="197">
        <v>17.942429280468641</v>
      </c>
    </row>
    <row r="3248" spans="2:2" ht="15.6">
      <c r="B3248" s="197">
        <v>17.909775318204673</v>
      </c>
    </row>
    <row r="3249" spans="2:2" ht="15.6">
      <c r="B3249" s="197">
        <v>18.237495999830607</v>
      </c>
    </row>
    <row r="3250" spans="2:2" ht="15.6">
      <c r="B3250" s="197">
        <v>18.002382701810383</v>
      </c>
    </row>
    <row r="3251" spans="2:2" ht="15.6">
      <c r="B3251" s="197">
        <v>18.040912146642739</v>
      </c>
    </row>
    <row r="3252" spans="2:2" ht="15.6">
      <c r="B3252" s="197">
        <v>18.107157278081512</v>
      </c>
    </row>
    <row r="3253" spans="2:2" ht="15.6">
      <c r="B3253" s="197">
        <v>18.306908500056366</v>
      </c>
    </row>
    <row r="3254" spans="2:2" ht="15.6">
      <c r="B3254" s="197">
        <v>18.210205342376444</v>
      </c>
    </row>
    <row r="3255" spans="2:2" ht="15.6">
      <c r="B3255" s="197">
        <v>18.393586218871683</v>
      </c>
    </row>
    <row r="3256" spans="2:2" ht="15.6">
      <c r="B3256" s="197">
        <v>17.786311693341574</v>
      </c>
    </row>
    <row r="3257" spans="2:2" ht="15.6">
      <c r="B3257" s="197">
        <v>18.011820164482394</v>
      </c>
    </row>
    <row r="3258" spans="2:2" ht="15.6">
      <c r="B3258" s="197">
        <v>17.744761641445749</v>
      </c>
    </row>
    <row r="3259" spans="2:2" ht="15.6">
      <c r="B3259" s="197">
        <v>17.850426028032565</v>
      </c>
    </row>
    <row r="3260" spans="2:2" ht="15.6">
      <c r="B3260" s="197">
        <v>18.221697097842366</v>
      </c>
    </row>
    <row r="3261" spans="2:2" ht="15.6">
      <c r="B3261" s="197">
        <v>18.171627821322879</v>
      </c>
    </row>
    <row r="3262" spans="2:2" ht="15.6">
      <c r="B3262" s="197">
        <v>18.419755550006514</v>
      </c>
    </row>
    <row r="3263" spans="2:2" ht="15.6">
      <c r="B3263" s="197">
        <v>17.939614622943861</v>
      </c>
    </row>
    <row r="3264" spans="2:2" ht="15.6">
      <c r="B3264" s="197">
        <v>18.0339115923856</v>
      </c>
    </row>
    <row r="3265" spans="2:2" ht="15.6">
      <c r="B3265" s="197">
        <v>17.835926490314016</v>
      </c>
    </row>
    <row r="3266" spans="2:2" ht="15.6">
      <c r="B3266" s="197">
        <v>18.165575674093088</v>
      </c>
    </row>
    <row r="3267" spans="2:2" ht="15.6">
      <c r="B3267" s="197">
        <v>18.014591448434025</v>
      </c>
    </row>
    <row r="3268" spans="2:2" ht="15.6">
      <c r="B3268" s="197">
        <v>18.101067337466262</v>
      </c>
    </row>
    <row r="3269" spans="2:2" ht="15.6">
      <c r="B3269" s="197">
        <v>18.375137070318999</v>
      </c>
    </row>
    <row r="3270" spans="2:2" ht="15.6">
      <c r="B3270" s="197">
        <v>17.905910472795483</v>
      </c>
    </row>
    <row r="3271" spans="2:2" ht="15.6">
      <c r="B3271" s="197">
        <v>18.345196292388326</v>
      </c>
    </row>
    <row r="3272" spans="2:2" ht="15.6">
      <c r="B3272" s="197">
        <v>18.300797910299867</v>
      </c>
    </row>
    <row r="3273" spans="2:2" ht="15.6">
      <c r="B3273" s="197">
        <v>18.293790733675515</v>
      </c>
    </row>
    <row r="3274" spans="2:2" ht="15.6">
      <c r="B3274" s="197">
        <v>18.141837758913105</v>
      </c>
    </row>
    <row r="3275" spans="2:2" ht="15.6">
      <c r="B3275" s="197">
        <v>18.498201461098166</v>
      </c>
    </row>
    <row r="3276" spans="2:2" ht="15.6">
      <c r="B3276" s="197">
        <v>18.146455132343185</v>
      </c>
    </row>
    <row r="3277" spans="2:2" ht="15.6">
      <c r="B3277" s="197">
        <v>18.244926482408331</v>
      </c>
    </row>
    <row r="3278" spans="2:2" ht="15.6">
      <c r="B3278" s="197">
        <v>17.985517083680982</v>
      </c>
    </row>
    <row r="3279" spans="2:2" ht="15.6">
      <c r="B3279" s="197">
        <v>18.08362295582323</v>
      </c>
    </row>
    <row r="3280" spans="2:2" ht="15.6">
      <c r="B3280" s="197">
        <v>18.044580257564782</v>
      </c>
    </row>
    <row r="3281" spans="2:2" ht="15.6">
      <c r="B3281" s="197">
        <v>18.03652747448055</v>
      </c>
    </row>
    <row r="3282" spans="2:2" ht="15.6">
      <c r="B3282" s="197">
        <v>18.111375760942515</v>
      </c>
    </row>
    <row r="3283" spans="2:2" ht="15.6">
      <c r="B3283" s="197">
        <v>18.00538587815873</v>
      </c>
    </row>
    <row r="3284" spans="2:2" ht="15.6">
      <c r="B3284" s="197">
        <v>18.297568571967357</v>
      </c>
    </row>
    <row r="3285" spans="2:2" ht="15.6">
      <c r="B3285" s="197">
        <v>18.090803256882783</v>
      </c>
    </row>
    <row r="3286" spans="2:2" ht="15.6">
      <c r="B3286" s="197">
        <v>18.19075998757879</v>
      </c>
    </row>
    <row r="3287" spans="2:2" ht="15.6">
      <c r="B3287" s="197">
        <v>18.377282962475689</v>
      </c>
    </row>
    <row r="3288" spans="2:2" ht="15.6">
      <c r="B3288" s="197">
        <v>17.981338335880679</v>
      </c>
    </row>
    <row r="3289" spans="2:2" ht="15.6">
      <c r="B3289" s="197">
        <v>18.017912845834083</v>
      </c>
    </row>
    <row r="3290" spans="2:2" ht="15.6">
      <c r="B3290" s="197">
        <v>18.007646190549465</v>
      </c>
    </row>
    <row r="3291" spans="2:2" ht="15.6">
      <c r="B3291" s="197">
        <v>18.088312040055005</v>
      </c>
    </row>
    <row r="3292" spans="2:2" ht="15.6">
      <c r="B3292" s="197">
        <v>17.905657108183636</v>
      </c>
    </row>
    <row r="3293" spans="2:2" ht="15.6">
      <c r="B3293" s="197">
        <v>18.067404486074359</v>
      </c>
    </row>
    <row r="3294" spans="2:2" ht="15.6">
      <c r="B3294" s="197">
        <v>18.069491496828249</v>
      </c>
    </row>
    <row r="3295" spans="2:2" ht="15.6">
      <c r="B3295" s="197">
        <v>18.310409725468581</v>
      </c>
    </row>
    <row r="3296" spans="2:2" ht="15.6">
      <c r="B3296" s="197">
        <v>18.214021351035846</v>
      </c>
    </row>
    <row r="3297" spans="2:2" ht="15.6">
      <c r="B3297" s="197">
        <v>18.264296734209427</v>
      </c>
    </row>
    <row r="3298" spans="2:2" ht="15.6">
      <c r="B3298" s="197">
        <v>18.147058105305959</v>
      </c>
    </row>
    <row r="3299" spans="2:2" ht="15.6">
      <c r="B3299" s="197">
        <v>18.101510177742096</v>
      </c>
    </row>
    <row r="3300" spans="2:2" ht="15.6">
      <c r="B3300" s="197">
        <v>18.504920639463148</v>
      </c>
    </row>
    <row r="3301" spans="2:2" ht="15.6">
      <c r="B3301" s="197">
        <v>17.902997719953689</v>
      </c>
    </row>
    <row r="3302" spans="2:2" ht="15.6">
      <c r="B3302" s="197">
        <v>18.216255030607982</v>
      </c>
    </row>
    <row r="3303" spans="2:2" ht="15.6">
      <c r="B3303" s="197">
        <v>18.015501338733184</v>
      </c>
    </row>
    <row r="3304" spans="2:2" ht="15.6">
      <c r="B3304" s="197">
        <v>17.995814836705069</v>
      </c>
    </row>
    <row r="3305" spans="2:2" ht="15.6">
      <c r="B3305" s="197">
        <v>18.11640288977388</v>
      </c>
    </row>
    <row r="3306" spans="2:2" ht="15.6">
      <c r="B3306" s="197">
        <v>18.201252424170487</v>
      </c>
    </row>
    <row r="3307" spans="2:2" ht="15.6">
      <c r="B3307" s="197">
        <v>18.117886995007179</v>
      </c>
    </row>
    <row r="3308" spans="2:2" ht="15.6">
      <c r="B3308" s="197">
        <v>18.271470128136993</v>
      </c>
    </row>
    <row r="3309" spans="2:2" ht="15.6">
      <c r="B3309" s="197">
        <v>18.184230932447758</v>
      </c>
    </row>
    <row r="3310" spans="2:2" ht="15.6">
      <c r="B3310" s="197">
        <v>17.960563153633231</v>
      </c>
    </row>
    <row r="3311" spans="2:2" ht="15.6">
      <c r="B3311" s="197">
        <v>18.164109079334484</v>
      </c>
    </row>
    <row r="3312" spans="2:2" ht="15.6">
      <c r="B3312" s="197">
        <v>18.44780305101639</v>
      </c>
    </row>
    <row r="3313" spans="2:2" ht="15.6">
      <c r="B3313" s="197">
        <v>18.121067375918891</v>
      </c>
    </row>
    <row r="3314" spans="2:2" ht="15.6">
      <c r="B3314" s="197">
        <v>18.284712432332398</v>
      </c>
    </row>
    <row r="3315" spans="2:2" ht="15.6">
      <c r="B3315" s="197">
        <v>17.922268682011307</v>
      </c>
    </row>
    <row r="3316" spans="2:2" ht="15.6">
      <c r="B3316" s="197">
        <v>18.095244452664137</v>
      </c>
    </row>
    <row r="3317" spans="2:2" ht="15.6">
      <c r="B3317" s="197">
        <v>17.823700958342563</v>
      </c>
    </row>
    <row r="3318" spans="2:2" ht="15.6">
      <c r="B3318" s="197">
        <v>18.094323389617355</v>
      </c>
    </row>
    <row r="3319" spans="2:2" ht="15.6">
      <c r="B3319" s="197">
        <v>17.917094878230071</v>
      </c>
    </row>
    <row r="3320" spans="2:2" ht="15.6">
      <c r="B3320" s="197">
        <v>18.205773418972019</v>
      </c>
    </row>
    <row r="3321" spans="2:2" ht="15.6">
      <c r="B3321" s="197">
        <v>18.375681018994747</v>
      </c>
    </row>
    <row r="3322" spans="2:2" ht="15.6">
      <c r="B3322" s="197">
        <v>18.115992141510965</v>
      </c>
    </row>
    <row r="3323" spans="2:2" ht="15.6">
      <c r="B3323" s="197">
        <v>17.876495833686771</v>
      </c>
    </row>
    <row r="3324" spans="2:2" ht="15.6">
      <c r="B3324" s="197">
        <v>18.376178992110226</v>
      </c>
    </row>
    <row r="3325" spans="2:2" ht="15.6">
      <c r="B3325" s="197">
        <v>17.867848846689448</v>
      </c>
    </row>
    <row r="3326" spans="2:2" ht="15.6">
      <c r="B3326" s="197">
        <v>18.232472520340941</v>
      </c>
    </row>
    <row r="3327" spans="2:2" ht="15.6">
      <c r="B3327" s="197">
        <v>18.092536791130392</v>
      </c>
    </row>
    <row r="3328" spans="2:2" ht="15.6">
      <c r="B3328" s="197">
        <v>18.248028733519117</v>
      </c>
    </row>
    <row r="3329" spans="2:2" ht="15.6">
      <c r="B3329" s="197">
        <v>18.06530459917289</v>
      </c>
    </row>
    <row r="3330" spans="2:2" ht="15.6">
      <c r="B3330" s="197">
        <v>18.082838797233943</v>
      </c>
    </row>
    <row r="3331" spans="2:2" ht="15.6">
      <c r="B3331" s="197">
        <v>18.332302523720411</v>
      </c>
    </row>
    <row r="3332" spans="2:2" ht="15.6">
      <c r="B3332" s="197">
        <v>18.195838987209061</v>
      </c>
    </row>
    <row r="3333" spans="2:2" ht="15.6">
      <c r="B3333" s="197">
        <v>18.040738854137281</v>
      </c>
    </row>
    <row r="3334" spans="2:2" ht="15.6">
      <c r="B3334" s="197">
        <v>17.931940396644734</v>
      </c>
    </row>
    <row r="3335" spans="2:2" ht="15.6">
      <c r="B3335" s="197">
        <v>18.142428981931413</v>
      </c>
    </row>
    <row r="3336" spans="2:2" ht="15.6">
      <c r="B3336" s="197">
        <v>18.310014209518666</v>
      </c>
    </row>
    <row r="3337" spans="2:2" ht="15.6">
      <c r="B3337" s="197">
        <v>18.09984983986703</v>
      </c>
    </row>
    <row r="3338" spans="2:2" ht="15.6">
      <c r="B3338" s="197">
        <v>18.232820888832418</v>
      </c>
    </row>
    <row r="3339" spans="2:2" ht="15.6">
      <c r="B3339" s="197">
        <v>17.963467560726073</v>
      </c>
    </row>
    <row r="3340" spans="2:2" ht="15.6">
      <c r="B3340" s="197">
        <v>17.875733141196012</v>
      </c>
    </row>
    <row r="3341" spans="2:2" ht="15.6">
      <c r="B3341" s="197">
        <v>18.222261248818764</v>
      </c>
    </row>
    <row r="3342" spans="2:2" ht="15.6">
      <c r="B3342" s="197">
        <v>18.496750931006996</v>
      </c>
    </row>
    <row r="3343" spans="2:2" ht="15.6">
      <c r="B3343" s="197">
        <v>18.709322186555369</v>
      </c>
    </row>
    <row r="3344" spans="2:2" ht="15.6">
      <c r="B3344" s="197">
        <v>18.114266367413354</v>
      </c>
    </row>
    <row r="3345" spans="2:2" ht="15.6">
      <c r="B3345" s="197">
        <v>18.268955086806837</v>
      </c>
    </row>
    <row r="3346" spans="2:2" ht="15.6">
      <c r="B3346" s="197">
        <v>17.990357877457718</v>
      </c>
    </row>
    <row r="3347" spans="2:2" ht="15.6">
      <c r="B3347" s="197">
        <v>18.400229958697942</v>
      </c>
    </row>
    <row r="3348" spans="2:2" ht="15.6">
      <c r="B3348" s="197">
        <v>18.087240117522352</v>
      </c>
    </row>
    <row r="3349" spans="2:2" ht="15.6">
      <c r="B3349" s="197">
        <v>18.351853813232417</v>
      </c>
    </row>
    <row r="3350" spans="2:2" ht="15.6">
      <c r="B3350" s="197">
        <v>18.013744153188863</v>
      </c>
    </row>
    <row r="3351" spans="2:2" ht="15.6">
      <c r="B3351" s="197">
        <v>18.317924249500624</v>
      </c>
    </row>
    <row r="3352" spans="2:2" ht="15.6">
      <c r="B3352" s="197">
        <v>17.918727165589644</v>
      </c>
    </row>
    <row r="3353" spans="2:2" ht="15.6">
      <c r="B3353" s="197">
        <v>18.331960710880232</v>
      </c>
    </row>
    <row r="3354" spans="2:2" ht="15.6">
      <c r="B3354" s="197">
        <v>18.642772285367915</v>
      </c>
    </row>
    <row r="3355" spans="2:2" ht="15.6">
      <c r="B3355" s="197">
        <v>18.227170665991473</v>
      </c>
    </row>
    <row r="3356" spans="2:2" ht="15.6">
      <c r="B3356" s="197">
        <v>18.097835613812521</v>
      </c>
    </row>
    <row r="3357" spans="2:2" ht="15.6">
      <c r="B3357" s="197">
        <v>17.93402411432546</v>
      </c>
    </row>
    <row r="3358" spans="2:2" ht="15.6">
      <c r="B3358" s="197">
        <v>17.932357145255597</v>
      </c>
    </row>
    <row r="3359" spans="2:2" ht="15.6">
      <c r="B3359" s="197">
        <v>18.205352192595221</v>
      </c>
    </row>
    <row r="3360" spans="2:2" ht="15.6">
      <c r="B3360" s="197">
        <v>18.139504302368536</v>
      </c>
    </row>
    <row r="3361" spans="2:2" ht="15.6">
      <c r="B3361" s="197">
        <v>18.082321804615919</v>
      </c>
    </row>
    <row r="3362" spans="2:2" ht="15.6">
      <c r="B3362" s="197">
        <v>18.148222694251924</v>
      </c>
    </row>
    <row r="3363" spans="2:2" ht="15.6">
      <c r="B3363" s="197">
        <v>18.418063879059229</v>
      </c>
    </row>
    <row r="3364" spans="2:2" ht="15.6">
      <c r="B3364" s="197">
        <v>18.366900645338305</v>
      </c>
    </row>
    <row r="3365" spans="2:2" ht="15.6">
      <c r="B3365" s="197">
        <v>18.158602429964699</v>
      </c>
    </row>
    <row r="3366" spans="2:2" ht="15.6">
      <c r="B3366" s="197">
        <v>18.348801605652714</v>
      </c>
    </row>
    <row r="3367" spans="2:2" ht="15.6">
      <c r="B3367" s="197">
        <v>17.819368265821723</v>
      </c>
    </row>
    <row r="3368" spans="2:2" ht="15.6">
      <c r="B3368" s="197">
        <v>18.2456872851524</v>
      </c>
    </row>
    <row r="3369" spans="2:2" ht="15.6">
      <c r="B3369" s="197">
        <v>18.520417130685523</v>
      </c>
    </row>
    <row r="3370" spans="2:2" ht="15.6">
      <c r="B3370" s="197">
        <v>17.879728927272328</v>
      </c>
    </row>
    <row r="3371" spans="2:2" ht="15.6">
      <c r="B3371" s="197">
        <v>18.449470316638497</v>
      </c>
    </row>
    <row r="3372" spans="2:2" ht="15.6">
      <c r="B3372" s="197">
        <v>17.883015986529099</v>
      </c>
    </row>
    <row r="3373" spans="2:2" ht="15.6">
      <c r="B3373" s="197">
        <v>18.449145283637257</v>
      </c>
    </row>
    <row r="3374" spans="2:2" ht="15.6">
      <c r="B3374" s="197">
        <v>18.205824920555507</v>
      </c>
    </row>
    <row r="3375" spans="2:2" ht="15.6">
      <c r="B3375" s="197">
        <v>18.099848591710124</v>
      </c>
    </row>
    <row r="3376" spans="2:2" ht="15.6">
      <c r="B3376" s="197">
        <v>18.162857974930883</v>
      </c>
    </row>
    <row r="3377" spans="2:2" ht="15.6">
      <c r="B3377" s="197">
        <v>18.175067130957551</v>
      </c>
    </row>
    <row r="3378" spans="2:2" ht="15.6">
      <c r="B3378" s="197">
        <v>18.091609649961505</v>
      </c>
    </row>
    <row r="3379" spans="2:2" ht="15.6">
      <c r="B3379" s="197">
        <v>17.972096097734898</v>
      </c>
    </row>
    <row r="3380" spans="2:2" ht="15.6">
      <c r="B3380" s="197">
        <v>18.124133726359069</v>
      </c>
    </row>
    <row r="3381" spans="2:2" ht="15.6">
      <c r="B3381" s="197">
        <v>18.498390055838634</v>
      </c>
    </row>
    <row r="3382" spans="2:2" ht="15.6">
      <c r="B3382" s="197">
        <v>18.416116206248891</v>
      </c>
    </row>
    <row r="3383" spans="2:2" ht="15.6">
      <c r="B3383" s="197">
        <v>18.279556973801668</v>
      </c>
    </row>
    <row r="3384" spans="2:2" ht="15.6">
      <c r="B3384" s="197">
        <v>18.195010447190388</v>
      </c>
    </row>
    <row r="3385" spans="2:2" ht="15.6">
      <c r="B3385" s="197">
        <v>18.373190046363149</v>
      </c>
    </row>
    <row r="3386" spans="2:2" ht="15.6">
      <c r="B3386" s="197">
        <v>18.238680546201994</v>
      </c>
    </row>
    <row r="3387" spans="2:2" ht="15.6">
      <c r="B3387" s="197">
        <v>18.207603504758957</v>
      </c>
    </row>
    <row r="3388" spans="2:2" ht="15.6">
      <c r="B3388" s="197">
        <v>18.529863422502874</v>
      </c>
    </row>
    <row r="3389" spans="2:2" ht="15.6">
      <c r="B3389" s="197">
        <v>18.004017828753526</v>
      </c>
    </row>
    <row r="3390" spans="2:2" ht="15.6">
      <c r="B3390" s="197">
        <v>18.268104999160084</v>
      </c>
    </row>
    <row r="3391" spans="2:2" ht="15.6">
      <c r="B3391" s="197">
        <v>18.267592816351058</v>
      </c>
    </row>
    <row r="3392" spans="2:2" ht="15.6">
      <c r="B3392" s="197">
        <v>18.113194831068117</v>
      </c>
    </row>
    <row r="3393" spans="2:2" ht="15.6">
      <c r="B3393" s="197">
        <v>17.971731118584461</v>
      </c>
    </row>
    <row r="3394" spans="2:2" ht="15.6">
      <c r="B3394" s="197">
        <v>18.014733405052795</v>
      </c>
    </row>
    <row r="3395" spans="2:2" ht="15.6">
      <c r="B3395" s="197">
        <v>17.951445404871453</v>
      </c>
    </row>
    <row r="3396" spans="2:2" ht="15.6">
      <c r="B3396" s="197">
        <v>18.343125423641915</v>
      </c>
    </row>
    <row r="3397" spans="2:2" ht="15.6">
      <c r="B3397" s="197">
        <v>18.290658527218259</v>
      </c>
    </row>
    <row r="3398" spans="2:2" ht="15.6">
      <c r="B3398" s="197">
        <v>17.96493409967427</v>
      </c>
    </row>
    <row r="3399" spans="2:2" ht="15.6">
      <c r="B3399" s="197">
        <v>17.81057718620875</v>
      </c>
    </row>
    <row r="3400" spans="2:2" ht="15.6">
      <c r="B3400" s="197">
        <v>18.009964908664028</v>
      </c>
    </row>
    <row r="3401" spans="2:2" ht="15.6">
      <c r="B3401" s="197">
        <v>18.166610491540617</v>
      </c>
    </row>
    <row r="3402" spans="2:2" ht="15.6">
      <c r="B3402" s="197">
        <v>18.278929876639843</v>
      </c>
    </row>
    <row r="3403" spans="2:2" ht="15.6">
      <c r="B3403" s="197">
        <v>17.566620351142841</v>
      </c>
    </row>
    <row r="3404" spans="2:2" ht="15.6">
      <c r="B3404" s="197">
        <v>18.333413662350683</v>
      </c>
    </row>
    <row r="3405" spans="2:2" ht="15.6">
      <c r="B3405" s="197">
        <v>18.448754198049365</v>
      </c>
    </row>
    <row r="3406" spans="2:2" ht="15.6">
      <c r="B3406" s="197">
        <v>18.181751524043953</v>
      </c>
    </row>
    <row r="3407" spans="2:2" ht="15.6">
      <c r="B3407" s="197">
        <v>18.286677529118975</v>
      </c>
    </row>
    <row r="3408" spans="2:2" ht="15.6">
      <c r="B3408" s="197">
        <v>17.557092017905784</v>
      </c>
    </row>
    <row r="3409" spans="2:2" ht="15.6">
      <c r="B3409" s="197">
        <v>17.967770387851413</v>
      </c>
    </row>
    <row r="3410" spans="2:2" ht="15.6">
      <c r="B3410" s="197">
        <v>18.188133867697044</v>
      </c>
    </row>
    <row r="3411" spans="2:2" ht="15.6">
      <c r="B3411" s="197">
        <v>18.256312766479493</v>
      </c>
    </row>
    <row r="3412" spans="2:2" ht="15.6">
      <c r="B3412" s="197">
        <v>18.314763952488715</v>
      </c>
    </row>
    <row r="3413" spans="2:2" ht="15.6">
      <c r="B3413" s="197">
        <v>18.144757148012438</v>
      </c>
    </row>
    <row r="3414" spans="2:2" ht="15.6">
      <c r="B3414" s="197">
        <v>17.905588349451008</v>
      </c>
    </row>
    <row r="3415" spans="2:2" ht="15.6">
      <c r="B3415" s="197">
        <v>18.028080934753053</v>
      </c>
    </row>
    <row r="3416" spans="2:2" ht="15.6">
      <c r="B3416" s="197">
        <v>18.328426570358967</v>
      </c>
    </row>
    <row r="3417" spans="2:2" ht="15.6">
      <c r="B3417" s="197">
        <v>18.313606873245732</v>
      </c>
    </row>
    <row r="3418" spans="2:2" ht="15.6">
      <c r="B3418" s="197">
        <v>18.157763723701972</v>
      </c>
    </row>
    <row r="3419" spans="2:2" ht="15.6">
      <c r="B3419" s="197">
        <v>18.284647691436351</v>
      </c>
    </row>
    <row r="3420" spans="2:2" ht="15.6">
      <c r="B3420" s="197">
        <v>18.136983816512949</v>
      </c>
    </row>
    <row r="3421" spans="2:2" ht="15.6">
      <c r="B3421" s="197">
        <v>17.851727573304075</v>
      </c>
    </row>
    <row r="3422" spans="2:2" ht="15.6">
      <c r="B3422" s="197">
        <v>18.17750319276848</v>
      </c>
    </row>
    <row r="3423" spans="2:2" ht="15.6">
      <c r="B3423" s="197">
        <v>17.875117095036078</v>
      </c>
    </row>
    <row r="3424" spans="2:2" ht="15.6">
      <c r="B3424" s="197">
        <v>18.04353269639325</v>
      </c>
    </row>
    <row r="3425" spans="2:2" ht="15.6">
      <c r="B3425" s="197">
        <v>18.282344474238119</v>
      </c>
    </row>
    <row r="3426" spans="2:2" ht="15.6">
      <c r="B3426" s="197">
        <v>18.048843443234965</v>
      </c>
    </row>
    <row r="3427" spans="2:2" ht="15.6">
      <c r="B3427" s="197">
        <v>18.011699320298995</v>
      </c>
    </row>
    <row r="3428" spans="2:2" ht="15.6">
      <c r="B3428" s="197">
        <v>18.261774480454097</v>
      </c>
    </row>
    <row r="3429" spans="2:2" ht="15.6">
      <c r="B3429" s="197">
        <v>17.950761896436767</v>
      </c>
    </row>
    <row r="3430" spans="2:2" ht="15.6">
      <c r="B3430" s="197">
        <v>18.222764749466915</v>
      </c>
    </row>
    <row r="3431" spans="2:2" ht="15.6">
      <c r="B3431" s="197">
        <v>18.175069423341366</v>
      </c>
    </row>
    <row r="3432" spans="2:2" ht="15.6">
      <c r="B3432" s="197">
        <v>18.310254825943261</v>
      </c>
    </row>
    <row r="3433" spans="2:2" ht="15.6">
      <c r="B3433" s="197">
        <v>17.952401878320511</v>
      </c>
    </row>
    <row r="3434" spans="2:2" ht="15.6">
      <c r="B3434" s="197">
        <v>17.807787051782842</v>
      </c>
    </row>
    <row r="3435" spans="2:2" ht="15.6">
      <c r="B3435" s="197">
        <v>18.457637556021037</v>
      </c>
    </row>
    <row r="3436" spans="2:2" ht="15.6">
      <c r="B3436" s="197">
        <v>18.109176570321779</v>
      </c>
    </row>
    <row r="3437" spans="2:2" ht="15.6">
      <c r="B3437" s="197">
        <v>17.818248114147959</v>
      </c>
    </row>
    <row r="3438" spans="2:2" ht="15.6">
      <c r="B3438" s="197">
        <v>18.089853948057378</v>
      </c>
    </row>
    <row r="3439" spans="2:2" ht="15.6">
      <c r="B3439" s="197">
        <v>18.487782676126887</v>
      </c>
    </row>
    <row r="3440" spans="2:2" ht="15.6">
      <c r="B3440" s="197">
        <v>17.949433166215368</v>
      </c>
    </row>
    <row r="3441" spans="2:2" ht="15.6">
      <c r="B3441" s="197">
        <v>18.063953997685029</v>
      </c>
    </row>
    <row r="3442" spans="2:2" ht="15.6">
      <c r="B3442" s="197">
        <v>18.099795048927536</v>
      </c>
    </row>
    <row r="3443" spans="2:2" ht="15.6">
      <c r="B3443" s="197">
        <v>18.234769029784047</v>
      </c>
    </row>
    <row r="3444" spans="2:2" ht="15.6">
      <c r="B3444" s="197">
        <v>18.359728992991087</v>
      </c>
    </row>
    <row r="3445" spans="2:2" ht="15.6">
      <c r="B3445" s="197">
        <v>18.220852139130571</v>
      </c>
    </row>
    <row r="3446" spans="2:2" ht="15.6">
      <c r="B3446" s="197">
        <v>17.765053221742402</v>
      </c>
    </row>
    <row r="3447" spans="2:2" ht="15.6">
      <c r="B3447" s="197">
        <v>18.091457634457569</v>
      </c>
    </row>
    <row r="3448" spans="2:2" ht="15.6">
      <c r="B3448" s="197">
        <v>17.699308292318676</v>
      </c>
    </row>
    <row r="3449" spans="2:2" ht="15.6">
      <c r="B3449" s="197">
        <v>18.062292832615881</v>
      </c>
    </row>
    <row r="3450" spans="2:2" ht="15.6">
      <c r="B3450" s="197">
        <v>17.918706861120441</v>
      </c>
    </row>
    <row r="3451" spans="2:2" ht="15.6">
      <c r="B3451" s="197">
        <v>18.038485912983084</v>
      </c>
    </row>
    <row r="3452" spans="2:2" ht="15.6">
      <c r="B3452" s="197">
        <v>17.973902096570338</v>
      </c>
    </row>
    <row r="3453" spans="2:2" ht="15.6">
      <c r="B3453" s="197">
        <v>18.465067192685755</v>
      </c>
    </row>
    <row r="3454" spans="2:2" ht="15.6">
      <c r="B3454" s="197">
        <v>17.9081469496385</v>
      </c>
    </row>
    <row r="3455" spans="2:2" ht="15.6">
      <c r="B3455" s="197">
        <v>18.280748087373823</v>
      </c>
    </row>
    <row r="3456" spans="2:2" ht="15.6">
      <c r="B3456" s="197">
        <v>18.249728647070778</v>
      </c>
    </row>
    <row r="3457" spans="2:2" ht="15.6">
      <c r="B3457" s="197">
        <v>18.015376712959323</v>
      </c>
    </row>
    <row r="3458" spans="2:2" ht="15.6">
      <c r="B3458" s="197">
        <v>18.152970737998814</v>
      </c>
    </row>
    <row r="3459" spans="2:2" ht="15.6">
      <c r="B3459" s="197">
        <v>18.119302362726032</v>
      </c>
    </row>
    <row r="3460" spans="2:2" ht="15.6">
      <c r="B3460" s="197">
        <v>18.308511015439862</v>
      </c>
    </row>
    <row r="3461" spans="2:2" ht="15.6">
      <c r="B3461" s="197">
        <v>18.167247161884102</v>
      </c>
    </row>
    <row r="3462" spans="2:2" ht="15.6">
      <c r="B3462" s="197">
        <v>18.131769517440876</v>
      </c>
    </row>
    <row r="3463" spans="2:2" ht="15.6">
      <c r="B3463" s="197">
        <v>18.45580471382609</v>
      </c>
    </row>
    <row r="3464" spans="2:2" ht="15.6">
      <c r="B3464" s="197">
        <v>17.953757630036108</v>
      </c>
    </row>
    <row r="3465" spans="2:2" ht="15.6">
      <c r="B3465" s="197">
        <v>18.277011748010537</v>
      </c>
    </row>
    <row r="3466" spans="2:2" ht="15.6">
      <c r="B3466" s="197">
        <v>18.164616484969887</v>
      </c>
    </row>
    <row r="3467" spans="2:2" ht="15.6">
      <c r="B3467" s="197">
        <v>18.124087654200704</v>
      </c>
    </row>
    <row r="3468" spans="2:2" ht="15.6">
      <c r="B3468" s="197">
        <v>17.972527250078532</v>
      </c>
    </row>
    <row r="3469" spans="2:2" ht="15.6">
      <c r="B3469" s="197">
        <v>18.381201995860721</v>
      </c>
    </row>
    <row r="3470" spans="2:2" ht="15.6">
      <c r="B3470" s="197">
        <v>18.325455158163674</v>
      </c>
    </row>
    <row r="3471" spans="2:2" ht="15.6">
      <c r="B3471" s="197">
        <v>18.24432408291954</v>
      </c>
    </row>
    <row r="3472" spans="2:2" ht="15.6">
      <c r="B3472" s="197">
        <v>17.965895444992505</v>
      </c>
    </row>
    <row r="3473" spans="2:2" ht="15.6">
      <c r="B3473" s="197">
        <v>18.349792728915638</v>
      </c>
    </row>
    <row r="3474" spans="2:2" ht="15.6">
      <c r="B3474" s="197">
        <v>18.527848274908305</v>
      </c>
    </row>
    <row r="3475" spans="2:2" ht="15.6">
      <c r="B3475" s="197">
        <v>17.906512688432862</v>
      </c>
    </row>
    <row r="3476" spans="2:2" ht="15.6">
      <c r="B3476" s="197">
        <v>18.356945815721758</v>
      </c>
    </row>
    <row r="3477" spans="2:2" ht="15.6">
      <c r="B3477" s="197">
        <v>17.919798518162718</v>
      </c>
    </row>
    <row r="3478" spans="2:2" ht="15.6">
      <c r="B3478" s="197">
        <v>18.491486707846864</v>
      </c>
    </row>
    <row r="3479" spans="2:2" ht="15.6">
      <c r="B3479" s="197">
        <v>18.245261399316771</v>
      </c>
    </row>
    <row r="3480" spans="2:2" ht="15.6">
      <c r="B3480" s="197">
        <v>18.474297167095241</v>
      </c>
    </row>
    <row r="3481" spans="2:2" ht="15.6">
      <c r="B3481" s="197">
        <v>18.058023100485844</v>
      </c>
    </row>
    <row r="3482" spans="2:2" ht="15.6">
      <c r="B3482" s="197">
        <v>18.145721048213716</v>
      </c>
    </row>
    <row r="3483" spans="2:2" ht="15.6">
      <c r="B3483" s="197">
        <v>17.77244460687416</v>
      </c>
    </row>
    <row r="3484" spans="2:2" ht="15.6">
      <c r="B3484" s="197">
        <v>18.203655683746156</v>
      </c>
    </row>
    <row r="3485" spans="2:2" ht="15.6">
      <c r="B3485" s="197">
        <v>17.815898929329876</v>
      </c>
    </row>
    <row r="3486" spans="2:2" ht="15.6">
      <c r="B3486" s="197">
        <v>18.040818137786712</v>
      </c>
    </row>
    <row r="3487" spans="2:2" ht="15.6">
      <c r="B3487" s="197">
        <v>18.433956412876615</v>
      </c>
    </row>
    <row r="3488" spans="2:2" ht="15.6">
      <c r="B3488" s="197">
        <v>18.485007875980312</v>
      </c>
    </row>
    <row r="3489" spans="2:2" ht="15.6">
      <c r="B3489" s="197">
        <v>18.493881427613282</v>
      </c>
    </row>
    <row r="3490" spans="2:2" ht="15.6">
      <c r="B3490" s="197">
        <v>18.553240439570306</v>
      </c>
    </row>
    <row r="3491" spans="2:2" ht="15.6">
      <c r="B3491" s="197">
        <v>18.081079842513347</v>
      </c>
    </row>
    <row r="3492" spans="2:2" ht="15.6">
      <c r="B3492" s="197">
        <v>18.383158272229725</v>
      </c>
    </row>
    <row r="3493" spans="2:2" ht="15.6">
      <c r="B3493" s="197">
        <v>18.126716580958238</v>
      </c>
    </row>
    <row r="3494" spans="2:2" ht="15.6">
      <c r="B3494" s="197">
        <v>18.224249158797289</v>
      </c>
    </row>
    <row r="3495" spans="2:2" ht="15.6">
      <c r="B3495" s="197">
        <v>18.455057940750272</v>
      </c>
    </row>
    <row r="3496" spans="2:2" ht="15.6">
      <c r="B3496" s="197">
        <v>18.053980993294594</v>
      </c>
    </row>
    <row r="3497" spans="2:2" ht="15.6">
      <c r="B3497" s="197">
        <v>18.276280123681506</v>
      </c>
    </row>
    <row r="3498" spans="2:2" ht="15.6">
      <c r="B3498" s="197">
        <v>18.126962792418286</v>
      </c>
    </row>
    <row r="3499" spans="2:2" ht="15.6">
      <c r="B3499" s="197">
        <v>18.002045838683767</v>
      </c>
    </row>
    <row r="3500" spans="2:2" ht="15.6">
      <c r="B3500" s="197">
        <v>18.233087407411702</v>
      </c>
    </row>
    <row r="3501" spans="2:2" ht="15.6">
      <c r="B3501" s="197">
        <v>17.854091015741627</v>
      </c>
    </row>
    <row r="3502" spans="2:2" ht="15.6">
      <c r="B3502" s="197">
        <v>18.049728937675944</v>
      </c>
    </row>
    <row r="3503" spans="2:2" ht="15.6">
      <c r="B3503" s="197">
        <v>17.950394730147853</v>
      </c>
    </row>
    <row r="3504" spans="2:2" ht="15.6">
      <c r="B3504" s="197">
        <v>18.150497393263535</v>
      </c>
    </row>
    <row r="3505" spans="2:2" ht="15.6">
      <c r="B3505" s="197">
        <v>18.415194738776385</v>
      </c>
    </row>
    <row r="3506" spans="2:2" ht="15.6">
      <c r="B3506" s="197">
        <v>17.817815444823342</v>
      </c>
    </row>
    <row r="3507" spans="2:2" ht="15.6">
      <c r="B3507" s="197">
        <v>17.958268722847563</v>
      </c>
    </row>
    <row r="3508" spans="2:2" ht="15.6">
      <c r="B3508" s="197">
        <v>18.322856046177247</v>
      </c>
    </row>
    <row r="3509" spans="2:2" ht="15.6">
      <c r="B3509" s="197">
        <v>18.104909294608639</v>
      </c>
    </row>
    <row r="3510" spans="2:2" ht="15.6">
      <c r="B3510" s="197">
        <v>17.834905262767453</v>
      </c>
    </row>
    <row r="3511" spans="2:2" ht="15.6">
      <c r="B3511" s="197">
        <v>18.190513051279677</v>
      </c>
    </row>
    <row r="3512" spans="2:2" ht="15.6">
      <c r="B3512" s="197">
        <v>18.212545430112844</v>
      </c>
    </row>
    <row r="3513" spans="2:2" ht="15.6">
      <c r="B3513" s="197">
        <v>18.199645135473578</v>
      </c>
    </row>
    <row r="3514" spans="2:2" ht="15.6">
      <c r="B3514" s="197">
        <v>18.259991043994528</v>
      </c>
    </row>
    <row r="3515" spans="2:2" ht="15.6">
      <c r="B3515" s="197">
        <v>18.015384072042014</v>
      </c>
    </row>
    <row r="3516" spans="2:2" ht="15.6">
      <c r="B3516" s="197">
        <v>18.317796355672439</v>
      </c>
    </row>
    <row r="3517" spans="2:2" ht="15.6">
      <c r="B3517" s="197">
        <v>18.137567955105997</v>
      </c>
    </row>
    <row r="3518" spans="2:2" ht="15.6">
      <c r="B3518" s="197">
        <v>18.401668430903598</v>
      </c>
    </row>
    <row r="3519" spans="2:2" ht="15.6">
      <c r="B3519" s="197">
        <v>18.30238769990536</v>
      </c>
    </row>
    <row r="3520" spans="2:2" ht="15.6">
      <c r="B3520" s="197">
        <v>18.206734512019597</v>
      </c>
    </row>
    <row r="3521" spans="2:2" ht="15.6">
      <c r="B3521" s="197">
        <v>17.956844018011399</v>
      </c>
    </row>
    <row r="3522" spans="2:2" ht="15.6">
      <c r="B3522" s="197">
        <v>18.3722124402391</v>
      </c>
    </row>
    <row r="3523" spans="2:2" ht="15.6">
      <c r="B3523" s="197">
        <v>18.205981081425271</v>
      </c>
    </row>
    <row r="3524" spans="2:2" ht="15.6">
      <c r="B3524" s="197">
        <v>18.113938081237265</v>
      </c>
    </row>
    <row r="3525" spans="2:2" ht="15.6">
      <c r="B3525" s="197">
        <v>17.884884585583546</v>
      </c>
    </row>
    <row r="3526" spans="2:2" ht="15.6">
      <c r="B3526" s="197">
        <v>18.026890774716435</v>
      </c>
    </row>
    <row r="3527" spans="2:2" ht="15.6">
      <c r="B3527" s="197">
        <v>18.177981402414218</v>
      </c>
    </row>
    <row r="3528" spans="2:2" ht="15.6">
      <c r="B3528" s="197">
        <v>18.869820300470135</v>
      </c>
    </row>
    <row r="3529" spans="2:2" ht="15.6">
      <c r="B3529" s="197">
        <v>18.126369195701052</v>
      </c>
    </row>
    <row r="3530" spans="2:2" ht="15.6">
      <c r="B3530" s="197">
        <v>17.891405576059192</v>
      </c>
    </row>
    <row r="3531" spans="2:2" ht="15.6">
      <c r="B3531" s="197">
        <v>18.104149609952529</v>
      </c>
    </row>
    <row r="3532" spans="2:2" ht="15.6">
      <c r="B3532" s="197">
        <v>18.396183600039272</v>
      </c>
    </row>
    <row r="3533" spans="2:2" ht="15.6">
      <c r="B3533" s="197">
        <v>18.079754761471541</v>
      </c>
    </row>
    <row r="3534" spans="2:2" ht="15.6">
      <c r="B3534" s="197">
        <v>18.237204958628713</v>
      </c>
    </row>
    <row r="3535" spans="2:2" ht="15.6">
      <c r="B3535" s="197">
        <v>18.248125144890157</v>
      </c>
    </row>
    <row r="3536" spans="2:2" ht="15.6">
      <c r="B3536" s="197">
        <v>18.140870358686751</v>
      </c>
    </row>
    <row r="3537" spans="2:2" ht="15.6">
      <c r="B3537" s="197">
        <v>18.361781402769214</v>
      </c>
    </row>
    <row r="3538" spans="2:2" ht="15.6">
      <c r="B3538" s="197">
        <v>18.164778959858687</v>
      </c>
    </row>
    <row r="3539" spans="2:2" ht="15.6">
      <c r="B3539" s="197">
        <v>18.508144504425069</v>
      </c>
    </row>
    <row r="3540" spans="2:2" ht="15.6">
      <c r="B3540" s="197">
        <v>17.910451224528007</v>
      </c>
    </row>
    <row r="3541" spans="2:2" ht="15.6">
      <c r="B3541" s="197">
        <v>18.110625864872571</v>
      </c>
    </row>
    <row r="3542" spans="2:2" ht="15.6">
      <c r="B3542" s="197">
        <v>18.413819077288768</v>
      </c>
    </row>
    <row r="3543" spans="2:2" ht="15.6">
      <c r="B3543" s="197">
        <v>17.961804173803792</v>
      </c>
    </row>
    <row r="3544" spans="2:2" ht="15.6">
      <c r="B3544" s="197">
        <v>18.243781751287987</v>
      </c>
    </row>
    <row r="3545" spans="2:2" ht="15.6">
      <c r="B3545" s="197">
        <v>18.274954157897994</v>
      </c>
    </row>
    <row r="3546" spans="2:2" ht="15.6">
      <c r="B3546" s="197">
        <v>18.047700255291591</v>
      </c>
    </row>
    <row r="3547" spans="2:2" ht="15.6">
      <c r="B3547" s="197">
        <v>18.287558358024022</v>
      </c>
    </row>
    <row r="3548" spans="2:2" ht="15.6">
      <c r="B3548" s="197">
        <v>18.132621747543002</v>
      </c>
    </row>
    <row r="3549" spans="2:2" ht="15.6">
      <c r="B3549" s="197">
        <v>18.227036336997276</v>
      </c>
    </row>
    <row r="3550" spans="2:2" ht="15.6">
      <c r="B3550" s="197">
        <v>18.171414942423468</v>
      </c>
    </row>
    <row r="3551" spans="2:2" ht="15.6">
      <c r="B3551" s="197">
        <v>18.005752752634539</v>
      </c>
    </row>
    <row r="3552" spans="2:2" ht="15.6">
      <c r="B3552" s="197">
        <v>18.356984407113178</v>
      </c>
    </row>
    <row r="3553" spans="2:2" ht="15.6">
      <c r="B3553" s="197">
        <v>18.30561710217864</v>
      </c>
    </row>
    <row r="3554" spans="2:2" ht="15.6">
      <c r="B3554" s="197">
        <v>18.56924106993327</v>
      </c>
    </row>
    <row r="3555" spans="2:2" ht="15.6">
      <c r="B3555" s="197">
        <v>18.049588150025823</v>
      </c>
    </row>
    <row r="3556" spans="2:2" ht="15.6">
      <c r="B3556" s="197">
        <v>17.98144897376342</v>
      </c>
    </row>
    <row r="3557" spans="2:2" ht="15.6">
      <c r="B3557" s="197">
        <v>18.127874279269772</v>
      </c>
    </row>
    <row r="3558" spans="2:2" ht="15.6">
      <c r="B3558" s="197">
        <v>18.031589013822053</v>
      </c>
    </row>
    <row r="3559" spans="2:2" ht="15.6">
      <c r="B3559" s="197">
        <v>18.262697038305578</v>
      </c>
    </row>
    <row r="3560" spans="2:2" ht="15.6">
      <c r="B3560" s="197">
        <v>17.981400196819319</v>
      </c>
    </row>
    <row r="3561" spans="2:2" ht="15.6">
      <c r="B3561" s="197">
        <v>17.955280175851072</v>
      </c>
    </row>
    <row r="3562" spans="2:2" ht="15.6">
      <c r="B3562" s="197">
        <v>17.747752042210376</v>
      </c>
    </row>
    <row r="3563" spans="2:2" ht="15.6">
      <c r="B3563" s="197">
        <v>18.418098505227228</v>
      </c>
    </row>
    <row r="3564" spans="2:2" ht="15.6">
      <c r="B3564" s="197">
        <v>18.004599024075048</v>
      </c>
    </row>
    <row r="3565" spans="2:2" ht="15.6">
      <c r="B3565" s="197">
        <v>18.283129582939438</v>
      </c>
    </row>
    <row r="3566" spans="2:2" ht="15.6">
      <c r="B3566" s="197">
        <v>17.778778870740798</v>
      </c>
    </row>
    <row r="3567" spans="2:2" ht="15.6">
      <c r="B3567" s="197">
        <v>18.024016698304308</v>
      </c>
    </row>
    <row r="3568" spans="2:2" ht="15.6">
      <c r="B3568" s="197">
        <v>17.97940068449601</v>
      </c>
    </row>
    <row r="3569" spans="2:2" ht="15.6">
      <c r="B3569" s="197">
        <v>17.897198642496853</v>
      </c>
    </row>
    <row r="3570" spans="2:2" ht="15.6">
      <c r="B3570" s="197">
        <v>18.464358554264479</v>
      </c>
    </row>
    <row r="3571" spans="2:2" ht="15.6">
      <c r="B3571" s="197">
        <v>18.200327810421157</v>
      </c>
    </row>
    <row r="3572" spans="2:2" ht="15.6">
      <c r="B3572" s="197">
        <v>18.242793054274646</v>
      </c>
    </row>
    <row r="3573" spans="2:2" ht="15.6">
      <c r="B3573" s="197">
        <v>17.849916705079476</v>
      </c>
    </row>
    <row r="3574" spans="2:2" ht="15.6">
      <c r="B3574" s="197">
        <v>17.857931544740218</v>
      </c>
    </row>
    <row r="3575" spans="2:2" ht="15.6">
      <c r="B3575" s="197">
        <v>17.980533642259264</v>
      </c>
    </row>
    <row r="3576" spans="2:2" ht="15.6">
      <c r="B3576" s="197">
        <v>18.771542416918926</v>
      </c>
    </row>
    <row r="3577" spans="2:2" ht="15.6">
      <c r="B3577" s="197">
        <v>18.103606855354759</v>
      </c>
    </row>
    <row r="3578" spans="2:2" ht="15.6">
      <c r="B3578" s="197">
        <v>18.165407221673266</v>
      </c>
    </row>
    <row r="3579" spans="2:2" ht="15.6">
      <c r="B3579" s="197">
        <v>18.442255347627075</v>
      </c>
    </row>
    <row r="3580" spans="2:2" ht="15.6">
      <c r="B3580" s="197">
        <v>18.013776202013954</v>
      </c>
    </row>
    <row r="3581" spans="2:2" ht="15.6">
      <c r="B3581" s="197">
        <v>18.332799322794354</v>
      </c>
    </row>
    <row r="3582" spans="2:2" ht="15.6">
      <c r="B3582" s="197">
        <v>18.258476742700729</v>
      </c>
    </row>
    <row r="3583" spans="2:2" ht="15.6">
      <c r="B3583" s="197">
        <v>18.43330570890361</v>
      </c>
    </row>
    <row r="3584" spans="2:2" ht="15.6">
      <c r="B3584" s="197">
        <v>18.165352320554963</v>
      </c>
    </row>
    <row r="3585" spans="2:2" ht="15.6">
      <c r="B3585" s="197">
        <v>18.18543666955809</v>
      </c>
    </row>
    <row r="3586" spans="2:2" ht="15.6">
      <c r="B3586" s="197">
        <v>18.191577477923691</v>
      </c>
    </row>
    <row r="3587" spans="2:2" ht="15.6">
      <c r="B3587" s="197">
        <v>18.03192627012303</v>
      </c>
    </row>
    <row r="3588" spans="2:2" ht="15.6">
      <c r="B3588" s="197">
        <v>18.185840068802694</v>
      </c>
    </row>
    <row r="3589" spans="2:2" ht="15.6">
      <c r="B3589" s="197">
        <v>18.154070103400084</v>
      </c>
    </row>
    <row r="3590" spans="2:2" ht="15.6">
      <c r="B3590" s="197">
        <v>18.341798044728826</v>
      </c>
    </row>
    <row r="3591" spans="2:2" ht="15.6">
      <c r="B3591" s="197">
        <v>18.012182747786088</v>
      </c>
    </row>
    <row r="3592" spans="2:2" ht="15.6">
      <c r="B3592" s="197">
        <v>18.228421460417536</v>
      </c>
    </row>
    <row r="3593" spans="2:2" ht="15.6">
      <c r="B3593" s="197">
        <v>17.937970203345454</v>
      </c>
    </row>
    <row r="3594" spans="2:2" ht="15.6">
      <c r="B3594" s="197">
        <v>18.200153536591849</v>
      </c>
    </row>
    <row r="3595" spans="2:2" ht="15.6">
      <c r="B3595" s="197">
        <v>18.426421962518756</v>
      </c>
    </row>
    <row r="3596" spans="2:2" ht="15.6">
      <c r="B3596" s="197">
        <v>18.21537816987944</v>
      </c>
    </row>
    <row r="3597" spans="2:2" ht="15.6">
      <c r="B3597" s="197">
        <v>18.044652119617012</v>
      </c>
    </row>
    <row r="3598" spans="2:2" ht="15.6">
      <c r="B3598" s="197">
        <v>18.062310615806179</v>
      </c>
    </row>
    <row r="3599" spans="2:2" ht="15.6">
      <c r="B3599" s="197">
        <v>18.316695091738108</v>
      </c>
    </row>
    <row r="3600" spans="2:2" ht="15.6">
      <c r="B3600" s="197">
        <v>18.266256235472774</v>
      </c>
    </row>
    <row r="3601" spans="2:2" ht="15.6">
      <c r="B3601" s="197">
        <v>17.988166827877095</v>
      </c>
    </row>
    <row r="3602" spans="2:2" ht="15.6">
      <c r="B3602" s="197">
        <v>17.991757790442126</v>
      </c>
    </row>
    <row r="3603" spans="2:2" ht="15.6">
      <c r="B3603" s="197">
        <v>18.262663420255627</v>
      </c>
    </row>
    <row r="3604" spans="2:2" ht="15.6">
      <c r="B3604" s="197">
        <v>18.176211361006256</v>
      </c>
    </row>
    <row r="3605" spans="2:2" ht="15.6">
      <c r="B3605" s="197">
        <v>18.355877338669718</v>
      </c>
    </row>
    <row r="3606" spans="2:2" ht="15.6">
      <c r="B3606" s="197">
        <v>18.398183653154625</v>
      </c>
    </row>
    <row r="3607" spans="2:2" ht="15.6">
      <c r="B3607" s="197">
        <v>18.431074013361798</v>
      </c>
    </row>
    <row r="3608" spans="2:2" ht="15.6">
      <c r="B3608" s="197">
        <v>18.160283848638024</v>
      </c>
    </row>
    <row r="3609" spans="2:2" ht="15.6">
      <c r="B3609" s="197">
        <v>18.286530715815978</v>
      </c>
    </row>
    <row r="3610" spans="2:2" ht="15.6">
      <c r="B3610" s="197">
        <v>18.230733089977015</v>
      </c>
    </row>
    <row r="3611" spans="2:2" ht="15.6">
      <c r="B3611" s="197">
        <v>17.875169334795181</v>
      </c>
    </row>
    <row r="3612" spans="2:2" ht="15.6">
      <c r="B3612" s="197">
        <v>18.067110567740656</v>
      </c>
    </row>
    <row r="3613" spans="2:2" ht="15.6">
      <c r="B3613" s="197">
        <v>18.03709232806828</v>
      </c>
    </row>
    <row r="3614" spans="2:2" ht="15.6">
      <c r="B3614" s="197">
        <v>18.201835669971601</v>
      </c>
    </row>
    <row r="3615" spans="2:2" ht="15.6">
      <c r="B3615" s="197">
        <v>18.423635474609892</v>
      </c>
    </row>
    <row r="3616" spans="2:2" ht="15.6">
      <c r="B3616" s="197">
        <v>18.199025192371643</v>
      </c>
    </row>
    <row r="3617" spans="2:2" ht="15.6">
      <c r="B3617" s="197">
        <v>18.09581761535626</v>
      </c>
    </row>
    <row r="3618" spans="2:2" ht="15.6">
      <c r="B3618" s="197">
        <v>18.148878942407588</v>
      </c>
    </row>
    <row r="3619" spans="2:2" ht="15.6">
      <c r="B3619" s="197">
        <v>18.310173788506564</v>
      </c>
    </row>
    <row r="3620" spans="2:2" ht="15.6">
      <c r="B3620" s="197">
        <v>17.737565174172378</v>
      </c>
    </row>
    <row r="3621" spans="2:2" ht="15.6">
      <c r="B3621" s="197">
        <v>17.747801667298546</v>
      </c>
    </row>
    <row r="3622" spans="2:2" ht="15.6">
      <c r="B3622" s="197">
        <v>18.188193551306401</v>
      </c>
    </row>
    <row r="3623" spans="2:2" ht="15.6">
      <c r="B3623" s="197">
        <v>18.156579434745584</v>
      </c>
    </row>
    <row r="3624" spans="2:2" ht="15.6">
      <c r="B3624" s="197">
        <v>18.444429869877524</v>
      </c>
    </row>
    <row r="3625" spans="2:2" ht="15.6">
      <c r="B3625" s="197">
        <v>18.226968552771581</v>
      </c>
    </row>
    <row r="3626" spans="2:2" ht="15.6">
      <c r="B3626" s="197">
        <v>18.121609361917173</v>
      </c>
    </row>
    <row r="3627" spans="2:2" ht="15.6">
      <c r="B3627" s="197">
        <v>17.870025978359635</v>
      </c>
    </row>
    <row r="3628" spans="2:2" ht="15.6">
      <c r="B3628" s="197">
        <v>18.076293884294049</v>
      </c>
    </row>
    <row r="3629" spans="2:2" ht="15.6">
      <c r="B3629" s="197">
        <v>17.78030255546993</v>
      </c>
    </row>
    <row r="3630" spans="2:2" ht="15.6">
      <c r="B3630" s="197">
        <v>18.241242002156397</v>
      </c>
    </row>
    <row r="3631" spans="2:2" ht="15.6">
      <c r="B3631" s="197">
        <v>17.974329415740982</v>
      </c>
    </row>
    <row r="3632" spans="2:2" ht="15.6">
      <c r="B3632" s="197">
        <v>18.367245542792599</v>
      </c>
    </row>
    <row r="3633" spans="2:2" ht="15.6">
      <c r="B3633" s="197">
        <v>18.252182858330077</v>
      </c>
    </row>
    <row r="3634" spans="2:2" ht="15.6">
      <c r="B3634" s="197">
        <v>18.381929516214555</v>
      </c>
    </row>
    <row r="3635" spans="2:2" ht="15.6">
      <c r="B3635" s="197">
        <v>17.950662423101686</v>
      </c>
    </row>
    <row r="3636" spans="2:2" ht="15.6">
      <c r="B3636" s="197">
        <v>18.221267968483055</v>
      </c>
    </row>
    <row r="3637" spans="2:2" ht="15.6">
      <c r="B3637" s="197">
        <v>17.823309112516576</v>
      </c>
    </row>
    <row r="3638" spans="2:2" ht="15.6">
      <c r="B3638" s="197">
        <v>18.190277416348827</v>
      </c>
    </row>
    <row r="3639" spans="2:2" ht="15.6">
      <c r="B3639" s="197">
        <v>18.177359701299785</v>
      </c>
    </row>
    <row r="3640" spans="2:2" ht="15.6">
      <c r="B3640" s="197">
        <v>18.292862754964712</v>
      </c>
    </row>
    <row r="3641" spans="2:2" ht="15.6">
      <c r="B3641" s="197">
        <v>17.825273159052763</v>
      </c>
    </row>
    <row r="3642" spans="2:2" ht="15.6">
      <c r="B3642" s="197">
        <v>18.176701043783147</v>
      </c>
    </row>
    <row r="3643" spans="2:2" ht="15.6">
      <c r="B3643" s="197">
        <v>17.93945501641717</v>
      </c>
    </row>
    <row r="3644" spans="2:2" ht="15.6">
      <c r="B3644" s="197">
        <v>18.384381596333771</v>
      </c>
    </row>
    <row r="3645" spans="2:2" ht="15.6">
      <c r="B3645" s="197">
        <v>18.168736605548979</v>
      </c>
    </row>
    <row r="3646" spans="2:2" ht="15.6">
      <c r="B3646" s="197">
        <v>17.995423180142438</v>
      </c>
    </row>
    <row r="3647" spans="2:2" ht="15.6">
      <c r="B3647" s="197">
        <v>18.038965690005359</v>
      </c>
    </row>
    <row r="3648" spans="2:2" ht="15.6">
      <c r="B3648" s="197">
        <v>18.137011159577618</v>
      </c>
    </row>
    <row r="3649" spans="2:2" ht="15.6">
      <c r="B3649" s="197">
        <v>18.082411513839297</v>
      </c>
    </row>
    <row r="3650" spans="2:2" ht="15.6">
      <c r="B3650" s="197">
        <v>18.567643451818174</v>
      </c>
    </row>
    <row r="3651" spans="2:2" ht="15.6">
      <c r="B3651" s="197">
        <v>18.447595763255826</v>
      </c>
    </row>
    <row r="3652" spans="2:2" ht="15.6">
      <c r="B3652" s="197">
        <v>18.553985652958659</v>
      </c>
    </row>
    <row r="3653" spans="2:2" ht="15.6">
      <c r="B3653" s="197">
        <v>17.707425269992051</v>
      </c>
    </row>
    <row r="3654" spans="2:2" ht="15.6">
      <c r="B3654" s="197">
        <v>18.194106890019043</v>
      </c>
    </row>
    <row r="3655" spans="2:2" ht="15.6">
      <c r="B3655" s="197">
        <v>17.696194147265754</v>
      </c>
    </row>
    <row r="3656" spans="2:2" ht="15.6">
      <c r="B3656" s="197">
        <v>18.480332534063361</v>
      </c>
    </row>
    <row r="3657" spans="2:2" ht="15.6">
      <c r="B3657" s="197">
        <v>18.04741613144958</v>
      </c>
    </row>
    <row r="3658" spans="2:2" ht="15.6">
      <c r="B3658" s="197">
        <v>18.197113159521681</v>
      </c>
    </row>
    <row r="3659" spans="2:2" ht="15.6">
      <c r="B3659" s="197">
        <v>18.232894753949484</v>
      </c>
    </row>
    <row r="3660" spans="2:2" ht="15.6">
      <c r="B3660" s="197">
        <v>18.024331998373508</v>
      </c>
    </row>
    <row r="3661" spans="2:2" ht="15.6">
      <c r="B3661" s="197">
        <v>17.981333228994188</v>
      </c>
    </row>
    <row r="3662" spans="2:2" ht="15.6">
      <c r="B3662" s="197">
        <v>18.282669285764236</v>
      </c>
    </row>
    <row r="3663" spans="2:2" ht="15.6">
      <c r="B3663" s="197">
        <v>18.138879212943916</v>
      </c>
    </row>
    <row r="3664" spans="2:2" ht="15.6">
      <c r="B3664" s="197">
        <v>17.7766566189934</v>
      </c>
    </row>
    <row r="3665" spans="2:2" ht="15.6">
      <c r="B3665" s="197">
        <v>17.946627766896235</v>
      </c>
    </row>
    <row r="3666" spans="2:2" ht="15.6">
      <c r="B3666" s="197">
        <v>18.334242698868263</v>
      </c>
    </row>
    <row r="3667" spans="2:2" ht="15.6">
      <c r="B3667" s="197">
        <v>18.567732737770186</v>
      </c>
    </row>
    <row r="3668" spans="2:2" ht="15.6">
      <c r="B3668" s="197">
        <v>18.180263697030551</v>
      </c>
    </row>
    <row r="3669" spans="2:2" ht="15.6">
      <c r="B3669" s="197">
        <v>17.90963699660168</v>
      </c>
    </row>
    <row r="3670" spans="2:2" ht="15.6">
      <c r="B3670" s="197">
        <v>18.451751457958181</v>
      </c>
    </row>
    <row r="3671" spans="2:2" ht="15.6">
      <c r="B3671" s="197">
        <v>18.096716123952394</v>
      </c>
    </row>
    <row r="3672" spans="2:2" ht="15.6">
      <c r="B3672" s="197">
        <v>18.123679537617246</v>
      </c>
    </row>
    <row r="3673" spans="2:2" ht="15.6">
      <c r="B3673" s="197">
        <v>17.962010969229208</v>
      </c>
    </row>
    <row r="3674" spans="2:2" ht="15.6">
      <c r="B3674" s="197">
        <v>18.010368076888653</v>
      </c>
    </row>
    <row r="3675" spans="2:2" ht="15.6">
      <c r="B3675" s="197">
        <v>17.980092014460578</v>
      </c>
    </row>
    <row r="3676" spans="2:2" ht="15.6">
      <c r="B3676" s="197">
        <v>17.824987793760904</v>
      </c>
    </row>
    <row r="3677" spans="2:2" ht="15.6">
      <c r="B3677" s="197">
        <v>17.947557174222286</v>
      </c>
    </row>
    <row r="3678" spans="2:2" ht="15.6">
      <c r="B3678" s="197">
        <v>17.95022885568844</v>
      </c>
    </row>
    <row r="3679" spans="2:2" ht="15.6">
      <c r="B3679" s="197">
        <v>18.31001481346912</v>
      </c>
    </row>
    <row r="3680" spans="2:2" ht="15.6">
      <c r="B3680" s="197">
        <v>18.395007505878432</v>
      </c>
    </row>
    <row r="3681" spans="2:2" ht="15.6">
      <c r="B3681" s="197">
        <v>18.16108947491319</v>
      </c>
    </row>
    <row r="3682" spans="2:2" ht="15.6">
      <c r="B3682" s="197">
        <v>17.937970901470763</v>
      </c>
    </row>
    <row r="3683" spans="2:2" ht="15.6">
      <c r="B3683" s="197">
        <v>18.234784465408264</v>
      </c>
    </row>
    <row r="3684" spans="2:2" ht="15.6">
      <c r="B3684" s="197">
        <v>18.010162227950087</v>
      </c>
    </row>
    <row r="3685" spans="2:2" ht="15.6">
      <c r="B3685" s="197">
        <v>17.775180361657036</v>
      </c>
    </row>
    <row r="3686" spans="2:2" ht="15.6">
      <c r="B3686" s="197">
        <v>18.062544059462592</v>
      </c>
    </row>
    <row r="3687" spans="2:2" ht="15.6">
      <c r="B3687" s="197">
        <v>18.255928657842283</v>
      </c>
    </row>
    <row r="3688" spans="2:2" ht="15.6">
      <c r="B3688" s="197">
        <v>18.025478474200316</v>
      </c>
    </row>
    <row r="3689" spans="2:2" ht="15.6">
      <c r="B3689" s="197">
        <v>17.784603609424323</v>
      </c>
    </row>
    <row r="3690" spans="2:2" ht="15.6">
      <c r="B3690" s="197">
        <v>18.027659778790781</v>
      </c>
    </row>
    <row r="3691" spans="2:2" ht="15.6">
      <c r="B3691" s="197">
        <v>17.916943723794112</v>
      </c>
    </row>
    <row r="3692" spans="2:2" ht="15.6">
      <c r="B3692" s="197">
        <v>17.916927804544201</v>
      </c>
    </row>
    <row r="3693" spans="2:2" ht="15.6">
      <c r="B3693" s="197">
        <v>18.353440682916979</v>
      </c>
    </row>
    <row r="3694" spans="2:2" ht="15.6">
      <c r="B3694" s="197">
        <v>17.977300919731189</v>
      </c>
    </row>
    <row r="3695" spans="2:2" ht="15.6">
      <c r="B3695" s="197">
        <v>18.226908212259087</v>
      </c>
    </row>
    <row r="3696" spans="2:2" ht="15.6">
      <c r="B3696" s="197">
        <v>17.8013954698738</v>
      </c>
    </row>
    <row r="3697" spans="2:2" ht="15.6">
      <c r="B3697" s="197">
        <v>18.398696083254169</v>
      </c>
    </row>
    <row r="3698" spans="2:2" ht="15.6">
      <c r="B3698" s="197">
        <v>18.071369002265481</v>
      </c>
    </row>
    <row r="3699" spans="2:2" ht="15.6">
      <c r="B3699" s="197">
        <v>18.205549010837345</v>
      </c>
    </row>
    <row r="3700" spans="2:2" ht="15.6">
      <c r="B3700" s="197">
        <v>18.003375428048649</v>
      </c>
    </row>
    <row r="3701" spans="2:2" ht="15.6">
      <c r="B3701" s="197">
        <v>18.106000879650832</v>
      </c>
    </row>
    <row r="3702" spans="2:2" ht="15.6">
      <c r="B3702" s="197">
        <v>18.256292978732169</v>
      </c>
    </row>
    <row r="3703" spans="2:2" ht="15.6">
      <c r="B3703" s="197">
        <v>18.339134318374413</v>
      </c>
    </row>
    <row r="3704" spans="2:2" ht="15.6">
      <c r="B3704" s="197">
        <v>18.285876279632443</v>
      </c>
    </row>
    <row r="3705" spans="2:2" ht="15.6">
      <c r="B3705" s="197">
        <v>18.327581500232117</v>
      </c>
    </row>
    <row r="3706" spans="2:2" ht="15.6">
      <c r="B3706" s="197">
        <v>18.316567483269516</v>
      </c>
    </row>
    <row r="3707" spans="2:2" ht="15.6">
      <c r="B3707" s="197">
        <v>18.224015749768974</v>
      </c>
    </row>
    <row r="3708" spans="2:2" ht="15.6">
      <c r="B3708" s="197">
        <v>17.678894205195782</v>
      </c>
    </row>
    <row r="3709" spans="2:2" ht="15.6">
      <c r="B3709" s="197">
        <v>18.289823926060325</v>
      </c>
    </row>
    <row r="3710" spans="2:2" ht="15.6">
      <c r="B3710" s="197">
        <v>18.046738451586421</v>
      </c>
    </row>
    <row r="3711" spans="2:2" ht="15.6">
      <c r="B3711" s="197">
        <v>18.135790763929556</v>
      </c>
    </row>
    <row r="3712" spans="2:2" ht="15.6">
      <c r="B3712" s="197">
        <v>18.128504455658099</v>
      </c>
    </row>
    <row r="3713" spans="2:2" ht="15.6">
      <c r="B3713" s="197">
        <v>17.76463302981735</v>
      </c>
    </row>
    <row r="3714" spans="2:2" ht="15.6">
      <c r="B3714" s="197">
        <v>18.130832470247888</v>
      </c>
    </row>
    <row r="3715" spans="2:2" ht="15.6">
      <c r="B3715" s="197">
        <v>17.664410161798113</v>
      </c>
    </row>
    <row r="3716" spans="2:2" ht="15.6">
      <c r="B3716" s="197">
        <v>18.084862750541653</v>
      </c>
    </row>
    <row r="3717" spans="2:2" ht="15.6">
      <c r="B3717" s="197">
        <v>18.330935488087459</v>
      </c>
    </row>
    <row r="3718" spans="2:2" ht="15.6">
      <c r="B3718" s="197">
        <v>18.042299046846328</v>
      </c>
    </row>
    <row r="3719" spans="2:2" ht="15.6">
      <c r="B3719" s="197">
        <v>17.857607329591801</v>
      </c>
    </row>
    <row r="3720" spans="2:2" ht="15.6">
      <c r="B3720" s="197">
        <v>17.987312588442251</v>
      </c>
    </row>
    <row r="3721" spans="2:2" ht="15.6">
      <c r="B3721" s="197">
        <v>17.991153320153426</v>
      </c>
    </row>
    <row r="3722" spans="2:2" ht="15.6">
      <c r="B3722" s="197">
        <v>18.258647003807301</v>
      </c>
    </row>
    <row r="3723" spans="2:2" ht="15.6">
      <c r="B3723" s="197">
        <v>18.501924556604848</v>
      </c>
    </row>
    <row r="3724" spans="2:2" ht="15.6">
      <c r="B3724" s="197">
        <v>18.019085411554496</v>
      </c>
    </row>
    <row r="3725" spans="2:2" ht="15.6">
      <c r="B3725" s="197">
        <v>17.857378737431279</v>
      </c>
    </row>
    <row r="3726" spans="2:2" ht="15.6">
      <c r="B3726" s="197">
        <v>18.283361977603644</v>
      </c>
    </row>
    <row r="3727" spans="2:2" ht="15.6">
      <c r="B3727" s="197">
        <v>17.98014454782907</v>
      </c>
    </row>
    <row r="3728" spans="2:2" ht="15.6">
      <c r="B3728" s="197">
        <v>18.363391885483615</v>
      </c>
    </row>
    <row r="3729" spans="2:2" ht="15.6">
      <c r="B3729" s="197">
        <v>18.234492663227932</v>
      </c>
    </row>
    <row r="3730" spans="2:2" ht="15.6">
      <c r="B3730" s="197">
        <v>18.01199609183135</v>
      </c>
    </row>
    <row r="3731" spans="2:2" ht="15.6">
      <c r="B3731" s="197">
        <v>18.325580725387574</v>
      </c>
    </row>
    <row r="3732" spans="2:2" ht="15.6">
      <c r="B3732" s="197">
        <v>18.018738701496563</v>
      </c>
    </row>
    <row r="3733" spans="2:2" ht="15.6">
      <c r="B3733" s="197">
        <v>18.165993374342609</v>
      </c>
    </row>
    <row r="3734" spans="2:2" ht="15.6">
      <c r="B3734" s="197">
        <v>17.915217406789075</v>
      </c>
    </row>
    <row r="3735" spans="2:2" ht="15.6">
      <c r="B3735" s="197">
        <v>18.65764571071378</v>
      </c>
    </row>
    <row r="3736" spans="2:2" ht="15.6">
      <c r="B3736" s="197">
        <v>18.025004270571973</v>
      </c>
    </row>
    <row r="3737" spans="2:2" ht="15.6">
      <c r="B3737" s="197">
        <v>18.135029767377944</v>
      </c>
    </row>
    <row r="3738" spans="2:2" ht="15.6">
      <c r="B3738" s="197">
        <v>18.107470993389502</v>
      </c>
    </row>
    <row r="3739" spans="2:2" ht="15.6">
      <c r="B3739" s="197">
        <v>18.265193174157496</v>
      </c>
    </row>
    <row r="3740" spans="2:2" ht="15.6">
      <c r="B3740" s="197">
        <v>18.307101838828018</v>
      </c>
    </row>
    <row r="3741" spans="2:2" ht="15.6">
      <c r="B3741" s="197">
        <v>18.025407667664314</v>
      </c>
    </row>
    <row r="3742" spans="2:2" ht="15.6">
      <c r="B3742" s="197">
        <v>17.99966173594887</v>
      </c>
    </row>
    <row r="3743" spans="2:2" ht="15.6">
      <c r="B3743" s="197">
        <v>18.025761137862876</v>
      </c>
    </row>
    <row r="3744" spans="2:2" ht="15.6">
      <c r="B3744" s="197">
        <v>18.146178110981847</v>
      </c>
    </row>
    <row r="3745" spans="2:2" ht="15.6">
      <c r="B3745" s="197">
        <v>18.286146950643463</v>
      </c>
    </row>
    <row r="3746" spans="2:2" ht="15.6">
      <c r="B3746" s="197">
        <v>18.21763990692256</v>
      </c>
    </row>
    <row r="3747" spans="2:2" ht="15.6">
      <c r="B3747" s="197">
        <v>18.453494292038954</v>
      </c>
    </row>
    <row r="3748" spans="2:2" ht="15.6">
      <c r="B3748" s="197">
        <v>18.176187401185388</v>
      </c>
    </row>
    <row r="3749" spans="2:2" ht="15.6">
      <c r="B3749" s="197">
        <v>17.855528303528342</v>
      </c>
    </row>
    <row r="3750" spans="2:2" ht="15.6">
      <c r="B3750" s="197">
        <v>17.884072412696888</v>
      </c>
    </row>
    <row r="3751" spans="2:2" ht="15.6">
      <c r="B3751" s="197">
        <v>18.345666835904726</v>
      </c>
    </row>
    <row r="3752" spans="2:2" ht="15.6">
      <c r="B3752" s="197">
        <v>18.485962451683847</v>
      </c>
    </row>
    <row r="3753" spans="2:2" ht="15.6">
      <c r="B3753" s="197">
        <v>18.261552387674836</v>
      </c>
    </row>
    <row r="3754" spans="2:2" ht="15.6">
      <c r="B3754" s="197">
        <v>17.872232989984951</v>
      </c>
    </row>
    <row r="3755" spans="2:2" ht="15.6">
      <c r="B3755" s="197">
        <v>18.182468178481283</v>
      </c>
    </row>
    <row r="3756" spans="2:2" ht="15.6">
      <c r="B3756" s="197">
        <v>18.01476377320321</v>
      </c>
    </row>
    <row r="3757" spans="2:2" ht="15.6">
      <c r="B3757" s="197">
        <v>17.905688041733306</v>
      </c>
    </row>
    <row r="3758" spans="2:2" ht="15.6">
      <c r="B3758" s="197">
        <v>18.01460922143017</v>
      </c>
    </row>
    <row r="3759" spans="2:2" ht="15.6">
      <c r="B3759" s="197">
        <v>18.327793130386155</v>
      </c>
    </row>
    <row r="3760" spans="2:2" ht="15.6">
      <c r="B3760" s="197">
        <v>17.803018498124434</v>
      </c>
    </row>
    <row r="3761" spans="2:2" ht="15.6">
      <c r="B3761" s="197">
        <v>18.257469206992607</v>
      </c>
    </row>
    <row r="3762" spans="2:2" ht="15.6">
      <c r="B3762" s="197">
        <v>18.239452796128454</v>
      </c>
    </row>
    <row r="3763" spans="2:2" ht="15.6">
      <c r="B3763" s="197">
        <v>18.330316213375806</v>
      </c>
    </row>
    <row r="3764" spans="2:2" ht="15.6">
      <c r="B3764" s="197">
        <v>18.256574751673188</v>
      </c>
    </row>
    <row r="3765" spans="2:2" ht="15.6">
      <c r="B3765" s="197">
        <v>18.120259424526729</v>
      </c>
    </row>
    <row r="3766" spans="2:2" ht="15.6">
      <c r="B3766" s="197">
        <v>18.093403954213152</v>
      </c>
    </row>
    <row r="3767" spans="2:2" ht="15.6">
      <c r="B3767" s="197">
        <v>18.188089615623515</v>
      </c>
    </row>
    <row r="3768" spans="2:2" ht="15.6">
      <c r="B3768" s="197">
        <v>18.380102824620518</v>
      </c>
    </row>
    <row r="3769" spans="2:2" ht="15.6">
      <c r="B3769" s="197">
        <v>18.586460426774714</v>
      </c>
    </row>
    <row r="3770" spans="2:2" ht="15.6">
      <c r="B3770" s="197">
        <v>18.28074707316576</v>
      </c>
    </row>
    <row r="3771" spans="2:2" ht="15.6">
      <c r="B3771" s="197">
        <v>18.023000775425089</v>
      </c>
    </row>
    <row r="3772" spans="2:2" ht="15.6">
      <c r="B3772" s="197">
        <v>18.367816960979454</v>
      </c>
    </row>
    <row r="3773" spans="2:2" ht="15.6">
      <c r="B3773" s="197">
        <v>18.290258451398302</v>
      </c>
    </row>
    <row r="3774" spans="2:2" ht="15.6">
      <c r="B3774" s="197">
        <v>17.840667760517992</v>
      </c>
    </row>
    <row r="3775" spans="2:2" ht="15.6">
      <c r="B3775" s="197">
        <v>18.326326703067394</v>
      </c>
    </row>
    <row r="3776" spans="2:2" ht="15.6">
      <c r="B3776" s="197">
        <v>18.23495506091059</v>
      </c>
    </row>
    <row r="3777" spans="2:2" ht="15.6">
      <c r="B3777" s="197">
        <v>18.150526709313972</v>
      </c>
    </row>
    <row r="3778" spans="2:2" ht="15.6">
      <c r="B3778" s="197">
        <v>17.811003043401005</v>
      </c>
    </row>
    <row r="3779" spans="2:2" ht="15.6">
      <c r="B3779" s="197">
        <v>17.953926825707235</v>
      </c>
    </row>
    <row r="3780" spans="2:2" ht="15.6">
      <c r="B3780" s="197">
        <v>18.126320050234902</v>
      </c>
    </row>
    <row r="3781" spans="2:2" ht="15.6">
      <c r="B3781" s="197">
        <v>18.497712941059234</v>
      </c>
    </row>
    <row r="3782" spans="2:2" ht="15.6">
      <c r="B3782" s="197">
        <v>18.069746250545151</v>
      </c>
    </row>
    <row r="3783" spans="2:2" ht="15.6">
      <c r="B3783" s="197">
        <v>18.137818902561367</v>
      </c>
    </row>
    <row r="3784" spans="2:2" ht="15.6">
      <c r="B3784" s="197">
        <v>17.769972150617019</v>
      </c>
    </row>
    <row r="3785" spans="2:2" ht="15.6">
      <c r="B3785" s="197">
        <v>18.002386189915793</v>
      </c>
    </row>
    <row r="3786" spans="2:2" ht="15.6">
      <c r="B3786" s="197">
        <v>18.018973389662143</v>
      </c>
    </row>
    <row r="3787" spans="2:2" ht="15.6">
      <c r="B3787" s="197">
        <v>18.192394198611197</v>
      </c>
    </row>
    <row r="3788" spans="2:2" ht="15.6">
      <c r="B3788" s="197">
        <v>18.433019094357924</v>
      </c>
    </row>
    <row r="3789" spans="2:2" ht="15.6">
      <c r="B3789" s="197">
        <v>18.077344782316384</v>
      </c>
    </row>
    <row r="3790" spans="2:2" ht="15.6">
      <c r="B3790" s="197">
        <v>18.194935134613949</v>
      </c>
    </row>
    <row r="3791" spans="2:2" ht="15.6">
      <c r="B3791" s="197">
        <v>18.097021978709414</v>
      </c>
    </row>
    <row r="3792" spans="2:2" ht="15.6">
      <c r="B3792" s="197">
        <v>18.167905849709598</v>
      </c>
    </row>
    <row r="3793" spans="2:2" ht="15.6">
      <c r="B3793" s="197">
        <v>17.984129297002237</v>
      </c>
    </row>
    <row r="3794" spans="2:2" ht="15.6">
      <c r="B3794" s="197">
        <v>17.994079345115008</v>
      </c>
    </row>
    <row r="3795" spans="2:2" ht="15.6">
      <c r="B3795" s="197">
        <v>18.124989258619216</v>
      </c>
    </row>
    <row r="3796" spans="2:2" ht="15.6">
      <c r="B3796" s="197">
        <v>17.952545083112579</v>
      </c>
    </row>
    <row r="3797" spans="2:2" ht="15.6">
      <c r="B3797" s="197">
        <v>18.178220478583963</v>
      </c>
    </row>
    <row r="3798" spans="2:2" ht="15.6">
      <c r="B3798" s="197">
        <v>18.535845085979545</v>
      </c>
    </row>
    <row r="3799" spans="2:2" ht="15.6">
      <c r="B3799" s="197">
        <v>17.979400090211765</v>
      </c>
    </row>
    <row r="3800" spans="2:2" ht="15.6">
      <c r="B3800" s="197">
        <v>17.724498193423539</v>
      </c>
    </row>
    <row r="3801" spans="2:2" ht="15.6">
      <c r="B3801" s="197">
        <v>18.131530145082273</v>
      </c>
    </row>
    <row r="3802" spans="2:2" ht="15.6">
      <c r="B3802" s="197">
        <v>17.925871947696244</v>
      </c>
    </row>
    <row r="3803" spans="2:2" ht="15.6">
      <c r="B3803" s="197">
        <v>18.4871239942449</v>
      </c>
    </row>
    <row r="3804" spans="2:2" ht="15.6">
      <c r="B3804" s="197">
        <v>18.169094668947729</v>
      </c>
    </row>
    <row r="3805" spans="2:2" ht="15.6">
      <c r="B3805" s="197">
        <v>18.295929262898682</v>
      </c>
    </row>
    <row r="3806" spans="2:2" ht="15.6">
      <c r="B3806" s="197">
        <v>18.116066189733456</v>
      </c>
    </row>
    <row r="3807" spans="2:2" ht="15.6">
      <c r="B3807" s="197">
        <v>17.858810088585081</v>
      </c>
    </row>
    <row r="3808" spans="2:2" ht="15.6">
      <c r="B3808" s="197">
        <v>18.010754986027667</v>
      </c>
    </row>
    <row r="3809" spans="2:2" ht="15.6">
      <c r="B3809" s="197">
        <v>18.384641566297091</v>
      </c>
    </row>
    <row r="3810" spans="2:2" ht="15.6">
      <c r="B3810" s="197">
        <v>18.061510347055147</v>
      </c>
    </row>
    <row r="3811" spans="2:2" ht="15.6">
      <c r="B3811" s="197">
        <v>17.91483929124643</v>
      </c>
    </row>
    <row r="3812" spans="2:2" ht="15.6">
      <c r="B3812" s="197">
        <v>18.214536956575689</v>
      </c>
    </row>
    <row r="3813" spans="2:2" ht="15.6">
      <c r="B3813" s="197">
        <v>18.128355812438986</v>
      </c>
    </row>
    <row r="3814" spans="2:2" ht="15.6">
      <c r="B3814" s="197">
        <v>18.005918270158535</v>
      </c>
    </row>
    <row r="3815" spans="2:2" ht="15.6">
      <c r="B3815" s="197">
        <v>18.484747791610932</v>
      </c>
    </row>
    <row r="3816" spans="2:2" ht="15.6">
      <c r="B3816" s="197">
        <v>18.273465241986262</v>
      </c>
    </row>
    <row r="3817" spans="2:2" ht="15.6">
      <c r="B3817" s="197">
        <v>17.747374648640367</v>
      </c>
    </row>
    <row r="3818" spans="2:2" ht="15.6">
      <c r="B3818" s="197">
        <v>18.112087045243506</v>
      </c>
    </row>
    <row r="3819" spans="2:2" ht="15.6">
      <c r="B3819" s="197">
        <v>18.214601469199415</v>
      </c>
    </row>
    <row r="3820" spans="2:2" ht="15.6">
      <c r="B3820" s="197">
        <v>17.982381097169498</v>
      </c>
    </row>
    <row r="3821" spans="2:2" ht="15.6">
      <c r="B3821" s="197">
        <v>17.982569227050895</v>
      </c>
    </row>
    <row r="3822" spans="2:2" ht="15.6">
      <c r="B3822" s="197">
        <v>18.238235822520728</v>
      </c>
    </row>
    <row r="3823" spans="2:2" ht="15.6">
      <c r="B3823" s="197">
        <v>18.303201782323189</v>
      </c>
    </row>
    <row r="3824" spans="2:2" ht="15.6">
      <c r="B3824" s="197">
        <v>18.192952869120084</v>
      </c>
    </row>
    <row r="3825" spans="2:2" ht="15.6">
      <c r="B3825" s="197">
        <v>18.403834145744934</v>
      </c>
    </row>
    <row r="3826" spans="2:2" ht="15.6">
      <c r="B3826" s="197">
        <v>18.145999468735138</v>
      </c>
    </row>
    <row r="3827" spans="2:2" ht="15.6">
      <c r="B3827" s="197">
        <v>18.053972498464606</v>
      </c>
    </row>
    <row r="3828" spans="2:2" ht="15.6">
      <c r="B3828" s="197">
        <v>18.422408582341767</v>
      </c>
    </row>
    <row r="3829" spans="2:2" ht="15.6">
      <c r="B3829" s="197">
        <v>18.354811878951331</v>
      </c>
    </row>
    <row r="3830" spans="2:2" ht="15.6">
      <c r="B3830" s="197">
        <v>17.785179771340925</v>
      </c>
    </row>
    <row r="3831" spans="2:2" ht="15.6">
      <c r="B3831" s="197">
        <v>18.362067035358418</v>
      </c>
    </row>
    <row r="3832" spans="2:2" ht="15.6">
      <c r="B3832" s="197">
        <v>17.522892031242922</v>
      </c>
    </row>
    <row r="3833" spans="2:2" ht="15.6">
      <c r="B3833" s="197">
        <v>17.960875076248829</v>
      </c>
    </row>
    <row r="3834" spans="2:2" ht="15.6">
      <c r="B3834" s="197">
        <v>18.312315484067206</v>
      </c>
    </row>
    <row r="3835" spans="2:2" ht="15.6">
      <c r="B3835" s="197">
        <v>18.274729617077547</v>
      </c>
    </row>
    <row r="3836" spans="2:2" ht="15.6">
      <c r="B3836" s="197">
        <v>18.351937507873213</v>
      </c>
    </row>
    <row r="3837" spans="2:2" ht="15.6">
      <c r="B3837" s="197">
        <v>18.108588513786206</v>
      </c>
    </row>
    <row r="3838" spans="2:2" ht="15.6">
      <c r="B3838" s="197">
        <v>18.209051517382211</v>
      </c>
    </row>
    <row r="3839" spans="2:2" ht="15.6">
      <c r="B3839" s="197">
        <v>18.241582597642424</v>
      </c>
    </row>
    <row r="3840" spans="2:2" ht="15.6">
      <c r="B3840" s="197">
        <v>18.347788329647479</v>
      </c>
    </row>
    <row r="3841" spans="2:2" ht="15.6">
      <c r="B3841" s="197">
        <v>18.38670283922966</v>
      </c>
    </row>
    <row r="3842" spans="2:2" ht="15.6">
      <c r="B3842" s="197">
        <v>18.339840758888553</v>
      </c>
    </row>
    <row r="3843" spans="2:2" ht="15.6">
      <c r="B3843" s="197">
        <v>17.996939898744966</v>
      </c>
    </row>
    <row r="3844" spans="2:2" ht="15.6">
      <c r="B3844" s="197">
        <v>18.296742850182206</v>
      </c>
    </row>
    <row r="3845" spans="2:2" ht="15.6">
      <c r="B3845" s="197">
        <v>18.447917932824641</v>
      </c>
    </row>
    <row r="3846" spans="2:2" ht="15.6">
      <c r="B3846" s="197">
        <v>17.983163430193617</v>
      </c>
    </row>
    <row r="3847" spans="2:2" ht="15.6">
      <c r="B3847" s="197">
        <v>18.051051406281672</v>
      </c>
    </row>
    <row r="3848" spans="2:2" ht="15.6">
      <c r="B3848" s="197">
        <v>18.056540227696633</v>
      </c>
    </row>
    <row r="3849" spans="2:2" ht="15.6">
      <c r="B3849" s="197">
        <v>18.23399070471725</v>
      </c>
    </row>
    <row r="3850" spans="2:2" ht="15.6">
      <c r="B3850" s="197">
        <v>18.42159159516115</v>
      </c>
    </row>
    <row r="3851" spans="2:2" ht="15.6">
      <c r="B3851" s="197">
        <v>17.883966758550791</v>
      </c>
    </row>
    <row r="3852" spans="2:2" ht="15.6">
      <c r="B3852" s="197">
        <v>18.386393274703426</v>
      </c>
    </row>
    <row r="3853" spans="2:2" ht="15.6">
      <c r="B3853" s="197">
        <v>18.036753957632477</v>
      </c>
    </row>
    <row r="3854" spans="2:2" ht="15.6">
      <c r="B3854" s="197">
        <v>18.077592927140262</v>
      </c>
    </row>
    <row r="3855" spans="2:2" ht="15.6">
      <c r="B3855" s="197">
        <v>17.62050336464932</v>
      </c>
    </row>
    <row r="3856" spans="2:2" ht="15.6">
      <c r="B3856" s="197">
        <v>18.19801144056412</v>
      </c>
    </row>
    <row r="3857" spans="2:2" ht="15.6">
      <c r="B3857" s="197">
        <v>18.359433753065616</v>
      </c>
    </row>
    <row r="3858" spans="2:2" ht="15.6">
      <c r="B3858" s="197">
        <v>18.078737018359533</v>
      </c>
    </row>
    <row r="3859" spans="2:2" ht="15.6">
      <c r="B3859" s="197">
        <v>17.947152521157456</v>
      </c>
    </row>
    <row r="3860" spans="2:2" ht="15.6">
      <c r="B3860" s="197">
        <v>18.270208826611288</v>
      </c>
    </row>
    <row r="3861" spans="2:2" ht="15.6">
      <c r="B3861" s="197">
        <v>18.041538642273697</v>
      </c>
    </row>
    <row r="3862" spans="2:2" ht="15.6">
      <c r="B3862" s="197">
        <v>18.403364323759625</v>
      </c>
    </row>
    <row r="3863" spans="2:2" ht="15.6">
      <c r="B3863" s="197">
        <v>18.274118893859271</v>
      </c>
    </row>
    <row r="3864" spans="2:2" ht="15.6">
      <c r="B3864" s="197">
        <v>18.150465920329079</v>
      </c>
    </row>
    <row r="3865" spans="2:2" ht="15.6">
      <c r="B3865" s="197">
        <v>17.685019476975373</v>
      </c>
    </row>
    <row r="3866" spans="2:2" ht="15.6">
      <c r="B3866" s="197">
        <v>17.906661693554234</v>
      </c>
    </row>
    <row r="3867" spans="2:2" ht="15.6">
      <c r="B3867" s="197">
        <v>18.146703786982133</v>
      </c>
    </row>
    <row r="3868" spans="2:2" ht="15.6">
      <c r="B3868" s="197">
        <v>18.268755070034072</v>
      </c>
    </row>
    <row r="3869" spans="2:2" ht="15.6">
      <c r="B3869" s="197">
        <v>18.2511324157933</v>
      </c>
    </row>
    <row r="3870" spans="2:2" ht="15.6">
      <c r="B3870" s="197">
        <v>18.490273189634223</v>
      </c>
    </row>
    <row r="3871" spans="2:2" ht="15.6">
      <c r="B3871" s="197">
        <v>18.032083880485256</v>
      </c>
    </row>
    <row r="3872" spans="2:2" ht="15.6">
      <c r="B3872" s="197">
        <v>18.198388734475785</v>
      </c>
    </row>
    <row r="3873" spans="2:2" ht="15.6">
      <c r="B3873" s="197">
        <v>18.43543559303815</v>
      </c>
    </row>
    <row r="3874" spans="2:2" ht="15.6">
      <c r="B3874" s="197">
        <v>18.317668024715989</v>
      </c>
    </row>
    <row r="3875" spans="2:2" ht="15.6">
      <c r="B3875" s="197">
        <v>17.728438485517117</v>
      </c>
    </row>
    <row r="3876" spans="2:2" ht="15.6">
      <c r="B3876" s="197">
        <v>17.778637176544724</v>
      </c>
    </row>
    <row r="3877" spans="2:2" ht="15.6">
      <c r="B3877" s="197">
        <v>17.627356415011484</v>
      </c>
    </row>
    <row r="3878" spans="2:2" ht="15.6">
      <c r="B3878" s="197">
        <v>18.233097643886595</v>
      </c>
    </row>
    <row r="3879" spans="2:2" ht="15.6">
      <c r="B3879" s="197">
        <v>18.559074877139366</v>
      </c>
    </row>
    <row r="3880" spans="2:2" ht="15.6">
      <c r="B3880" s="197">
        <v>18.474962077215874</v>
      </c>
    </row>
    <row r="3881" spans="2:2" ht="15.6">
      <c r="B3881" s="197">
        <v>18.337565763397706</v>
      </c>
    </row>
    <row r="3882" spans="2:2" ht="15.6">
      <c r="B3882" s="197">
        <v>18.205121658767876</v>
      </c>
    </row>
    <row r="3883" spans="2:2" ht="15.6">
      <c r="B3883" s="197">
        <v>18.296225325194406</v>
      </c>
    </row>
    <row r="3884" spans="2:2" ht="15.6">
      <c r="B3884" s="197">
        <v>18.250032729625957</v>
      </c>
    </row>
    <row r="3885" spans="2:2" ht="15.6">
      <c r="B3885" s="197">
        <v>18.235005312015694</v>
      </c>
    </row>
    <row r="3886" spans="2:2" ht="15.6">
      <c r="B3886" s="197">
        <v>18.032208676823867</v>
      </c>
    </row>
    <row r="3887" spans="2:2" ht="15.6">
      <c r="B3887" s="197">
        <v>18.38646207712199</v>
      </c>
    </row>
    <row r="3888" spans="2:2" ht="15.6">
      <c r="B3888" s="197">
        <v>17.896040981264186</v>
      </c>
    </row>
    <row r="3889" spans="2:2" ht="15.6">
      <c r="B3889" s="197">
        <v>18.230347305512232</v>
      </c>
    </row>
    <row r="3890" spans="2:2" ht="15.6">
      <c r="B3890" s="197">
        <v>18.124862125241108</v>
      </c>
    </row>
    <row r="3891" spans="2:2" ht="15.6">
      <c r="B3891" s="197">
        <v>18.312237514787572</v>
      </c>
    </row>
    <row r="3892" spans="2:2" ht="15.6">
      <c r="B3892" s="197">
        <v>18.182048358811603</v>
      </c>
    </row>
    <row r="3893" spans="2:2" ht="15.6">
      <c r="B3893" s="197">
        <v>18.053242155720923</v>
      </c>
    </row>
    <row r="3894" spans="2:2" ht="15.6">
      <c r="B3894" s="197">
        <v>18.344192956950316</v>
      </c>
    </row>
    <row r="3895" spans="2:2" ht="15.6">
      <c r="B3895" s="197">
        <v>18.167009746427347</v>
      </c>
    </row>
    <row r="3896" spans="2:2" ht="15.6">
      <c r="B3896" s="197">
        <v>18.213745042119065</v>
      </c>
    </row>
    <row r="3897" spans="2:2" ht="15.6">
      <c r="B3897" s="197">
        <v>18.181855462981087</v>
      </c>
    </row>
    <row r="3898" spans="2:2" ht="15.6">
      <c r="B3898" s="197">
        <v>17.880607245473225</v>
      </c>
    </row>
    <row r="3899" spans="2:2" ht="15.6">
      <c r="B3899" s="197">
        <v>18.097218309892082</v>
      </c>
    </row>
    <row r="3900" spans="2:2" ht="15.6">
      <c r="B3900" s="197">
        <v>18.2877103587698</v>
      </c>
    </row>
    <row r="3901" spans="2:2" ht="15.6">
      <c r="B3901" s="197">
        <v>18.197514945187077</v>
      </c>
    </row>
    <row r="3902" spans="2:2" ht="15.6">
      <c r="B3902" s="197">
        <v>18.235704350496722</v>
      </c>
    </row>
    <row r="3903" spans="2:2" ht="15.6">
      <c r="B3903" s="197">
        <v>17.946741406359212</v>
      </c>
    </row>
    <row r="3904" spans="2:2" ht="15.6">
      <c r="B3904" s="197">
        <v>18.139702517589697</v>
      </c>
    </row>
    <row r="3905" spans="2:2" ht="15.6">
      <c r="B3905" s="197">
        <v>17.614231041462013</v>
      </c>
    </row>
    <row r="3906" spans="2:2" ht="15.6">
      <c r="B3906" s="197">
        <v>18.328881677209555</v>
      </c>
    </row>
    <row r="3907" spans="2:2" ht="15.6">
      <c r="B3907" s="197">
        <v>18.360773245045863</v>
      </c>
    </row>
    <row r="3908" spans="2:2" ht="15.6">
      <c r="B3908" s="197">
        <v>18.299189094658544</v>
      </c>
    </row>
    <row r="3909" spans="2:2" ht="15.6">
      <c r="B3909" s="197">
        <v>18.354590835297682</v>
      </c>
    </row>
    <row r="3910" spans="2:2" ht="15.6">
      <c r="B3910" s="197">
        <v>18.217969605493685</v>
      </c>
    </row>
    <row r="3911" spans="2:2" ht="15.6">
      <c r="B3911" s="197">
        <v>18.20062050193226</v>
      </c>
    </row>
    <row r="3912" spans="2:2" ht="15.6">
      <c r="B3912" s="197">
        <v>18.173770940886556</v>
      </c>
    </row>
    <row r="3913" spans="2:2" ht="15.6">
      <c r="B3913" s="197">
        <v>18.603261150660749</v>
      </c>
    </row>
    <row r="3914" spans="2:2" ht="15.6">
      <c r="B3914" s="197">
        <v>18.152398581924857</v>
      </c>
    </row>
    <row r="3915" spans="2:2" ht="15.6">
      <c r="B3915" s="197">
        <v>17.939826761718354</v>
      </c>
    </row>
    <row r="3916" spans="2:2" ht="15.6">
      <c r="B3916" s="197">
        <v>18.216872176881704</v>
      </c>
    </row>
    <row r="3917" spans="2:2" ht="15.6">
      <c r="B3917" s="197">
        <v>17.975582886832132</v>
      </c>
    </row>
    <row r="3918" spans="2:2" ht="15.6">
      <c r="B3918" s="197">
        <v>17.910800145689873</v>
      </c>
    </row>
    <row r="3919" spans="2:2" ht="15.6">
      <c r="B3919" s="197">
        <v>18.341427891080809</v>
      </c>
    </row>
    <row r="3920" spans="2:2" ht="15.6">
      <c r="B3920" s="197">
        <v>18.249170400185211</v>
      </c>
    </row>
    <row r="3921" spans="2:2" ht="15.6">
      <c r="B3921" s="197">
        <v>18.22127872684456</v>
      </c>
    </row>
    <row r="3922" spans="2:2" ht="15.6">
      <c r="B3922" s="197">
        <v>18.167708981366395</v>
      </c>
    </row>
    <row r="3923" spans="2:2" ht="15.6">
      <c r="B3923" s="197">
        <v>17.963272699737917</v>
      </c>
    </row>
    <row r="3924" spans="2:2" ht="15.6">
      <c r="B3924" s="197">
        <v>18.316046210650502</v>
      </c>
    </row>
    <row r="3925" spans="2:2" ht="15.6">
      <c r="B3925" s="197">
        <v>18.436541727875188</v>
      </c>
    </row>
    <row r="3926" spans="2:2" ht="15.6">
      <c r="B3926" s="197">
        <v>17.982351007023837</v>
      </c>
    </row>
    <row r="3927" spans="2:2" ht="15.6">
      <c r="B3927" s="197">
        <v>18.260613811003747</v>
      </c>
    </row>
    <row r="3928" spans="2:2" ht="15.6">
      <c r="B3928" s="197">
        <v>18.594692104549722</v>
      </c>
    </row>
    <row r="3929" spans="2:2" ht="15.6">
      <c r="B3929" s="197">
        <v>18.564928136662658</v>
      </c>
    </row>
    <row r="3930" spans="2:2" ht="15.6">
      <c r="B3930" s="197">
        <v>17.932894147376249</v>
      </c>
    </row>
    <row r="3931" spans="2:2" ht="15.6">
      <c r="B3931" s="197">
        <v>18.387867131321734</v>
      </c>
    </row>
    <row r="3932" spans="2:2" ht="15.6">
      <c r="B3932" s="197">
        <v>17.861075097125806</v>
      </c>
    </row>
    <row r="3933" spans="2:2" ht="15.6">
      <c r="B3933" s="197">
        <v>18.118234048336859</v>
      </c>
    </row>
    <row r="3934" spans="2:2" ht="15.6">
      <c r="B3934" s="197">
        <v>17.735424780354865</v>
      </c>
    </row>
    <row r="3935" spans="2:2" ht="15.6">
      <c r="B3935" s="197">
        <v>17.713792691299258</v>
      </c>
    </row>
    <row r="3936" spans="2:2" ht="15.6">
      <c r="B3936" s="197">
        <v>17.945917280270205</v>
      </c>
    </row>
    <row r="3937" spans="2:2" ht="15.6">
      <c r="B3937" s="197">
        <v>18.337207261933891</v>
      </c>
    </row>
    <row r="3938" spans="2:2" ht="15.6">
      <c r="B3938" s="197">
        <v>18.197879500115118</v>
      </c>
    </row>
    <row r="3939" spans="2:2" ht="15.6">
      <c r="B3939" s="197">
        <v>17.894691603707475</v>
      </c>
    </row>
    <row r="3940" spans="2:2" ht="15.6">
      <c r="B3940" s="197">
        <v>18.382930794042547</v>
      </c>
    </row>
    <row r="3941" spans="2:2" ht="15.6">
      <c r="B3941" s="197">
        <v>18.218079059843376</v>
      </c>
    </row>
    <row r="3942" spans="2:2" ht="15.6">
      <c r="B3942" s="197">
        <v>18.051160712082353</v>
      </c>
    </row>
    <row r="3943" spans="2:2" ht="15.6">
      <c r="B3943" s="197">
        <v>18.395948393803845</v>
      </c>
    </row>
    <row r="3944" spans="2:2" ht="15.6">
      <c r="B3944" s="197">
        <v>17.924398410234119</v>
      </c>
    </row>
    <row r="3945" spans="2:2" ht="15.6">
      <c r="B3945" s="197">
        <v>18.037065523121353</v>
      </c>
    </row>
    <row r="3946" spans="2:2" ht="15.6">
      <c r="B3946" s="197">
        <v>18.17522225313553</v>
      </c>
    </row>
    <row r="3947" spans="2:2" ht="15.6">
      <c r="B3947" s="197">
        <v>18.064991883012468</v>
      </c>
    </row>
    <row r="3948" spans="2:2" ht="15.6">
      <c r="B3948" s="197">
        <v>18.240226515626972</v>
      </c>
    </row>
    <row r="3949" spans="2:2" ht="15.6">
      <c r="B3949" s="197">
        <v>18.18575333926843</v>
      </c>
    </row>
    <row r="3950" spans="2:2" ht="15.6">
      <c r="B3950" s="197">
        <v>17.815831489054453</v>
      </c>
    </row>
    <row r="3951" spans="2:2" ht="15.6">
      <c r="B3951" s="197">
        <v>18.314013531679258</v>
      </c>
    </row>
    <row r="3952" spans="2:2" ht="15.6">
      <c r="B3952" s="197">
        <v>17.989252804468276</v>
      </c>
    </row>
    <row r="3953" spans="2:2" ht="15.6">
      <c r="B3953" s="197">
        <v>18.303491996611335</v>
      </c>
    </row>
    <row r="3954" spans="2:2" ht="15.6">
      <c r="B3954" s="197">
        <v>18.430920096174962</v>
      </c>
    </row>
    <row r="3955" spans="2:2" ht="15.6">
      <c r="B3955" s="197">
        <v>18.331615307671164</v>
      </c>
    </row>
    <row r="3956" spans="2:2" ht="15.6">
      <c r="B3956" s="197">
        <v>18.135465719029213</v>
      </c>
    </row>
    <row r="3957" spans="2:2" ht="15.6">
      <c r="B3957" s="197">
        <v>18.309666314957024</v>
      </c>
    </row>
    <row r="3958" spans="2:2" ht="15.6">
      <c r="B3958" s="197">
        <v>17.963797712818536</v>
      </c>
    </row>
    <row r="3959" spans="2:2" ht="15.6">
      <c r="B3959" s="197">
        <v>18.458953994040506</v>
      </c>
    </row>
    <row r="3960" spans="2:2" ht="15.6">
      <c r="B3960" s="197">
        <v>18.230585374402214</v>
      </c>
    </row>
    <row r="3961" spans="2:2" ht="15.6">
      <c r="B3961" s="197">
        <v>18.103020209022404</v>
      </c>
    </row>
    <row r="3962" spans="2:2" ht="15.6">
      <c r="B3962" s="197">
        <v>18.049081400715853</v>
      </c>
    </row>
    <row r="3963" spans="2:2" ht="15.6">
      <c r="B3963" s="197">
        <v>18.428328030179593</v>
      </c>
    </row>
    <row r="3964" spans="2:2" ht="15.6">
      <c r="B3964" s="197">
        <v>18.275810651905768</v>
      </c>
    </row>
    <row r="3965" spans="2:2" ht="15.6">
      <c r="B3965" s="197">
        <v>17.67359018997599</v>
      </c>
    </row>
    <row r="3966" spans="2:2" ht="15.6">
      <c r="B3966" s="197">
        <v>18.054417887471637</v>
      </c>
    </row>
    <row r="3967" spans="2:2" ht="15.6">
      <c r="B3967" s="197">
        <v>17.883434926887325</v>
      </c>
    </row>
    <row r="3968" spans="2:2" ht="15.6">
      <c r="B3968" s="197">
        <v>18.067667591535464</v>
      </c>
    </row>
    <row r="3969" spans="2:2" ht="15.6">
      <c r="B3969" s="197">
        <v>18.090843054274206</v>
      </c>
    </row>
    <row r="3970" spans="2:2" ht="15.6">
      <c r="B3970" s="197">
        <v>18.242959858904918</v>
      </c>
    </row>
    <row r="3971" spans="2:2" ht="15.6">
      <c r="B3971" s="197">
        <v>17.933141049958344</v>
      </c>
    </row>
    <row r="3972" spans="2:2" ht="15.6">
      <c r="B3972" s="197">
        <v>18.371588364588057</v>
      </c>
    </row>
    <row r="3973" spans="2:2" ht="15.6">
      <c r="B3973" s="197">
        <v>18.129569346572453</v>
      </c>
    </row>
    <row r="3974" spans="2:2" ht="15.6">
      <c r="B3974" s="197">
        <v>17.943206161211787</v>
      </c>
    </row>
    <row r="3975" spans="2:2" ht="15.6">
      <c r="B3975" s="197">
        <v>18.276908684073241</v>
      </c>
    </row>
    <row r="3976" spans="2:2" ht="15.6">
      <c r="B3976" s="197">
        <v>18.390557805928744</v>
      </c>
    </row>
    <row r="3977" spans="2:2" ht="15.6">
      <c r="B3977" s="197">
        <v>18.319666504217381</v>
      </c>
    </row>
    <row r="3978" spans="2:2" ht="15.6">
      <c r="B3978" s="197">
        <v>18.150958015922452</v>
      </c>
    </row>
    <row r="3979" spans="2:2" ht="15.6">
      <c r="B3979" s="197">
        <v>18.478728296906397</v>
      </c>
    </row>
    <row r="3980" spans="2:2" ht="15.6">
      <c r="B3980" s="197">
        <v>18.088167994355789</v>
      </c>
    </row>
    <row r="3981" spans="2:2" ht="15.6">
      <c r="B3981" s="197">
        <v>18.324728031008952</v>
      </c>
    </row>
    <row r="3982" spans="2:2" ht="15.6">
      <c r="B3982" s="197">
        <v>17.653150682642341</v>
      </c>
    </row>
    <row r="3983" spans="2:2" ht="15.6">
      <c r="B3983" s="197">
        <v>18.50232090992834</v>
      </c>
    </row>
    <row r="3984" spans="2:2" ht="15.6">
      <c r="B3984" s="197">
        <v>18.280361658884445</v>
      </c>
    </row>
    <row r="3985" spans="2:2" ht="15.6">
      <c r="B3985" s="197">
        <v>18.085565972968908</v>
      </c>
    </row>
    <row r="3986" spans="2:2" ht="15.6">
      <c r="B3986" s="197">
        <v>17.961903311115162</v>
      </c>
    </row>
    <row r="3987" spans="2:2" ht="15.6">
      <c r="B3987" s="197">
        <v>18.237765185816798</v>
      </c>
    </row>
    <row r="3988" spans="2:2" ht="15.6">
      <c r="B3988" s="197">
        <v>18.204567540354955</v>
      </c>
    </row>
    <row r="3989" spans="2:2" ht="15.6">
      <c r="B3989" s="197">
        <v>17.858674195897045</v>
      </c>
    </row>
    <row r="3990" spans="2:2" ht="15.6">
      <c r="B3990" s="197">
        <v>17.943971679895139</v>
      </c>
    </row>
    <row r="3991" spans="2:2" ht="15.6">
      <c r="B3991" s="197">
        <v>18.415259877969138</v>
      </c>
    </row>
    <row r="3992" spans="2:2" ht="15.6">
      <c r="B3992" s="197">
        <v>18.106627515469231</v>
      </c>
    </row>
    <row r="3993" spans="2:2" ht="15.6">
      <c r="B3993" s="197">
        <v>18.674876134984729</v>
      </c>
    </row>
    <row r="3994" spans="2:2" ht="15.6">
      <c r="B3994" s="197">
        <v>18.344812302005366</v>
      </c>
    </row>
    <row r="3995" spans="2:2" ht="15.6">
      <c r="B3995" s="197">
        <v>18.278611492642714</v>
      </c>
    </row>
    <row r="3996" spans="2:2" ht="15.6">
      <c r="B3996" s="197">
        <v>18.03377599014663</v>
      </c>
    </row>
    <row r="3997" spans="2:2" ht="15.6">
      <c r="B3997" s="197">
        <v>18.363459266941806</v>
      </c>
    </row>
    <row r="3998" spans="2:2" ht="15.6">
      <c r="B3998" s="197">
        <v>18.207732497877359</v>
      </c>
    </row>
    <row r="3999" spans="2:2" ht="15.6">
      <c r="B3999" s="197">
        <v>18.055673574730982</v>
      </c>
    </row>
    <row r="4000" spans="2:2" ht="15.6">
      <c r="B4000" s="197">
        <v>17.946500529213093</v>
      </c>
    </row>
    <row r="4001" spans="2:2" ht="15.6">
      <c r="B4001" s="197">
        <v>18.182130876846106</v>
      </c>
    </row>
    <row r="4002" spans="2:2" ht="15.6">
      <c r="B4002" s="197">
        <v>17.811291194945579</v>
      </c>
    </row>
    <row r="4003" spans="2:2" ht="15.6">
      <c r="B4003" s="197">
        <v>18.002612560736267</v>
      </c>
    </row>
    <row r="4004" spans="2:2" ht="15.6">
      <c r="B4004" s="197">
        <v>18.459916746006737</v>
      </c>
    </row>
    <row r="4005" spans="2:2" ht="15.6">
      <c r="B4005" s="197">
        <v>18.115755482899296</v>
      </c>
    </row>
    <row r="4006" spans="2:2" ht="15.6">
      <c r="B4006" s="197">
        <v>17.945911009419753</v>
      </c>
    </row>
    <row r="4007" spans="2:2" ht="15.6">
      <c r="B4007" s="197">
        <v>18.329212028529465</v>
      </c>
    </row>
    <row r="4008" spans="2:2" ht="15.6">
      <c r="B4008" s="197">
        <v>18.420585871053746</v>
      </c>
    </row>
    <row r="4009" spans="2:2" ht="15.6">
      <c r="B4009" s="197">
        <v>17.679252569864879</v>
      </c>
    </row>
    <row r="4010" spans="2:2" ht="15.6">
      <c r="B4010" s="197">
        <v>18.281864460183719</v>
      </c>
    </row>
    <row r="4011" spans="2:2" ht="15.6">
      <c r="B4011" s="197">
        <v>18.511804411070393</v>
      </c>
    </row>
    <row r="4012" spans="2:2" ht="15.6">
      <c r="B4012" s="197">
        <v>18.371075503254691</v>
      </c>
    </row>
    <row r="4013" spans="2:2" ht="15.6">
      <c r="B4013" s="197">
        <v>17.690171444275638</v>
      </c>
    </row>
    <row r="4014" spans="2:2" ht="15.6">
      <c r="B4014" s="197">
        <v>18.177107574272053</v>
      </c>
    </row>
    <row r="4015" spans="2:2" ht="15.6">
      <c r="B4015" s="197">
        <v>18.340862813804478</v>
      </c>
    </row>
    <row r="4016" spans="2:2" ht="15.6">
      <c r="B4016" s="197">
        <v>17.966688792599971</v>
      </c>
    </row>
    <row r="4017" spans="2:2" ht="15.6">
      <c r="B4017" s="197">
        <v>18.289313113277579</v>
      </c>
    </row>
    <row r="4018" spans="2:2" ht="15.6">
      <c r="B4018" s="197">
        <v>17.998026134114234</v>
      </c>
    </row>
    <row r="4019" spans="2:2" ht="15.6">
      <c r="B4019" s="197">
        <v>17.92737126724953</v>
      </c>
    </row>
    <row r="4020" spans="2:2" ht="15.6">
      <c r="B4020" s="197">
        <v>18.204668893648716</v>
      </c>
    </row>
    <row r="4021" spans="2:2" ht="15.6">
      <c r="B4021" s="197">
        <v>18.030465631954876</v>
      </c>
    </row>
    <row r="4022" spans="2:2" ht="15.6">
      <c r="B4022" s="197">
        <v>18.115076061607024</v>
      </c>
    </row>
    <row r="4023" spans="2:2" ht="15.6">
      <c r="B4023" s="197">
        <v>17.898164163159528</v>
      </c>
    </row>
    <row r="4024" spans="2:2" ht="15.6">
      <c r="B4024" s="197">
        <v>18.229544732046573</v>
      </c>
    </row>
    <row r="4025" spans="2:2" ht="15.6">
      <c r="B4025" s="197">
        <v>18.002417432807103</v>
      </c>
    </row>
    <row r="4026" spans="2:2" ht="15.6">
      <c r="B4026" s="197">
        <v>18.151881806343066</v>
      </c>
    </row>
    <row r="4027" spans="2:2" ht="15.6">
      <c r="B4027" s="197">
        <v>17.731080096680923</v>
      </c>
    </row>
    <row r="4028" spans="2:2" ht="15.6">
      <c r="B4028" s="197">
        <v>18.084502063748822</v>
      </c>
    </row>
    <row r="4029" spans="2:2" ht="15.6">
      <c r="B4029" s="197">
        <v>18.131040862658029</v>
      </c>
    </row>
    <row r="4030" spans="2:2" ht="15.6">
      <c r="B4030" s="197">
        <v>18.445706103684344</v>
      </c>
    </row>
    <row r="4031" spans="2:2" ht="15.6">
      <c r="B4031" s="197">
        <v>18.073392201012076</v>
      </c>
    </row>
    <row r="4032" spans="2:2" ht="15.6">
      <c r="B4032" s="197">
        <v>18.384764961494184</v>
      </c>
    </row>
    <row r="4033" spans="2:2" ht="15.6">
      <c r="B4033" s="197">
        <v>18.134803346408681</v>
      </c>
    </row>
    <row r="4034" spans="2:2" ht="15.6">
      <c r="B4034" s="197">
        <v>18.50962121127694</v>
      </c>
    </row>
    <row r="4035" spans="2:2" ht="15.6">
      <c r="B4035" s="197">
        <v>18.102759021797603</v>
      </c>
    </row>
    <row r="4036" spans="2:2" ht="15.6">
      <c r="B4036" s="197">
        <v>18.225895727004328</v>
      </c>
    </row>
    <row r="4037" spans="2:2" ht="15.6">
      <c r="B4037" s="197">
        <v>18.124129159272371</v>
      </c>
    </row>
    <row r="4038" spans="2:2" ht="15.6">
      <c r="B4038" s="197">
        <v>18.341368775213144</v>
      </c>
    </row>
    <row r="4039" spans="2:2" ht="15.6">
      <c r="B4039" s="197">
        <v>17.98665953673348</v>
      </c>
    </row>
    <row r="4040" spans="2:2" ht="15.6">
      <c r="B4040" s="197">
        <v>18.385982095399843</v>
      </c>
    </row>
    <row r="4041" spans="2:2" ht="15.6">
      <c r="B4041" s="197">
        <v>17.9527047946269</v>
      </c>
    </row>
    <row r="4042" spans="2:2" ht="15.6">
      <c r="B4042" s="197">
        <v>18.188824063517735</v>
      </c>
    </row>
    <row r="4043" spans="2:2" ht="15.6">
      <c r="B4043" s="197">
        <v>18.223485272188825</v>
      </c>
    </row>
    <row r="4044" spans="2:2" ht="15.6">
      <c r="B4044" s="197">
        <v>18.352558276727553</v>
      </c>
    </row>
    <row r="4045" spans="2:2" ht="15.6">
      <c r="B4045" s="197">
        <v>18.306343570623486</v>
      </c>
    </row>
    <row r="4046" spans="2:2" ht="15.6">
      <c r="B4046" s="197">
        <v>18.310011810290415</v>
      </c>
    </row>
    <row r="4047" spans="2:2" ht="15.6">
      <c r="B4047" s="197">
        <v>18.173002388050904</v>
      </c>
    </row>
    <row r="4048" spans="2:2" ht="15.6">
      <c r="B4048" s="197">
        <v>18.005913864543132</v>
      </c>
    </row>
    <row r="4049" spans="2:2" ht="15.6">
      <c r="B4049" s="197">
        <v>18.31194748929866</v>
      </c>
    </row>
    <row r="4050" spans="2:2" ht="15.6">
      <c r="B4050" s="197">
        <v>18.250438574509907</v>
      </c>
    </row>
    <row r="4051" spans="2:2" ht="15.6">
      <c r="B4051" s="197">
        <v>17.937554821206042</v>
      </c>
    </row>
    <row r="4052" spans="2:2" ht="15.6">
      <c r="B4052" s="197">
        <v>18.228107581613635</v>
      </c>
    </row>
    <row r="4053" spans="2:2" ht="15.6">
      <c r="B4053" s="197">
        <v>18.16590108103107</v>
      </c>
    </row>
    <row r="4054" spans="2:2" ht="15.6">
      <c r="B4054" s="197">
        <v>18.019314808539651</v>
      </c>
    </row>
    <row r="4055" spans="2:2" ht="15.6">
      <c r="B4055" s="197">
        <v>18.130182184848763</v>
      </c>
    </row>
    <row r="4056" spans="2:2" ht="15.6">
      <c r="B4056" s="197">
        <v>17.971307007784105</v>
      </c>
    </row>
    <row r="4057" spans="2:2" ht="15.6">
      <c r="B4057" s="197">
        <v>18.113653493475621</v>
      </c>
    </row>
    <row r="4058" spans="2:2" ht="15.6">
      <c r="B4058" s="197">
        <v>18.137288988262338</v>
      </c>
    </row>
    <row r="4059" spans="2:2" ht="15.6">
      <c r="B4059" s="197">
        <v>18.413530914492693</v>
      </c>
    </row>
    <row r="4060" spans="2:2" ht="15.6">
      <c r="B4060" s="197">
        <v>17.950424871666414</v>
      </c>
    </row>
    <row r="4061" spans="2:2" ht="15.6">
      <c r="B4061" s="197">
        <v>18.209568641599027</v>
      </c>
    </row>
    <row r="4062" spans="2:2" ht="15.6">
      <c r="B4062" s="197">
        <v>18.316429357377238</v>
      </c>
    </row>
    <row r="4063" spans="2:2" ht="15.6">
      <c r="B4063" s="197">
        <v>18.098718994294458</v>
      </c>
    </row>
    <row r="4064" spans="2:2" ht="15.6">
      <c r="B4064" s="197">
        <v>18.184380715382929</v>
      </c>
    </row>
    <row r="4065" spans="2:2" ht="15.6">
      <c r="B4065" s="197">
        <v>18.209274818230895</v>
      </c>
    </row>
    <row r="4066" spans="2:2" ht="15.6">
      <c r="B4066" s="197">
        <v>17.673283807199404</v>
      </c>
    </row>
    <row r="4067" spans="2:2" ht="15.6">
      <c r="B4067" s="197">
        <v>17.88314856806003</v>
      </c>
    </row>
    <row r="4068" spans="2:2" ht="15.6">
      <c r="B4068" s="197">
        <v>18.16011716510917</v>
      </c>
    </row>
    <row r="4069" spans="2:2" ht="15.6">
      <c r="B4069" s="197">
        <v>17.961119939478706</v>
      </c>
    </row>
    <row r="4070" spans="2:2" ht="15.6">
      <c r="B4070" s="197">
        <v>18.142681273545374</v>
      </c>
    </row>
    <row r="4071" spans="2:2" ht="15.6">
      <c r="B4071" s="197">
        <v>18.275085813302077</v>
      </c>
    </row>
    <row r="4072" spans="2:2" ht="15.6">
      <c r="B4072" s="197">
        <v>18.32352009656994</v>
      </c>
    </row>
    <row r="4073" spans="2:2" ht="15.6">
      <c r="B4073" s="197">
        <v>18.153239590002741</v>
      </c>
    </row>
    <row r="4074" spans="2:2" ht="15.6">
      <c r="B4074" s="197">
        <v>17.735720419952706</v>
      </c>
    </row>
    <row r="4075" spans="2:2" ht="15.6">
      <c r="B4075" s="197">
        <v>17.966426425684393</v>
      </c>
    </row>
    <row r="4076" spans="2:2" ht="15.6">
      <c r="B4076" s="197">
        <v>18.267285769382813</v>
      </c>
    </row>
    <row r="4077" spans="2:2" ht="15.6">
      <c r="B4077" s="197">
        <v>18.162692610941438</v>
      </c>
    </row>
    <row r="4078" spans="2:2" ht="15.6">
      <c r="B4078" s="197">
        <v>18.018086425883055</v>
      </c>
    </row>
    <row r="4079" spans="2:2" ht="15.6">
      <c r="B4079" s="197">
        <v>18.135386735195254</v>
      </c>
    </row>
    <row r="4080" spans="2:2" ht="15.6">
      <c r="B4080" s="197">
        <v>17.967604768383168</v>
      </c>
    </row>
    <row r="4081" spans="2:2" ht="15.6">
      <c r="B4081" s="197">
        <v>18.023341983051747</v>
      </c>
    </row>
    <row r="4082" spans="2:2" ht="15.6">
      <c r="B4082" s="197">
        <v>18.176132906138392</v>
      </c>
    </row>
    <row r="4083" spans="2:2" ht="15.6">
      <c r="B4083" s="197">
        <v>18.435230207717407</v>
      </c>
    </row>
    <row r="4084" spans="2:2" ht="15.6">
      <c r="B4084" s="197">
        <v>18.247412771264756</v>
      </c>
    </row>
    <row r="4085" spans="2:2" ht="15.6">
      <c r="B4085" s="197">
        <v>18.179638195835828</v>
      </c>
    </row>
    <row r="4086" spans="2:2" ht="15.6">
      <c r="B4086" s="197">
        <v>18.419197049988963</v>
      </c>
    </row>
    <row r="4087" spans="2:2" ht="15.6">
      <c r="B4087" s="197">
        <v>17.973467943623444</v>
      </c>
    </row>
    <row r="4088" spans="2:2" ht="15.6">
      <c r="B4088" s="197">
        <v>17.896955174969403</v>
      </c>
    </row>
    <row r="4089" spans="2:2" ht="15.6">
      <c r="B4089" s="197">
        <v>18.261743782115271</v>
      </c>
    </row>
    <row r="4090" spans="2:2" ht="15.6">
      <c r="B4090" s="197">
        <v>18.373489805497886</v>
      </c>
    </row>
    <row r="4091" spans="2:2" ht="15.6">
      <c r="B4091" s="197">
        <v>17.894258455453457</v>
      </c>
    </row>
    <row r="4092" spans="2:2" ht="15.6">
      <c r="B4092" s="197">
        <v>17.987542187629462</v>
      </c>
    </row>
    <row r="4093" spans="2:2" ht="15.6">
      <c r="B4093" s="197">
        <v>18.130665276514705</v>
      </c>
    </row>
    <row r="4094" spans="2:2" ht="15.6">
      <c r="B4094" s="197">
        <v>18.177417618089581</v>
      </c>
    </row>
    <row r="4095" spans="2:2" ht="15.6">
      <c r="B4095" s="197">
        <v>18.259221984449685</v>
      </c>
    </row>
    <row r="4096" spans="2:2" ht="15.6">
      <c r="B4096" s="197">
        <v>18.011522369911425</v>
      </c>
    </row>
    <row r="4097" spans="2:2" ht="15.6">
      <c r="B4097" s="197">
        <v>18.244480284808162</v>
      </c>
    </row>
    <row r="4098" spans="2:2" ht="15.6">
      <c r="B4098" s="197">
        <v>18.199657789017643</v>
      </c>
    </row>
    <row r="4099" spans="2:2" ht="15.6">
      <c r="B4099" s="197">
        <v>18.189147551578163</v>
      </c>
    </row>
    <row r="4100" spans="2:2" ht="15.6">
      <c r="B4100" s="197">
        <v>18.08951137924241</v>
      </c>
    </row>
    <row r="4101" spans="2:2" ht="15.6">
      <c r="B4101" s="197">
        <v>18.098832739091797</v>
      </c>
    </row>
    <row r="4102" spans="2:2" ht="15.6">
      <c r="B4102" s="197">
        <v>18.352481559788885</v>
      </c>
    </row>
    <row r="4103" spans="2:2" ht="15.6">
      <c r="B4103" s="197">
        <v>18.238722509965445</v>
      </c>
    </row>
    <row r="4104" spans="2:2" ht="15.6">
      <c r="B4104" s="197">
        <v>17.918039062942619</v>
      </c>
    </row>
    <row r="4105" spans="2:2" ht="15.6">
      <c r="B4105" s="197">
        <v>18.108276389867871</v>
      </c>
    </row>
    <row r="4106" spans="2:2" ht="15.6">
      <c r="B4106" s="197">
        <v>18.231601181883388</v>
      </c>
    </row>
    <row r="4107" spans="2:2" ht="15.6">
      <c r="B4107" s="197">
        <v>18.088206353892975</v>
      </c>
    </row>
    <row r="4108" spans="2:2" ht="15.6">
      <c r="B4108" s="197">
        <v>18.002370763365942</v>
      </c>
    </row>
    <row r="4109" spans="2:2" ht="15.6">
      <c r="B4109" s="197">
        <v>18.451537134880375</v>
      </c>
    </row>
    <row r="4110" spans="2:2" ht="15.6">
      <c r="B4110" s="197">
        <v>18.159565420424446</v>
      </c>
    </row>
    <row r="4111" spans="2:2" ht="15.6">
      <c r="B4111" s="197">
        <v>18.012053976196523</v>
      </c>
    </row>
    <row r="4112" spans="2:2" ht="15.6">
      <c r="B4112" s="197">
        <v>18.224380382274937</v>
      </c>
    </row>
    <row r="4113" spans="2:2" ht="15.6">
      <c r="B4113" s="197">
        <v>18.238099072173505</v>
      </c>
    </row>
    <row r="4114" spans="2:2" ht="15.6">
      <c r="B4114" s="197">
        <v>18.394499745402033</v>
      </c>
    </row>
    <row r="4115" spans="2:2" ht="15.6">
      <c r="B4115" s="197">
        <v>18.077118507352363</v>
      </c>
    </row>
    <row r="4116" spans="2:2" ht="15.6">
      <c r="B4116" s="197">
        <v>18.128363943334069</v>
      </c>
    </row>
    <row r="4117" spans="2:2" ht="15.6">
      <c r="B4117" s="197">
        <v>17.945490760549749</v>
      </c>
    </row>
    <row r="4118" spans="2:2" ht="15.6">
      <c r="B4118" s="197">
        <v>18.363178623441517</v>
      </c>
    </row>
    <row r="4119" spans="2:2" ht="15.6">
      <c r="B4119" s="197">
        <v>18.020145458294039</v>
      </c>
    </row>
    <row r="4120" spans="2:2" ht="15.6">
      <c r="B4120" s="197">
        <v>18.146069356654742</v>
      </c>
    </row>
    <row r="4121" spans="2:2" ht="15.6">
      <c r="B4121" s="197">
        <v>18.325433305203454</v>
      </c>
    </row>
    <row r="4122" spans="2:2" ht="15.6">
      <c r="B4122" s="197">
        <v>18.039116267420301</v>
      </c>
    </row>
    <row r="4123" spans="2:2" ht="15.6">
      <c r="B4123" s="197">
        <v>18.034710730818965</v>
      </c>
    </row>
    <row r="4124" spans="2:2" ht="15.6">
      <c r="B4124" s="197">
        <v>17.735484124564444</v>
      </c>
    </row>
    <row r="4125" spans="2:2" ht="15.6">
      <c r="B4125" s="197">
        <v>18.345403741050749</v>
      </c>
    </row>
    <row r="4126" spans="2:2" ht="15.6">
      <c r="B4126" s="197">
        <v>17.879667693849665</v>
      </c>
    </row>
    <row r="4127" spans="2:2" ht="15.6">
      <c r="B4127" s="197">
        <v>18.067703377869247</v>
      </c>
    </row>
    <row r="4128" spans="2:2" ht="15.6">
      <c r="B4128" s="197">
        <v>18.20294190282371</v>
      </c>
    </row>
    <row r="4129" spans="2:2" ht="15.6">
      <c r="B4129" s="197">
        <v>18.260864400550641</v>
      </c>
    </row>
    <row r="4130" spans="2:2" ht="15.6">
      <c r="B4130" s="197">
        <v>18.630615209866715</v>
      </c>
    </row>
    <row r="4131" spans="2:2" ht="15.6">
      <c r="B4131" s="197">
        <v>18.029879037356029</v>
      </c>
    </row>
    <row r="4132" spans="2:2" ht="15.6">
      <c r="B4132" s="197">
        <v>17.925618247045275</v>
      </c>
    </row>
    <row r="4133" spans="2:2" ht="15.6">
      <c r="B4133" s="197">
        <v>18.148282887017558</v>
      </c>
    </row>
    <row r="4134" spans="2:2" ht="15.6">
      <c r="B4134" s="197">
        <v>18.591970203898565</v>
      </c>
    </row>
    <row r="4135" spans="2:2" ht="15.6">
      <c r="B4135" s="197">
        <v>18.214530575209555</v>
      </c>
    </row>
    <row r="4136" spans="2:2" ht="15.6">
      <c r="B4136" s="197">
        <v>17.916453516550014</v>
      </c>
    </row>
    <row r="4137" spans="2:2" ht="15.6">
      <c r="B4137" s="197">
        <v>17.966368455070359</v>
      </c>
    </row>
    <row r="4138" spans="2:2" ht="15.6">
      <c r="B4138" s="197">
        <v>17.908010125671311</v>
      </c>
    </row>
    <row r="4139" spans="2:2" ht="15.6">
      <c r="B4139" s="197">
        <v>18.104702438779924</v>
      </c>
    </row>
    <row r="4140" spans="2:2" ht="15.6">
      <c r="B4140" s="197">
        <v>18.070849300364305</v>
      </c>
    </row>
    <row r="4141" spans="2:2" ht="15.6">
      <c r="B4141" s="197">
        <v>17.798877937401521</v>
      </c>
    </row>
    <row r="4142" spans="2:2" ht="15.6">
      <c r="B4142" s="197">
        <v>18.436747363552112</v>
      </c>
    </row>
    <row r="4143" spans="2:2" ht="15.6">
      <c r="B4143" s="197">
        <v>18.080596958432501</v>
      </c>
    </row>
    <row r="4144" spans="2:2" ht="15.6">
      <c r="B4144" s="197">
        <v>17.98568554963833</v>
      </c>
    </row>
    <row r="4145" spans="2:2" ht="15.6">
      <c r="B4145" s="197">
        <v>17.828485121396955</v>
      </c>
    </row>
    <row r="4146" spans="2:2" ht="15.6">
      <c r="B4146" s="197">
        <v>18.001743759332985</v>
      </c>
    </row>
    <row r="4147" spans="2:2" ht="15.6">
      <c r="B4147" s="197">
        <v>17.836327187759785</v>
      </c>
    </row>
    <row r="4148" spans="2:2" ht="15.6">
      <c r="B4148" s="197">
        <v>18.464489928837267</v>
      </c>
    </row>
    <row r="4149" spans="2:2" ht="15.6">
      <c r="B4149" s="197">
        <v>18.401093369100426</v>
      </c>
    </row>
    <row r="4150" spans="2:2" ht="15.6">
      <c r="B4150" s="197">
        <v>18.209480148081767</v>
      </c>
    </row>
    <row r="4151" spans="2:2" ht="15.6">
      <c r="B4151" s="197">
        <v>18.188309555817884</v>
      </c>
    </row>
    <row r="4152" spans="2:2" ht="15.6">
      <c r="B4152" s="197">
        <v>18.213017435247654</v>
      </c>
    </row>
    <row r="4153" spans="2:2" ht="15.6">
      <c r="B4153" s="197">
        <v>18.286623882577231</v>
      </c>
    </row>
    <row r="4154" spans="2:2" ht="15.6">
      <c r="B4154" s="197">
        <v>18.290509500680947</v>
      </c>
    </row>
    <row r="4155" spans="2:2" ht="15.6">
      <c r="B4155" s="197">
        <v>18.088974111972242</v>
      </c>
    </row>
    <row r="4156" spans="2:2" ht="15.6">
      <c r="B4156" s="197">
        <v>18.491129515549638</v>
      </c>
    </row>
    <row r="4157" spans="2:2" ht="15.6">
      <c r="B4157" s="197">
        <v>18.191697491172725</v>
      </c>
    </row>
    <row r="4158" spans="2:2" ht="15.6">
      <c r="B4158" s="197">
        <v>18.049957942314009</v>
      </c>
    </row>
    <row r="4159" spans="2:2" ht="15.6">
      <c r="B4159" s="197">
        <v>17.827512902592893</v>
      </c>
    </row>
    <row r="4160" spans="2:2" ht="15.6">
      <c r="B4160" s="197">
        <v>18.20378091850122</v>
      </c>
    </row>
    <row r="4161" spans="2:2" ht="15.6">
      <c r="B4161" s="197">
        <v>17.987197470190548</v>
      </c>
    </row>
    <row r="4162" spans="2:2" ht="15.6">
      <c r="B4162" s="197">
        <v>18.106027988491515</v>
      </c>
    </row>
    <row r="4163" spans="2:2" ht="15.6">
      <c r="B4163" s="197">
        <v>18.089331025034824</v>
      </c>
    </row>
    <row r="4164" spans="2:2" ht="15.6">
      <c r="B4164" s="197">
        <v>18.170965290747588</v>
      </c>
    </row>
    <row r="4165" spans="2:2" ht="15.6">
      <c r="B4165" s="197">
        <v>18.143224004294819</v>
      </c>
    </row>
    <row r="4166" spans="2:2" ht="15.6">
      <c r="B4166" s="197">
        <v>17.912638312290532</v>
      </c>
    </row>
    <row r="4167" spans="2:2" ht="15.6">
      <c r="B4167" s="197">
        <v>18.471625454903371</v>
      </c>
    </row>
    <row r="4168" spans="2:2" ht="15.6">
      <c r="B4168" s="197">
        <v>18.249268845385387</v>
      </c>
    </row>
    <row r="4169" spans="2:2" ht="15.6">
      <c r="B4169" s="197">
        <v>18.111487214876401</v>
      </c>
    </row>
    <row r="4170" spans="2:2" ht="15.6">
      <c r="B4170" s="197">
        <v>18.20439089666483</v>
      </c>
    </row>
    <row r="4171" spans="2:2" ht="15.6">
      <c r="B4171" s="197">
        <v>18.30705484670866</v>
      </c>
    </row>
    <row r="4172" spans="2:2" ht="15.6">
      <c r="B4172" s="197">
        <v>18.355339658276137</v>
      </c>
    </row>
    <row r="4173" spans="2:2" ht="15.6">
      <c r="B4173" s="197">
        <v>18.396788905711176</v>
      </c>
    </row>
    <row r="4174" spans="2:2" ht="15.6">
      <c r="B4174" s="197">
        <v>18.240074886788662</v>
      </c>
    </row>
    <row r="4175" spans="2:2" ht="15.6">
      <c r="B4175" s="197">
        <v>18.310837974707749</v>
      </c>
    </row>
    <row r="4176" spans="2:2" ht="15.6">
      <c r="B4176" s="197">
        <v>18.421428409461065</v>
      </c>
    </row>
    <row r="4177" spans="2:2" ht="15.6">
      <c r="B4177" s="197">
        <v>17.871233786281689</v>
      </c>
    </row>
    <row r="4178" spans="2:2" ht="15.6">
      <c r="B4178" s="197">
        <v>18.299134166429528</v>
      </c>
    </row>
    <row r="4179" spans="2:2" ht="15.6">
      <c r="B4179" s="197">
        <v>18.431976488252175</v>
      </c>
    </row>
    <row r="4180" spans="2:2" ht="15.6">
      <c r="B4180" s="197">
        <v>18.124449078888802</v>
      </c>
    </row>
    <row r="4181" spans="2:2" ht="15.6">
      <c r="B4181" s="197">
        <v>18.426673880514361</v>
      </c>
    </row>
    <row r="4182" spans="2:2" ht="15.6">
      <c r="B4182" s="197">
        <v>18.174459405428614</v>
      </c>
    </row>
    <row r="4183" spans="2:2" ht="15.6">
      <c r="B4183" s="197">
        <v>18.054211068217771</v>
      </c>
    </row>
    <row r="4184" spans="2:2" ht="15.6">
      <c r="B4184" s="197">
        <v>18.287462253304291</v>
      </c>
    </row>
    <row r="4185" spans="2:2" ht="15.6">
      <c r="B4185" s="197">
        <v>18.316351672269779</v>
      </c>
    </row>
    <row r="4186" spans="2:2" ht="15.6">
      <c r="B4186" s="197">
        <v>18.012755416129572</v>
      </c>
    </row>
    <row r="4187" spans="2:2" ht="15.6">
      <c r="B4187" s="197">
        <v>18.096091792882419</v>
      </c>
    </row>
    <row r="4188" spans="2:2" ht="15.6">
      <c r="B4188" s="197">
        <v>18.246337136702309</v>
      </c>
    </row>
    <row r="4189" spans="2:2" ht="15.6">
      <c r="B4189" s="197">
        <v>18.302327912450068</v>
      </c>
    </row>
    <row r="4190" spans="2:2" ht="15.6">
      <c r="B4190" s="197">
        <v>18.488171823664263</v>
      </c>
    </row>
    <row r="4191" spans="2:2" ht="15.6">
      <c r="B4191" s="197">
        <v>18.116944917891949</v>
      </c>
    </row>
    <row r="4192" spans="2:2" ht="15.6">
      <c r="B4192" s="197">
        <v>18.137150954304364</v>
      </c>
    </row>
    <row r="4193" spans="2:2" ht="15.6">
      <c r="B4193" s="197">
        <v>17.966828432236305</v>
      </c>
    </row>
    <row r="4194" spans="2:2" ht="15.6">
      <c r="B4194" s="197">
        <v>18.387647015522077</v>
      </c>
    </row>
    <row r="4195" spans="2:2" ht="15.6">
      <c r="B4195" s="197">
        <v>18.06369800354469</v>
      </c>
    </row>
    <row r="4196" spans="2:2" ht="15.6">
      <c r="B4196" s="197">
        <v>18.13848470835503</v>
      </c>
    </row>
    <row r="4197" spans="2:2" ht="15.6">
      <c r="B4197" s="197">
        <v>18.095912548474761</v>
      </c>
    </row>
    <row r="4198" spans="2:2" ht="15.6">
      <c r="B4198" s="197">
        <v>17.977474854539281</v>
      </c>
    </row>
    <row r="4199" spans="2:2" ht="15.6">
      <c r="B4199" s="197">
        <v>18.020921085852365</v>
      </c>
    </row>
    <row r="4200" spans="2:2" ht="15.6">
      <c r="B4200" s="197">
        <v>18.429952355824952</v>
      </c>
    </row>
    <row r="4201" spans="2:2" ht="15.6">
      <c r="B4201" s="197">
        <v>18.161184277766999</v>
      </c>
    </row>
    <row r="4202" spans="2:2" ht="15.6">
      <c r="B4202" s="197">
        <v>18.681111163339207</v>
      </c>
    </row>
    <row r="4203" spans="2:2" ht="15.6">
      <c r="B4203" s="197">
        <v>18.209371572986925</v>
      </c>
    </row>
    <row r="4204" spans="2:2" ht="15.6">
      <c r="B4204" s="197">
        <v>18.394072602465897</v>
      </c>
    </row>
    <row r="4205" spans="2:2" ht="15.6">
      <c r="B4205" s="197">
        <v>18.049850331404397</v>
      </c>
    </row>
    <row r="4206" spans="2:2" ht="15.6">
      <c r="B4206" s="197">
        <v>18.362825747739922</v>
      </c>
    </row>
    <row r="4207" spans="2:2" ht="15.6">
      <c r="B4207" s="197">
        <v>18.071021062446896</v>
      </c>
    </row>
    <row r="4208" spans="2:2" ht="15.6">
      <c r="B4208" s="197">
        <v>17.98381134986985</v>
      </c>
    </row>
    <row r="4209" spans="2:2" ht="15.6">
      <c r="B4209" s="197">
        <v>17.944255327025235</v>
      </c>
    </row>
    <row r="4210" spans="2:2" ht="15.6">
      <c r="B4210" s="197">
        <v>17.88061077946475</v>
      </c>
    </row>
    <row r="4211" spans="2:2" ht="15.6">
      <c r="B4211" s="197">
        <v>18.229219384783509</v>
      </c>
    </row>
    <row r="4212" spans="2:2" ht="15.6">
      <c r="B4212" s="197">
        <v>17.960840864518929</v>
      </c>
    </row>
    <row r="4213" spans="2:2" ht="15.6">
      <c r="B4213" s="197">
        <v>18.235716216966317</v>
      </c>
    </row>
    <row r="4214" spans="2:2" ht="15.6">
      <c r="B4214" s="197">
        <v>18.181225562154751</v>
      </c>
    </row>
    <row r="4215" spans="2:2" ht="15.6">
      <c r="B4215" s="197">
        <v>18.088048882572803</v>
      </c>
    </row>
    <row r="4216" spans="2:2" ht="15.6">
      <c r="B4216" s="197">
        <v>17.9120901658451</v>
      </c>
    </row>
    <row r="4217" spans="2:2" ht="15.6">
      <c r="B4217" s="197">
        <v>18.367530272318817</v>
      </c>
    </row>
    <row r="4218" spans="2:2" ht="15.6">
      <c r="B4218" s="197">
        <v>18.040689091342298</v>
      </c>
    </row>
    <row r="4219" spans="2:2" ht="15.6">
      <c r="B4219" s="197">
        <v>17.600228155412076</v>
      </c>
    </row>
    <row r="4220" spans="2:2" ht="15.6">
      <c r="B4220" s="197">
        <v>18.300224867722349</v>
      </c>
    </row>
    <row r="4221" spans="2:2" ht="15.6">
      <c r="B4221" s="197">
        <v>18.243275331857511</v>
      </c>
    </row>
    <row r="4222" spans="2:2" ht="15.6">
      <c r="B4222" s="197">
        <v>18.337564714889041</v>
      </c>
    </row>
    <row r="4223" spans="2:2" ht="15.6">
      <c r="B4223" s="197">
        <v>17.916815724203232</v>
      </c>
    </row>
    <row r="4224" spans="2:2" ht="15.6">
      <c r="B4224" s="197">
        <v>17.976066883451946</v>
      </c>
    </row>
    <row r="4225" spans="2:2" ht="15.6">
      <c r="B4225" s="197">
        <v>18.258543482159787</v>
      </c>
    </row>
    <row r="4226" spans="2:2" ht="15.6">
      <c r="B4226" s="197">
        <v>18.319055797425634</v>
      </c>
    </row>
    <row r="4227" spans="2:2" ht="15.6">
      <c r="B4227" s="197">
        <v>18.24395970132916</v>
      </c>
    </row>
    <row r="4228" spans="2:2" ht="15.6">
      <c r="B4228" s="197">
        <v>18.238731466801273</v>
      </c>
    </row>
    <row r="4229" spans="2:2" ht="15.6">
      <c r="B4229" s="197">
        <v>18.54096896631728</v>
      </c>
    </row>
    <row r="4230" spans="2:2" ht="15.6">
      <c r="B4230" s="197">
        <v>18.089597548186557</v>
      </c>
    </row>
    <row r="4231" spans="2:2" ht="15.6">
      <c r="B4231" s="197">
        <v>18.092795270308365</v>
      </c>
    </row>
    <row r="4232" spans="2:2" ht="15.6">
      <c r="B4232" s="197">
        <v>18.130675827442317</v>
      </c>
    </row>
    <row r="4233" spans="2:2" ht="15.6">
      <c r="B4233" s="197">
        <v>18.113992966026576</v>
      </c>
    </row>
    <row r="4234" spans="2:2" ht="15.6">
      <c r="B4234" s="197">
        <v>17.864274740877697</v>
      </c>
    </row>
    <row r="4235" spans="2:2" ht="15.6">
      <c r="B4235" s="197">
        <v>17.764752686446311</v>
      </c>
    </row>
    <row r="4236" spans="2:2" ht="15.6">
      <c r="B4236" s="197">
        <v>18.10399186300339</v>
      </c>
    </row>
    <row r="4237" spans="2:2" ht="15.6">
      <c r="B4237" s="197">
        <v>18.080649348321813</v>
      </c>
    </row>
    <row r="4238" spans="2:2" ht="15.6">
      <c r="B4238" s="197">
        <v>17.911738018906409</v>
      </c>
    </row>
    <row r="4239" spans="2:2" ht="15.6">
      <c r="B4239" s="197">
        <v>17.9615788620657</v>
      </c>
    </row>
    <row r="4240" spans="2:2" ht="15.6">
      <c r="B4240" s="197">
        <v>18.128267721912501</v>
      </c>
    </row>
    <row r="4241" spans="2:2" ht="15.6">
      <c r="B4241" s="197">
        <v>18.414813374593415</v>
      </c>
    </row>
    <row r="4242" spans="2:2" ht="15.6">
      <c r="B4242" s="197">
        <v>18.284935195850846</v>
      </c>
    </row>
    <row r="4243" spans="2:2" ht="15.6">
      <c r="B4243" s="197">
        <v>18.215668165167951</v>
      </c>
    </row>
    <row r="4244" spans="2:2" ht="15.6">
      <c r="B4244" s="197">
        <v>18.333377805299133</v>
      </c>
    </row>
    <row r="4245" spans="2:2" ht="15.6">
      <c r="B4245" s="197">
        <v>18.265453143173929</v>
      </c>
    </row>
    <row r="4246" spans="2:2" ht="15.6">
      <c r="B4246" s="197">
        <v>18.001646551422308</v>
      </c>
    </row>
    <row r="4247" spans="2:2" ht="15.6">
      <c r="B4247" s="197">
        <v>18.481631805716813</v>
      </c>
    </row>
    <row r="4248" spans="2:2" ht="15.6">
      <c r="B4248" s="197">
        <v>18.308222096381311</v>
      </c>
    </row>
    <row r="4249" spans="2:2" ht="15.6">
      <c r="B4249" s="197">
        <v>18.261196780772977</v>
      </c>
    </row>
    <row r="4250" spans="2:2" ht="15.6">
      <c r="B4250" s="197">
        <v>18.111501924579049</v>
      </c>
    </row>
    <row r="4251" spans="2:2" ht="15.6">
      <c r="B4251" s="197">
        <v>18.152143528562803</v>
      </c>
    </row>
    <row r="4252" spans="2:2" ht="15.6">
      <c r="B4252" s="197">
        <v>18.046589783971246</v>
      </c>
    </row>
    <row r="4253" spans="2:2" ht="15.6">
      <c r="B4253" s="197">
        <v>18.243707564088389</v>
      </c>
    </row>
    <row r="4254" spans="2:2" ht="15.6">
      <c r="B4254" s="197">
        <v>17.951101289674238</v>
      </c>
    </row>
    <row r="4255" spans="2:2" ht="15.6">
      <c r="B4255" s="197">
        <v>18.325417181815123</v>
      </c>
    </row>
    <row r="4256" spans="2:2" ht="15.6">
      <c r="B4256" s="197">
        <v>18.207916180832232</v>
      </c>
    </row>
    <row r="4257" spans="2:2" ht="15.6">
      <c r="B4257" s="197">
        <v>18.030830637732752</v>
      </c>
    </row>
    <row r="4258" spans="2:2" ht="15.6">
      <c r="B4258" s="197">
        <v>17.773028796410706</v>
      </c>
    </row>
    <row r="4259" spans="2:2" ht="15.6">
      <c r="B4259" s="197">
        <v>18.520654211463224</v>
      </c>
    </row>
    <row r="4260" spans="2:2" ht="15.6">
      <c r="B4260" s="197">
        <v>18.681831828911719</v>
      </c>
    </row>
    <row r="4261" spans="2:2" ht="15.6">
      <c r="B4261" s="197">
        <v>18.245432316824004</v>
      </c>
    </row>
    <row r="4262" spans="2:2" ht="15.6">
      <c r="B4262" s="197">
        <v>18.323211681736186</v>
      </c>
    </row>
    <row r="4263" spans="2:2" ht="15.6">
      <c r="B4263" s="197">
        <v>18.028965302626254</v>
      </c>
    </row>
    <row r="4264" spans="2:2" ht="15.6">
      <c r="B4264" s="197">
        <v>18.064729399933892</v>
      </c>
    </row>
    <row r="4265" spans="2:2" ht="15.6">
      <c r="B4265" s="197">
        <v>18.155411237163793</v>
      </c>
    </row>
    <row r="4266" spans="2:2" ht="15.6">
      <c r="B4266" s="197">
        <v>18.256387466794269</v>
      </c>
    </row>
    <row r="4267" spans="2:2" ht="15.6">
      <c r="B4267" s="197">
        <v>18.087359130606924</v>
      </c>
    </row>
    <row r="4268" spans="2:2" ht="15.6">
      <c r="B4268" s="197">
        <v>17.868303485311777</v>
      </c>
    </row>
    <row r="4269" spans="2:2" ht="15.6">
      <c r="B4269" s="197">
        <v>18.389917343200736</v>
      </c>
    </row>
    <row r="4270" spans="2:2" ht="15.6">
      <c r="B4270" s="197">
        <v>18.151078389815485</v>
      </c>
    </row>
    <row r="4271" spans="2:2" ht="15.6">
      <c r="B4271" s="197">
        <v>17.856640460415612</v>
      </c>
    </row>
    <row r="4272" spans="2:2" ht="15.6">
      <c r="B4272" s="197">
        <v>18.518373970155665</v>
      </c>
    </row>
    <row r="4273" spans="2:2" ht="15.6">
      <c r="B4273" s="197">
        <v>18.199150760018316</v>
      </c>
    </row>
    <row r="4274" spans="2:2" ht="15.6">
      <c r="B4274" s="197">
        <v>18.108239327150294</v>
      </c>
    </row>
    <row r="4275" spans="2:2" ht="15.6">
      <c r="B4275" s="197">
        <v>18.230488473869038</v>
      </c>
    </row>
    <row r="4276" spans="2:2" ht="15.6">
      <c r="B4276" s="197">
        <v>17.836199708029561</v>
      </c>
    </row>
    <row r="4277" spans="2:2" ht="15.6">
      <c r="B4277" s="197">
        <v>18.088903758603426</v>
      </c>
    </row>
    <row r="4278" spans="2:2" ht="15.6">
      <c r="B4278" s="197">
        <v>18.053515153517495</v>
      </c>
    </row>
    <row r="4279" spans="2:2" ht="15.6">
      <c r="B4279" s="197">
        <v>18.398867462842549</v>
      </c>
    </row>
    <row r="4280" spans="2:2" ht="15.6">
      <c r="B4280" s="197">
        <v>18.147256094678497</v>
      </c>
    </row>
    <row r="4281" spans="2:2" ht="15.6">
      <c r="B4281" s="197">
        <v>18.32417051528736</v>
      </c>
    </row>
    <row r="4282" spans="2:2" ht="15.6">
      <c r="B4282" s="197">
        <v>18.206608897462196</v>
      </c>
    </row>
    <row r="4283" spans="2:2" ht="15.6">
      <c r="B4283" s="197">
        <v>18.221715090038458</v>
      </c>
    </row>
    <row r="4284" spans="2:2" ht="15.6">
      <c r="B4284" s="197">
        <v>17.849006445814876</v>
      </c>
    </row>
    <row r="4285" spans="2:2" ht="15.6">
      <c r="B4285" s="197">
        <v>18.437835243371225</v>
      </c>
    </row>
    <row r="4286" spans="2:2" ht="15.6">
      <c r="B4286" s="197">
        <v>18.216960713828893</v>
      </c>
    </row>
    <row r="4287" spans="2:2" ht="15.6">
      <c r="B4287" s="197">
        <v>18.228770021809165</v>
      </c>
    </row>
    <row r="4288" spans="2:2" ht="15.6">
      <c r="B4288" s="197">
        <v>18.178439538671537</v>
      </c>
    </row>
    <row r="4289" spans="2:2" ht="15.6">
      <c r="B4289" s="197">
        <v>17.925770979783202</v>
      </c>
    </row>
    <row r="4290" spans="2:2" ht="15.6">
      <c r="B4290" s="197">
        <v>18.064295640758651</v>
      </c>
    </row>
    <row r="4291" spans="2:2" ht="15.6">
      <c r="B4291" s="197">
        <v>17.85975750169516</v>
      </c>
    </row>
    <row r="4292" spans="2:2" ht="15.6">
      <c r="B4292" s="197">
        <v>18.432383932256528</v>
      </c>
    </row>
    <row r="4293" spans="2:2" ht="15.6">
      <c r="B4293" s="197">
        <v>17.76179036061912</v>
      </c>
    </row>
    <row r="4294" spans="2:2" ht="15.6">
      <c r="B4294" s="197">
        <v>18.216872790000433</v>
      </c>
    </row>
    <row r="4295" spans="2:2" ht="15.6">
      <c r="B4295" s="197">
        <v>17.964464859822513</v>
      </c>
    </row>
    <row r="4296" spans="2:2" ht="15.6">
      <c r="B4296" s="197">
        <v>18.144096523555334</v>
      </c>
    </row>
    <row r="4297" spans="2:2" ht="15.6">
      <c r="B4297" s="197">
        <v>18.641069682695669</v>
      </c>
    </row>
    <row r="4298" spans="2:2" ht="15.6">
      <c r="B4298" s="197">
        <v>18.307619925978731</v>
      </c>
    </row>
    <row r="4299" spans="2:2" ht="15.6">
      <c r="B4299" s="197">
        <v>17.849334116479596</v>
      </c>
    </row>
    <row r="4300" spans="2:2" ht="15.6">
      <c r="B4300" s="197">
        <v>18.380720484089696</v>
      </c>
    </row>
    <row r="4301" spans="2:2" ht="15.6">
      <c r="B4301" s="197">
        <v>18.209344972608111</v>
      </c>
    </row>
    <row r="4302" spans="2:2" ht="15.6">
      <c r="B4302" s="197">
        <v>18.464365449678041</v>
      </c>
    </row>
    <row r="4303" spans="2:2" ht="15.6">
      <c r="B4303" s="197">
        <v>18.326209369548511</v>
      </c>
    </row>
    <row r="4304" spans="2:2" ht="15.6">
      <c r="B4304" s="197">
        <v>18.025296204081908</v>
      </c>
    </row>
    <row r="4305" spans="2:2" ht="15.6">
      <c r="B4305" s="197">
        <v>18.084908463016912</v>
      </c>
    </row>
    <row r="4306" spans="2:2" ht="15.6">
      <c r="B4306" s="197">
        <v>18.029178935229336</v>
      </c>
    </row>
    <row r="4307" spans="2:2" ht="15.6">
      <c r="B4307" s="197">
        <v>17.980964817378659</v>
      </c>
    </row>
    <row r="4308" spans="2:2" ht="15.6">
      <c r="B4308" s="197">
        <v>18.408012140467811</v>
      </c>
    </row>
    <row r="4309" spans="2:2" ht="15.6">
      <c r="B4309" s="197">
        <v>17.823097392081344</v>
      </c>
    </row>
    <row r="4310" spans="2:2" ht="15.6">
      <c r="B4310" s="197">
        <v>17.700818552352001</v>
      </c>
    </row>
    <row r="4311" spans="2:2" ht="15.6">
      <c r="B4311" s="197">
        <v>18.151489443560841</v>
      </c>
    </row>
    <row r="4312" spans="2:2" ht="15.6">
      <c r="B4312" s="197">
        <v>17.712766856486958</v>
      </c>
    </row>
    <row r="4313" spans="2:2" ht="15.6">
      <c r="B4313" s="197">
        <v>18.539738077822467</v>
      </c>
    </row>
    <row r="4314" spans="2:2" ht="15.6">
      <c r="B4314" s="197">
        <v>18.264125843239285</v>
      </c>
    </row>
    <row r="4315" spans="2:2" ht="15.6">
      <c r="B4315" s="197">
        <v>18.414982672402004</v>
      </c>
    </row>
    <row r="4316" spans="2:2" ht="15.6">
      <c r="B4316" s="197">
        <v>18.384518613998111</v>
      </c>
    </row>
    <row r="4317" spans="2:2" ht="15.6">
      <c r="B4317" s="197">
        <v>18.236566287820533</v>
      </c>
    </row>
    <row r="4318" spans="2:2" ht="15.6">
      <c r="B4318" s="197">
        <v>18.222638101350569</v>
      </c>
    </row>
    <row r="4319" spans="2:2" ht="15.6">
      <c r="B4319" s="197">
        <v>17.709170035580151</v>
      </c>
    </row>
    <row r="4320" spans="2:2" ht="15.6">
      <c r="B4320" s="197">
        <v>17.838865740361925</v>
      </c>
    </row>
    <row r="4321" spans="2:2" ht="15.6">
      <c r="B4321" s="197">
        <v>18.376342414615532</v>
      </c>
    </row>
    <row r="4322" spans="2:2" ht="15.6">
      <c r="B4322" s="197">
        <v>18.068754439628208</v>
      </c>
    </row>
    <row r="4323" spans="2:2" ht="15.6">
      <c r="B4323" s="197">
        <v>18.21439099691079</v>
      </c>
    </row>
    <row r="4324" spans="2:2" ht="15.6">
      <c r="B4324" s="197">
        <v>18.015993240327969</v>
      </c>
    </row>
    <row r="4325" spans="2:2" ht="15.6">
      <c r="B4325" s="197">
        <v>18.11222391478503</v>
      </c>
    </row>
    <row r="4326" spans="2:2" ht="15.6">
      <c r="B4326" s="197">
        <v>18.337396856541435</v>
      </c>
    </row>
    <row r="4327" spans="2:2" ht="15.6">
      <c r="B4327" s="197">
        <v>18.363375286411213</v>
      </c>
    </row>
    <row r="4328" spans="2:2" ht="15.6">
      <c r="B4328" s="197">
        <v>18.293625100710411</v>
      </c>
    </row>
    <row r="4329" spans="2:2" ht="15.6">
      <c r="B4329" s="197">
        <v>17.95606999999319</v>
      </c>
    </row>
    <row r="4330" spans="2:2" ht="15.6">
      <c r="B4330" s="197">
        <v>18.359402871480032</v>
      </c>
    </row>
    <row r="4331" spans="2:2" ht="15.6">
      <c r="B4331" s="197">
        <v>18.270147550402207</v>
      </c>
    </row>
    <row r="4332" spans="2:2" ht="15.6">
      <c r="B4332" s="197">
        <v>17.938611749318241</v>
      </c>
    </row>
    <row r="4333" spans="2:2" ht="15.6">
      <c r="B4333" s="197">
        <v>17.835610569948244</v>
      </c>
    </row>
    <row r="4334" spans="2:2" ht="15.6">
      <c r="B4334" s="197">
        <v>18.024545953221047</v>
      </c>
    </row>
    <row r="4335" spans="2:2" ht="15.6">
      <c r="B4335" s="197">
        <v>18.643813755483645</v>
      </c>
    </row>
    <row r="4336" spans="2:2" ht="15.6">
      <c r="B4336" s="197">
        <v>18.229494361824965</v>
      </c>
    </row>
    <row r="4337" spans="2:2" ht="15.6">
      <c r="B4337" s="197">
        <v>18.078374864539036</v>
      </c>
    </row>
    <row r="4338" spans="2:2" ht="15.6">
      <c r="B4338" s="197">
        <v>18.04416390137731</v>
      </c>
    </row>
    <row r="4339" spans="2:2" ht="15.6">
      <c r="B4339" s="197">
        <v>17.868450432138498</v>
      </c>
    </row>
    <row r="4340" spans="2:2" ht="15.6">
      <c r="B4340" s="197">
        <v>17.981649070415695</v>
      </c>
    </row>
    <row r="4341" spans="2:2" ht="15.6">
      <c r="B4341" s="197">
        <v>18.403701464371391</v>
      </c>
    </row>
    <row r="4342" spans="2:2" ht="15.6">
      <c r="B4342" s="197">
        <v>18.177797878180527</v>
      </c>
    </row>
    <row r="4343" spans="2:2" ht="15.6">
      <c r="B4343" s="197">
        <v>18.112123638659703</v>
      </c>
    </row>
    <row r="4344" spans="2:2" ht="15.6">
      <c r="B4344" s="197">
        <v>18.238823153614476</v>
      </c>
    </row>
    <row r="4345" spans="2:2" ht="15.6">
      <c r="B4345" s="197">
        <v>18.337186211992673</v>
      </c>
    </row>
    <row r="4346" spans="2:2" ht="15.6">
      <c r="B4346" s="197">
        <v>17.9437255128956</v>
      </c>
    </row>
    <row r="4347" spans="2:2" ht="15.6">
      <c r="B4347" s="197">
        <v>18.345381845312449</v>
      </c>
    </row>
    <row r="4348" spans="2:2" ht="15.6">
      <c r="B4348" s="197">
        <v>18.103884908137061</v>
      </c>
    </row>
    <row r="4349" spans="2:2" ht="15.6">
      <c r="B4349" s="197">
        <v>18.222410693391939</v>
      </c>
    </row>
    <row r="4350" spans="2:2" ht="15.6">
      <c r="B4350" s="197">
        <v>18.041364080761159</v>
      </c>
    </row>
    <row r="4351" spans="2:2" ht="15.6">
      <c r="B4351" s="197">
        <v>18.260561495308139</v>
      </c>
    </row>
    <row r="4352" spans="2:2" ht="15.6">
      <c r="B4352" s="197">
        <v>17.731503044181192</v>
      </c>
    </row>
    <row r="4353" spans="2:2" ht="15.6">
      <c r="B4353" s="197">
        <v>18.012963865565339</v>
      </c>
    </row>
    <row r="4354" spans="2:2" ht="15.6">
      <c r="B4354" s="197">
        <v>18.02238289918321</v>
      </c>
    </row>
    <row r="4355" spans="2:2" ht="15.6">
      <c r="B4355" s="197">
        <v>18.049727230681111</v>
      </c>
    </row>
    <row r="4356" spans="2:2" ht="15.6">
      <c r="B4356" s="197">
        <v>18.075818857192974</v>
      </c>
    </row>
    <row r="4357" spans="2:2" ht="15.6">
      <c r="B4357" s="197">
        <v>18.13543916150045</v>
      </c>
    </row>
    <row r="4358" spans="2:2" ht="15.6">
      <c r="B4358" s="197">
        <v>18.255655239048505</v>
      </c>
    </row>
    <row r="4359" spans="2:2" ht="15.6">
      <c r="B4359" s="197">
        <v>18.184013432349367</v>
      </c>
    </row>
    <row r="4360" spans="2:2" ht="15.6">
      <c r="B4360" s="197">
        <v>18.122367401347848</v>
      </c>
    </row>
    <row r="4361" spans="2:2" ht="15.6">
      <c r="B4361" s="197">
        <v>18.120610355818265</v>
      </c>
    </row>
    <row r="4362" spans="2:2" ht="15.6">
      <c r="B4362" s="197">
        <v>18.421028317172997</v>
      </c>
    </row>
    <row r="4363" spans="2:2" ht="15.6">
      <c r="B4363" s="197">
        <v>17.668054007462747</v>
      </c>
    </row>
    <row r="4364" spans="2:2" ht="15.6">
      <c r="B4364" s="197">
        <v>18.152043595026214</v>
      </c>
    </row>
    <row r="4365" spans="2:2" ht="15.6">
      <c r="B4365" s="197">
        <v>17.991543841464022</v>
      </c>
    </row>
    <row r="4366" spans="2:2" ht="15.6">
      <c r="B4366" s="197">
        <v>17.895049331266943</v>
      </c>
    </row>
    <row r="4367" spans="2:2" ht="15.6">
      <c r="B4367" s="197">
        <v>18.335965468401053</v>
      </c>
    </row>
    <row r="4368" spans="2:2" ht="15.6">
      <c r="B4368" s="197">
        <v>18.374516288087516</v>
      </c>
    </row>
    <row r="4369" spans="2:2" ht="15.6">
      <c r="B4369" s="197">
        <v>18.064935184606306</v>
      </c>
    </row>
    <row r="4370" spans="2:2" ht="15.6">
      <c r="B4370" s="197">
        <v>18.1948043147592</v>
      </c>
    </row>
    <row r="4371" spans="2:2" ht="15.6">
      <c r="B4371" s="197">
        <v>17.833988718942784</v>
      </c>
    </row>
    <row r="4372" spans="2:2" ht="15.6">
      <c r="B4372" s="197">
        <v>18.112004368576834</v>
      </c>
    </row>
    <row r="4373" spans="2:2" ht="15.6">
      <c r="B4373" s="197">
        <v>18.285953450117812</v>
      </c>
    </row>
    <row r="4374" spans="2:2" ht="15.6">
      <c r="B4374" s="197">
        <v>18.139861609011628</v>
      </c>
    </row>
    <row r="4375" spans="2:2" ht="15.6">
      <c r="B4375" s="197">
        <v>18.390191941255669</v>
      </c>
    </row>
    <row r="4376" spans="2:2" ht="15.6">
      <c r="B4376" s="197">
        <v>18.151979867753912</v>
      </c>
    </row>
    <row r="4377" spans="2:2" ht="15.6">
      <c r="B4377" s="197">
        <v>17.911990649587878</v>
      </c>
    </row>
    <row r="4378" spans="2:2" ht="15.6">
      <c r="B4378" s="197">
        <v>18.269618020380555</v>
      </c>
    </row>
    <row r="4379" spans="2:2" ht="15.6">
      <c r="B4379" s="197">
        <v>17.946374064755457</v>
      </c>
    </row>
    <row r="4380" spans="2:2" ht="15.6">
      <c r="B4380" s="197">
        <v>17.989020982636283</v>
      </c>
    </row>
    <row r="4381" spans="2:2" ht="15.6">
      <c r="B4381" s="197">
        <v>18.241074641554416</v>
      </c>
    </row>
    <row r="4382" spans="2:2" ht="15.6">
      <c r="B4382" s="197">
        <v>18.187684070069771</v>
      </c>
    </row>
    <row r="4383" spans="2:2" ht="15.6">
      <c r="B4383" s="197">
        <v>18.012457112924341</v>
      </c>
    </row>
    <row r="4384" spans="2:2" ht="15.6">
      <c r="B4384" s="197">
        <v>18.269834986943891</v>
      </c>
    </row>
    <row r="4385" spans="2:2" ht="15.6">
      <c r="B4385" s="197">
        <v>18.361756495427045</v>
      </c>
    </row>
    <row r="4386" spans="2:2" ht="15.6">
      <c r="B4386" s="197">
        <v>18.156570235799954</v>
      </c>
    </row>
    <row r="4387" spans="2:2" ht="15.6">
      <c r="B4387" s="197">
        <v>18.133508950309427</v>
      </c>
    </row>
    <row r="4388" spans="2:2" ht="15.6">
      <c r="B4388" s="197">
        <v>18.136015308129185</v>
      </c>
    </row>
    <row r="4389" spans="2:2" ht="15.6">
      <c r="B4389" s="197">
        <v>18.025467459494116</v>
      </c>
    </row>
    <row r="4390" spans="2:2" ht="15.6">
      <c r="B4390" s="197">
        <v>17.964476497428507</v>
      </c>
    </row>
    <row r="4391" spans="2:2" ht="15.6">
      <c r="B4391" s="197">
        <v>18.102202522365005</v>
      </c>
    </row>
    <row r="4392" spans="2:2" ht="15.6">
      <c r="B4392" s="197">
        <v>17.974035193958137</v>
      </c>
    </row>
    <row r="4393" spans="2:2" ht="15.6">
      <c r="B4393" s="197">
        <v>18.048016391330201</v>
      </c>
    </row>
    <row r="4394" spans="2:2" ht="15.6">
      <c r="B4394" s="197">
        <v>18.432184820912315</v>
      </c>
    </row>
    <row r="4395" spans="2:2" ht="15.6">
      <c r="B4395" s="197">
        <v>18.136397100806452</v>
      </c>
    </row>
    <row r="4396" spans="2:2" ht="15.6">
      <c r="B4396" s="197">
        <v>18.123614042141934</v>
      </c>
    </row>
    <row r="4397" spans="2:2" ht="15.6">
      <c r="B4397" s="197">
        <v>18.396980550034424</v>
      </c>
    </row>
    <row r="4398" spans="2:2" ht="15.6">
      <c r="B4398" s="197">
        <v>18.294174413985381</v>
      </c>
    </row>
    <row r="4399" spans="2:2" ht="15.6">
      <c r="B4399" s="197">
        <v>18.392686865778405</v>
      </c>
    </row>
    <row r="4400" spans="2:2" ht="15.6">
      <c r="B4400" s="197">
        <v>18.192546661007238</v>
      </c>
    </row>
    <row r="4401" spans="2:2" ht="15.6">
      <c r="B4401" s="197">
        <v>18.203283334373612</v>
      </c>
    </row>
    <row r="4402" spans="2:2" ht="15.6">
      <c r="B4402" s="197">
        <v>17.993889761897975</v>
      </c>
    </row>
    <row r="4403" spans="2:2" ht="15.6">
      <c r="B4403" s="197">
        <v>18.172848961321094</v>
      </c>
    </row>
    <row r="4404" spans="2:2" ht="15.6">
      <c r="B4404" s="197">
        <v>18.144028037098565</v>
      </c>
    </row>
    <row r="4405" spans="2:2" ht="15.6">
      <c r="B4405" s="197">
        <v>18.142817340334993</v>
      </c>
    </row>
    <row r="4406" spans="2:2" ht="15.6">
      <c r="B4406" s="197">
        <v>17.82597146461951</v>
      </c>
    </row>
    <row r="4407" spans="2:2" ht="15.6">
      <c r="B4407" s="197">
        <v>18.46444710715204</v>
      </c>
    </row>
    <row r="4408" spans="2:2" ht="15.6">
      <c r="B4408" s="197">
        <v>18.118091507423518</v>
      </c>
    </row>
    <row r="4409" spans="2:2" ht="15.6">
      <c r="B4409" s="197">
        <v>18.118622648226786</v>
      </c>
    </row>
    <row r="4410" spans="2:2" ht="15.6">
      <c r="B4410" s="197">
        <v>18.292854584807195</v>
      </c>
    </row>
    <row r="4411" spans="2:2" ht="15.6">
      <c r="B4411" s="197">
        <v>18.235871893964003</v>
      </c>
    </row>
    <row r="4412" spans="2:2" ht="15.6">
      <c r="B4412" s="197">
        <v>18.502407269946001</v>
      </c>
    </row>
    <row r="4413" spans="2:2" ht="15.6">
      <c r="B4413" s="197">
        <v>18.427229847094075</v>
      </c>
    </row>
    <row r="4414" spans="2:2" ht="15.6">
      <c r="B4414" s="197">
        <v>18.342375070922792</v>
      </c>
    </row>
    <row r="4415" spans="2:2" ht="15.6">
      <c r="B4415" s="197">
        <v>18.02443343026858</v>
      </c>
    </row>
    <row r="4416" spans="2:2" ht="15.6">
      <c r="B4416" s="197">
        <v>18.066410100522344</v>
      </c>
    </row>
    <row r="4417" spans="2:2" ht="15.6">
      <c r="B4417" s="197">
        <v>18.211087692506876</v>
      </c>
    </row>
    <row r="4418" spans="2:2" ht="15.6">
      <c r="B4418" s="197">
        <v>17.989606902510001</v>
      </c>
    </row>
    <row r="4419" spans="2:2" ht="15.6">
      <c r="B4419" s="197">
        <v>17.987672167383923</v>
      </c>
    </row>
    <row r="4420" spans="2:2" ht="15.6">
      <c r="B4420" s="197">
        <v>17.722661127832382</v>
      </c>
    </row>
    <row r="4421" spans="2:2" ht="15.6">
      <c r="B4421" s="197">
        <v>17.887798195338743</v>
      </c>
    </row>
    <row r="4422" spans="2:2" ht="15.6">
      <c r="B4422" s="197">
        <v>18.426713536015779</v>
      </c>
    </row>
    <row r="4423" spans="2:2" ht="15.6">
      <c r="B4423" s="197">
        <v>18.426753466561685</v>
      </c>
    </row>
    <row r="4424" spans="2:2" ht="15.6">
      <c r="B4424" s="197">
        <v>18.417927948856121</v>
      </c>
    </row>
    <row r="4425" spans="2:2" ht="15.6">
      <c r="B4425" s="197">
        <v>18.054764102826553</v>
      </c>
    </row>
    <row r="4426" spans="2:2" ht="15.6">
      <c r="B4426" s="197">
        <v>18.08451966814177</v>
      </c>
    </row>
    <row r="4427" spans="2:2" ht="15.6">
      <c r="B4427" s="197">
        <v>18.16951397001257</v>
      </c>
    </row>
    <row r="4428" spans="2:2" ht="15.6">
      <c r="B4428" s="197">
        <v>18.177220356794425</v>
      </c>
    </row>
    <row r="4429" spans="2:2" ht="15.6">
      <c r="B4429" s="197">
        <v>17.898759297401863</v>
      </c>
    </row>
    <row r="4430" spans="2:2" ht="15.6">
      <c r="B4430" s="197">
        <v>17.937951620147771</v>
      </c>
    </row>
    <row r="4431" spans="2:2" ht="15.6">
      <c r="B4431" s="197">
        <v>18.119051277877826</v>
      </c>
    </row>
    <row r="4432" spans="2:2" ht="15.6">
      <c r="B4432" s="197">
        <v>18.160432366953607</v>
      </c>
    </row>
    <row r="4433" spans="2:2" ht="15.6">
      <c r="B4433" s="197">
        <v>18.020696852743459</v>
      </c>
    </row>
    <row r="4434" spans="2:2" ht="15.6">
      <c r="B4434" s="197">
        <v>18.489551452747911</v>
      </c>
    </row>
    <row r="4435" spans="2:2" ht="15.6">
      <c r="B4435" s="197">
        <v>18.245500264926097</v>
      </c>
    </row>
    <row r="4436" spans="2:2" ht="15.6">
      <c r="B4436" s="197">
        <v>18.053987162148022</v>
      </c>
    </row>
    <row r="4437" spans="2:2" ht="15.6">
      <c r="B4437" s="197">
        <v>17.872030589251015</v>
      </c>
    </row>
    <row r="4438" spans="2:2" ht="15.6">
      <c r="B4438" s="197">
        <v>18.052369778798838</v>
      </c>
    </row>
    <row r="4439" spans="2:2" ht="15.6">
      <c r="B4439" s="197">
        <v>17.789062957110524</v>
      </c>
    </row>
    <row r="4440" spans="2:2" ht="15.6">
      <c r="B4440" s="197">
        <v>17.93783253626118</v>
      </c>
    </row>
    <row r="4441" spans="2:2" ht="15.6">
      <c r="B4441" s="197">
        <v>18.203731628122675</v>
      </c>
    </row>
    <row r="4442" spans="2:2" ht="15.6">
      <c r="B4442" s="197">
        <v>18.351451759250455</v>
      </c>
    </row>
    <row r="4443" spans="2:2" ht="15.6">
      <c r="B4443" s="197">
        <v>18.127100560863166</v>
      </c>
    </row>
    <row r="4444" spans="2:2" ht="15.6">
      <c r="B4444" s="197">
        <v>18.067581502412224</v>
      </c>
    </row>
    <row r="4445" spans="2:2" ht="15.6">
      <c r="B4445" s="197">
        <v>18.273460659623581</v>
      </c>
    </row>
    <row r="4446" spans="2:2" ht="15.6">
      <c r="B4446" s="197">
        <v>18.160896188823568</v>
      </c>
    </row>
    <row r="4447" spans="2:2" ht="15.6">
      <c r="B4447" s="197">
        <v>18.151469131772789</v>
      </c>
    </row>
    <row r="4448" spans="2:2" ht="15.6">
      <c r="B4448" s="197">
        <v>18.25532396196359</v>
      </c>
    </row>
    <row r="4449" spans="2:2" ht="15.6">
      <c r="B4449" s="197">
        <v>18.107440062673689</v>
      </c>
    </row>
    <row r="4450" spans="2:2" ht="15.6">
      <c r="B4450" s="197">
        <v>18.045133899124338</v>
      </c>
    </row>
    <row r="4451" spans="2:2" ht="15.6">
      <c r="B4451" s="197">
        <v>17.800516855726805</v>
      </c>
    </row>
    <row r="4452" spans="2:2" ht="15.6">
      <c r="B4452" s="197">
        <v>18.319652584881887</v>
      </c>
    </row>
    <row r="4453" spans="2:2" ht="15.6">
      <c r="B4453" s="197">
        <v>17.984173269697504</v>
      </c>
    </row>
    <row r="4454" spans="2:2" ht="15.6">
      <c r="B4454" s="197">
        <v>18.11072477610503</v>
      </c>
    </row>
    <row r="4455" spans="2:2" ht="15.6">
      <c r="B4455" s="197">
        <v>17.81480692512875</v>
      </c>
    </row>
    <row r="4456" spans="2:2" ht="15.6">
      <c r="B4456" s="197">
        <v>18.020382837052189</v>
      </c>
    </row>
    <row r="4457" spans="2:2" ht="15.6">
      <c r="B4457" s="197">
        <v>18.090631312508911</v>
      </c>
    </row>
    <row r="4458" spans="2:2" ht="15.6">
      <c r="B4458" s="197">
        <v>18.084032274238449</v>
      </c>
    </row>
    <row r="4459" spans="2:2" ht="15.6">
      <c r="B4459" s="197">
        <v>18.170560188717289</v>
      </c>
    </row>
    <row r="4460" spans="2:2" ht="15.6">
      <c r="B4460" s="197">
        <v>17.877769220792558</v>
      </c>
    </row>
    <row r="4461" spans="2:2" ht="15.6">
      <c r="B4461" s="197">
        <v>18.13303916715703</v>
      </c>
    </row>
    <row r="4462" spans="2:2" ht="15.6">
      <c r="B4462" s="197">
        <v>18.174007313793599</v>
      </c>
    </row>
    <row r="4463" spans="2:2" ht="15.6">
      <c r="B4463" s="197">
        <v>17.845483183643125</v>
      </c>
    </row>
    <row r="4464" spans="2:2" ht="15.6">
      <c r="B4464" s="197">
        <v>17.85928710817716</v>
      </c>
    </row>
    <row r="4465" spans="2:2" ht="15.6">
      <c r="B4465" s="197">
        <v>18.18114930318573</v>
      </c>
    </row>
    <row r="4466" spans="2:2" ht="15.6">
      <c r="B4466" s="197">
        <v>17.793780465077869</v>
      </c>
    </row>
    <row r="4467" spans="2:2" ht="15.6">
      <c r="B4467" s="197">
        <v>18.220105749061858</v>
      </c>
    </row>
    <row r="4468" spans="2:2" ht="15.6">
      <c r="B4468" s="197">
        <v>18.072796987266987</v>
      </c>
    </row>
    <row r="4469" spans="2:2" ht="15.6">
      <c r="B4469" s="197">
        <v>17.876060313697721</v>
      </c>
    </row>
    <row r="4470" spans="2:2" ht="15.6">
      <c r="B4470" s="197">
        <v>18.189544842158416</v>
      </c>
    </row>
    <row r="4471" spans="2:2" ht="15.6">
      <c r="B4471" s="197">
        <v>17.975768389569456</v>
      </c>
    </row>
    <row r="4472" spans="2:2" ht="15.6">
      <c r="B4472" s="197">
        <v>17.972308325951509</v>
      </c>
    </row>
    <row r="4473" spans="2:2" ht="15.6">
      <c r="B4473" s="197">
        <v>18.102048402781374</v>
      </c>
    </row>
    <row r="4474" spans="2:2" ht="15.6">
      <c r="B4474" s="197">
        <v>18.276687809659148</v>
      </c>
    </row>
    <row r="4475" spans="2:2" ht="15.6">
      <c r="B4475" s="197">
        <v>18.124995862089165</v>
      </c>
    </row>
    <row r="4476" spans="2:2" ht="15.6">
      <c r="B4476" s="197">
        <v>18.305813598961407</v>
      </c>
    </row>
    <row r="4477" spans="2:2" ht="15.6">
      <c r="B4477" s="197">
        <v>18.21869577893251</v>
      </c>
    </row>
    <row r="4478" spans="2:2" ht="15.6">
      <c r="B4478" s="197">
        <v>18.102185535611927</v>
      </c>
    </row>
    <row r="4479" spans="2:2" ht="15.6">
      <c r="B4479" s="197">
        <v>18.2816105846412</v>
      </c>
    </row>
    <row r="4480" spans="2:2" ht="15.6">
      <c r="B4480" s="197">
        <v>18.136605910148628</v>
      </c>
    </row>
    <row r="4481" spans="2:2" ht="15.6">
      <c r="B4481" s="197">
        <v>18.118712296771314</v>
      </c>
    </row>
    <row r="4482" spans="2:2" ht="15.6">
      <c r="B4482" s="197">
        <v>17.966344838140721</v>
      </c>
    </row>
    <row r="4483" spans="2:2" ht="15.6">
      <c r="B4483" s="197">
        <v>18.014278407744371</v>
      </c>
    </row>
    <row r="4484" spans="2:2" ht="15.6">
      <c r="B4484" s="197">
        <v>17.891769766974281</v>
      </c>
    </row>
    <row r="4485" spans="2:2" ht="15.6">
      <c r="B4485" s="197">
        <v>17.957377209846488</v>
      </c>
    </row>
    <row r="4486" spans="2:2" ht="15.6">
      <c r="B4486" s="197">
        <v>18.242866567239442</v>
      </c>
    </row>
    <row r="4487" spans="2:2" ht="15.6">
      <c r="B4487" s="197">
        <v>18.237598011690384</v>
      </c>
    </row>
    <row r="4488" spans="2:2" ht="15.6">
      <c r="B4488" s="197">
        <v>18.120368352319304</v>
      </c>
    </row>
    <row r="4489" spans="2:2" ht="15.6">
      <c r="B4489" s="197">
        <v>18.089255968085407</v>
      </c>
    </row>
    <row r="4490" spans="2:2" ht="15.6">
      <c r="B4490" s="197">
        <v>18.020672084141356</v>
      </c>
    </row>
    <row r="4491" spans="2:2" ht="15.6">
      <c r="B4491" s="197">
        <v>18.01932041627547</v>
      </c>
    </row>
    <row r="4492" spans="2:2" ht="15.6">
      <c r="B4492" s="197">
        <v>17.715263506863437</v>
      </c>
    </row>
    <row r="4493" spans="2:2" ht="15.6">
      <c r="B4493" s="197">
        <v>18.005807682520885</v>
      </c>
    </row>
    <row r="4494" spans="2:2" ht="15.6">
      <c r="B4494" s="197">
        <v>17.990779786741282</v>
      </c>
    </row>
    <row r="4495" spans="2:2" ht="15.6">
      <c r="B4495" s="197">
        <v>17.903479067648981</v>
      </c>
    </row>
    <row r="4496" spans="2:2" ht="15.6">
      <c r="B4496" s="197">
        <v>18.20748410147829</v>
      </c>
    </row>
    <row r="4497" spans="2:2" ht="15.6">
      <c r="B4497" s="197">
        <v>18.221831466738283</v>
      </c>
    </row>
    <row r="4498" spans="2:2" ht="15.6">
      <c r="B4498" s="197">
        <v>18.213680204068488</v>
      </c>
    </row>
    <row r="4499" spans="2:2" ht="15.6">
      <c r="B4499" s="197">
        <v>18.36731351243947</v>
      </c>
    </row>
    <row r="4500" spans="2:2" ht="15.6">
      <c r="B4500" s="197">
        <v>17.744360711814899</v>
      </c>
    </row>
    <row r="4501" spans="2:2" ht="15.6">
      <c r="B4501" s="197">
        <v>18.345652372452573</v>
      </c>
    </row>
    <row r="4502" spans="2:2" ht="15.6">
      <c r="B4502" s="197">
        <v>18.066077496906519</v>
      </c>
    </row>
    <row r="4503" spans="2:2" ht="15.6">
      <c r="B4503" s="197">
        <v>18.059761285559187</v>
      </c>
    </row>
    <row r="4504" spans="2:2" ht="15.6">
      <c r="B4504" s="197">
        <v>18.245387202197644</v>
      </c>
    </row>
    <row r="4505" spans="2:2" ht="15.6">
      <c r="B4505" s="197">
        <v>18.48298907506042</v>
      </c>
    </row>
    <row r="4506" spans="2:2" ht="15.6">
      <c r="B4506" s="197">
        <v>17.849845147091411</v>
      </c>
    </row>
    <row r="4507" spans="2:2" ht="15.6">
      <c r="B4507" s="197">
        <v>18.085587380695369</v>
      </c>
    </row>
    <row r="4508" spans="2:2" ht="15.6">
      <c r="B4508" s="197">
        <v>18.533457579836377</v>
      </c>
    </row>
    <row r="4509" spans="2:2" ht="15.6">
      <c r="B4509" s="197">
        <v>18.131868752322227</v>
      </c>
    </row>
    <row r="4510" spans="2:2" ht="15.6">
      <c r="B4510" s="197">
        <v>17.823268365434981</v>
      </c>
    </row>
    <row r="4511" spans="2:2" ht="15.6">
      <c r="B4511" s="197">
        <v>17.67029515953605</v>
      </c>
    </row>
    <row r="4512" spans="2:2" ht="15.6">
      <c r="B4512" s="197">
        <v>18.188402493523245</v>
      </c>
    </row>
    <row r="4513" spans="2:2" ht="15.6">
      <c r="B4513" s="197">
        <v>18.042254041462147</v>
      </c>
    </row>
    <row r="4514" spans="2:2" ht="15.6">
      <c r="B4514" s="197">
        <v>18.195304816813966</v>
      </c>
    </row>
    <row r="4515" spans="2:2" ht="15.6">
      <c r="B4515" s="197">
        <v>18.069309880542701</v>
      </c>
    </row>
    <row r="4516" spans="2:2" ht="15.6">
      <c r="B4516" s="197">
        <v>18.211428662959658</v>
      </c>
    </row>
    <row r="4517" spans="2:2" ht="15.6">
      <c r="B4517" s="197">
        <v>18.301187992151249</v>
      </c>
    </row>
    <row r="4518" spans="2:2" ht="15.6">
      <c r="B4518" s="197">
        <v>18.291793691742331</v>
      </c>
    </row>
    <row r="4519" spans="2:2" ht="15.6">
      <c r="B4519" s="197">
        <v>17.99891669024348</v>
      </c>
    </row>
    <row r="4520" spans="2:2" ht="15.6">
      <c r="B4520" s="197">
        <v>17.964283277974811</v>
      </c>
    </row>
    <row r="4521" spans="2:2" ht="15.6">
      <c r="B4521" s="197">
        <v>18.028151577790211</v>
      </c>
    </row>
    <row r="4522" spans="2:2" ht="15.6">
      <c r="B4522" s="197">
        <v>18.782892791984569</v>
      </c>
    </row>
    <row r="4523" spans="2:2" ht="15.6">
      <c r="B4523" s="197">
        <v>18.48405340627157</v>
      </c>
    </row>
    <row r="4524" spans="2:2" ht="15.6">
      <c r="B4524" s="197">
        <v>17.927852877251144</v>
      </c>
    </row>
    <row r="4525" spans="2:2" ht="15.6">
      <c r="B4525" s="197">
        <v>18.253242069707213</v>
      </c>
    </row>
    <row r="4526" spans="2:2" ht="15.6">
      <c r="B4526" s="197">
        <v>17.856858377829941</v>
      </c>
    </row>
    <row r="4527" spans="2:2" ht="15.6">
      <c r="B4527" s="197">
        <v>18.080370848084218</v>
      </c>
    </row>
    <row r="4528" spans="2:2" ht="15.6">
      <c r="B4528" s="197">
        <v>18.192538925161482</v>
      </c>
    </row>
    <row r="4529" spans="2:2" ht="15.6">
      <c r="B4529" s="197">
        <v>18.258036515874124</v>
      </c>
    </row>
    <row r="4530" spans="2:2" ht="15.6">
      <c r="B4530" s="197">
        <v>18.33000472196743</v>
      </c>
    </row>
    <row r="4531" spans="2:2" ht="15.6">
      <c r="B4531" s="197">
        <v>18.307430147284116</v>
      </c>
    </row>
    <row r="4532" spans="2:2" ht="15.6">
      <c r="B4532" s="197">
        <v>17.728474947715547</v>
      </c>
    </row>
    <row r="4533" spans="2:2" ht="15.6">
      <c r="B4533" s="197">
        <v>18.2788044767264</v>
      </c>
    </row>
    <row r="4534" spans="2:2" ht="15.6">
      <c r="B4534" s="197">
        <v>18.241813266471016</v>
      </c>
    </row>
    <row r="4535" spans="2:2" ht="15.6">
      <c r="B4535" s="197">
        <v>18.433549996276337</v>
      </c>
    </row>
    <row r="4536" spans="2:2" ht="15.6">
      <c r="B4536" s="197">
        <v>18.158523979926162</v>
      </c>
    </row>
    <row r="4537" spans="2:2" ht="15.6">
      <c r="B4537" s="197">
        <v>17.894749887283531</v>
      </c>
    </row>
    <row r="4538" spans="2:2" ht="15.6">
      <c r="B4538" s="197">
        <v>18.359205239094369</v>
      </c>
    </row>
    <row r="4539" spans="2:2" ht="15.6">
      <c r="B4539" s="197">
        <v>17.94337899060892</v>
      </c>
    </row>
    <row r="4540" spans="2:2" ht="15.6">
      <c r="B4540" s="197">
        <v>18.30955272368772</v>
      </c>
    </row>
    <row r="4541" spans="2:2" ht="15.6">
      <c r="B4541" s="197">
        <v>18.122590760927825</v>
      </c>
    </row>
    <row r="4542" spans="2:2" ht="15.6">
      <c r="B4542" s="197">
        <v>18.308334871217557</v>
      </c>
    </row>
    <row r="4543" spans="2:2" ht="15.6">
      <c r="B4543" s="197">
        <v>18.30865442047585</v>
      </c>
    </row>
    <row r="4544" spans="2:2" ht="15.6">
      <c r="B4544" s="197">
        <v>18.493797796995693</v>
      </c>
    </row>
    <row r="4545" spans="2:2" ht="15.6">
      <c r="B4545" s="197">
        <v>18.383730008256009</v>
      </c>
    </row>
    <row r="4546" spans="2:2" ht="15.6">
      <c r="B4546" s="197">
        <v>17.964347065084535</v>
      </c>
    </row>
    <row r="4547" spans="2:2" ht="15.6">
      <c r="B4547" s="197">
        <v>17.981437335050089</v>
      </c>
    </row>
    <row r="4548" spans="2:2" ht="15.6">
      <c r="B4548" s="197">
        <v>18.037111546935467</v>
      </c>
    </row>
    <row r="4549" spans="2:2" ht="15.6">
      <c r="B4549" s="197">
        <v>18.282004944932485</v>
      </c>
    </row>
    <row r="4550" spans="2:2" ht="15.6">
      <c r="B4550" s="197">
        <v>18.335663955844073</v>
      </c>
    </row>
    <row r="4551" spans="2:2" ht="15.6">
      <c r="B4551" s="197">
        <v>18.375735743250726</v>
      </c>
    </row>
    <row r="4552" spans="2:2" ht="15.6">
      <c r="B4552" s="197">
        <v>18.488726055288822</v>
      </c>
    </row>
    <row r="4553" spans="2:2" ht="15.6">
      <c r="B4553" s="197">
        <v>18.282839243938184</v>
      </c>
    </row>
    <row r="4554" spans="2:2" ht="15.6">
      <c r="B4554" s="197">
        <v>18.115313831188057</v>
      </c>
    </row>
    <row r="4555" spans="2:2" ht="15.6">
      <c r="B4555" s="197">
        <v>17.923961775285861</v>
      </c>
    </row>
    <row r="4556" spans="2:2" ht="15.6">
      <c r="B4556" s="197">
        <v>18.115946730143243</v>
      </c>
    </row>
    <row r="4557" spans="2:2" ht="15.6">
      <c r="B4557" s="197">
        <v>17.905137351937881</v>
      </c>
    </row>
    <row r="4558" spans="2:2" ht="15.6">
      <c r="B4558" s="197">
        <v>18.283057280129036</v>
      </c>
    </row>
    <row r="4559" spans="2:2" ht="15.6">
      <c r="B4559" s="197">
        <v>18.028372241340982</v>
      </c>
    </row>
    <row r="4560" spans="2:2" ht="15.6">
      <c r="B4560" s="197">
        <v>18.565941863276386</v>
      </c>
    </row>
    <row r="4561" spans="2:2" ht="15.6">
      <c r="B4561" s="197">
        <v>18.26539003677599</v>
      </c>
    </row>
    <row r="4562" spans="2:2" ht="15.6">
      <c r="B4562" s="197">
        <v>17.945725790045039</v>
      </c>
    </row>
    <row r="4563" spans="2:2" ht="15.6">
      <c r="B4563" s="197">
        <v>18.319371633883843</v>
      </c>
    </row>
    <row r="4564" spans="2:2" ht="15.6">
      <c r="B4564" s="197">
        <v>18.311883286877261</v>
      </c>
    </row>
    <row r="4565" spans="2:2" ht="15.6">
      <c r="B4565" s="197">
        <v>17.735719635404561</v>
      </c>
    </row>
    <row r="4566" spans="2:2" ht="15.6">
      <c r="B4566" s="197">
        <v>18.23851045032621</v>
      </c>
    </row>
    <row r="4567" spans="2:2" ht="15.6">
      <c r="B4567" s="197">
        <v>18.587131552092909</v>
      </c>
    </row>
    <row r="4568" spans="2:2" ht="15.6">
      <c r="B4568" s="197">
        <v>18.170138092399917</v>
      </c>
    </row>
    <row r="4569" spans="2:2" ht="15.6">
      <c r="B4569" s="197">
        <v>17.995542989335775</v>
      </c>
    </row>
    <row r="4570" spans="2:2" ht="15.6">
      <c r="B4570" s="197">
        <v>18.360549353712969</v>
      </c>
    </row>
    <row r="4571" spans="2:2" ht="15.6">
      <c r="B4571" s="197">
        <v>17.785940289039026</v>
      </c>
    </row>
    <row r="4572" spans="2:2" ht="15.6">
      <c r="B4572" s="197">
        <v>18.091637079994129</v>
      </c>
    </row>
    <row r="4573" spans="2:2" ht="15.6">
      <c r="B4573" s="197">
        <v>18.265723380453402</v>
      </c>
    </row>
    <row r="4574" spans="2:2" ht="15.6">
      <c r="B4574" s="197">
        <v>17.898542195316566</v>
      </c>
    </row>
    <row r="4575" spans="2:2" ht="15.6">
      <c r="B4575" s="197">
        <v>18.351371214325706</v>
      </c>
    </row>
    <row r="4576" spans="2:2" ht="15.6">
      <c r="B4576" s="197">
        <v>18.020441934917013</v>
      </c>
    </row>
    <row r="4577" spans="2:2" ht="15.6">
      <c r="B4577" s="197">
        <v>18.002018721907987</v>
      </c>
    </row>
    <row r="4578" spans="2:2" ht="15.6">
      <c r="B4578" s="197">
        <v>18.149691354526563</v>
      </c>
    </row>
    <row r="4579" spans="2:2" ht="15.6">
      <c r="B4579" s="197">
        <v>18.290567441864436</v>
      </c>
    </row>
    <row r="4580" spans="2:2" ht="15.6">
      <c r="B4580" s="197">
        <v>18.349220285245281</v>
      </c>
    </row>
    <row r="4581" spans="2:2" ht="15.6">
      <c r="B4581" s="197">
        <v>18.481273235490683</v>
      </c>
    </row>
    <row r="4582" spans="2:2" ht="15.6">
      <c r="B4582" s="197">
        <v>17.838906447057145</v>
      </c>
    </row>
    <row r="4583" spans="2:2" ht="15.6">
      <c r="B4583" s="197">
        <v>18.300269282172071</v>
      </c>
    </row>
    <row r="4584" spans="2:2" ht="15.6">
      <c r="B4584" s="197">
        <v>18.404685457063643</v>
      </c>
    </row>
    <row r="4585" spans="2:2" ht="15.6">
      <c r="B4585" s="197">
        <v>18.035153750817344</v>
      </c>
    </row>
    <row r="4586" spans="2:2" ht="15.6">
      <c r="B4586" s="197">
        <v>18.184806769645601</v>
      </c>
    </row>
    <row r="4587" spans="2:2" ht="15.6">
      <c r="B4587" s="197">
        <v>18.007381550760353</v>
      </c>
    </row>
    <row r="4588" spans="2:2" ht="15.6">
      <c r="B4588" s="197">
        <v>18.175999362859383</v>
      </c>
    </row>
    <row r="4589" spans="2:2" ht="15.6">
      <c r="B4589" s="197">
        <v>17.821562197723971</v>
      </c>
    </row>
    <row r="4590" spans="2:2" ht="15.6">
      <c r="B4590" s="197">
        <v>18.050488433392573</v>
      </c>
    </row>
    <row r="4591" spans="2:2" ht="15.6">
      <c r="B4591" s="197">
        <v>18.013913411298645</v>
      </c>
    </row>
    <row r="4592" spans="2:2" ht="15.6">
      <c r="B4592" s="197">
        <v>18.325546342990677</v>
      </c>
    </row>
    <row r="4593" spans="2:2" ht="15.6">
      <c r="B4593" s="197">
        <v>17.736513527566373</v>
      </c>
    </row>
    <row r="4594" spans="2:2" ht="15.6">
      <c r="B4594" s="197">
        <v>18.311369713839849</v>
      </c>
    </row>
    <row r="4595" spans="2:2" ht="15.6">
      <c r="B4595" s="197">
        <v>18.171063383916128</v>
      </c>
    </row>
    <row r="4596" spans="2:2" ht="15.6">
      <c r="B4596" s="197">
        <v>17.938338978905957</v>
      </c>
    </row>
    <row r="4597" spans="2:2" ht="15.6">
      <c r="B4597" s="197">
        <v>18.056322897705627</v>
      </c>
    </row>
    <row r="4598" spans="2:2" ht="15.6">
      <c r="B4598" s="197">
        <v>18.186698856230496</v>
      </c>
    </row>
    <row r="4599" spans="2:2" ht="15.6">
      <c r="B4599" s="197">
        <v>17.858765051837118</v>
      </c>
    </row>
    <row r="4600" spans="2:2" ht="15.6">
      <c r="B4600" s="197">
        <v>18.504718332066076</v>
      </c>
    </row>
    <row r="4601" spans="2:2" ht="15.6">
      <c r="B4601" s="197">
        <v>18.249364156445772</v>
      </c>
    </row>
    <row r="4602" spans="2:2" ht="15.6">
      <c r="B4602" s="197">
        <v>18.174037487034305</v>
      </c>
    </row>
    <row r="4603" spans="2:2" ht="15.6">
      <c r="B4603" s="197">
        <v>18.424747334868208</v>
      </c>
    </row>
    <row r="4604" spans="2:2" ht="15.6">
      <c r="B4604" s="197">
        <v>18.020675578220811</v>
      </c>
    </row>
    <row r="4605" spans="2:2" ht="15.6">
      <c r="B4605" s="197">
        <v>18.104286632592569</v>
      </c>
    </row>
    <row r="4606" spans="2:2" ht="15.6">
      <c r="B4606" s="197">
        <v>18.200973543939732</v>
      </c>
    </row>
    <row r="4607" spans="2:2" ht="15.6">
      <c r="B4607" s="197">
        <v>18.241741016691631</v>
      </c>
    </row>
    <row r="4608" spans="2:2" ht="15.6">
      <c r="B4608" s="197">
        <v>18.397217784423365</v>
      </c>
    </row>
    <row r="4609" spans="2:2" ht="15.6">
      <c r="B4609" s="197">
        <v>17.972161011670678</v>
      </c>
    </row>
    <row r="4610" spans="2:2" ht="15.6">
      <c r="B4610" s="197">
        <v>18.546260840792893</v>
      </c>
    </row>
    <row r="4611" spans="2:2" ht="15.6">
      <c r="B4611" s="197">
        <v>17.947185718378758</v>
      </c>
    </row>
    <row r="4612" spans="2:2" ht="15.6">
      <c r="B4612" s="197">
        <v>18.091169380992433</v>
      </c>
    </row>
    <row r="4613" spans="2:2" ht="15.6">
      <c r="B4613" s="197">
        <v>18.060131273708961</v>
      </c>
    </row>
    <row r="4614" spans="2:2" ht="15.6">
      <c r="B4614" s="197">
        <v>17.912474346538545</v>
      </c>
    </row>
    <row r="4615" spans="2:2" ht="15.6">
      <c r="B4615" s="197">
        <v>18.274765243896645</v>
      </c>
    </row>
    <row r="4616" spans="2:2" ht="15.6">
      <c r="B4616" s="197">
        <v>18.097077509780451</v>
      </c>
    </row>
    <row r="4617" spans="2:2" ht="15.6">
      <c r="B4617" s="197">
        <v>18.0071528582456</v>
      </c>
    </row>
    <row r="4618" spans="2:2" ht="15.6">
      <c r="B4618" s="197">
        <v>17.839028958097071</v>
      </c>
    </row>
    <row r="4619" spans="2:2" ht="15.6">
      <c r="B4619" s="197">
        <v>18.26157030635235</v>
      </c>
    </row>
    <row r="4620" spans="2:2" ht="15.6">
      <c r="B4620" s="197">
        <v>18.161921112499119</v>
      </c>
    </row>
    <row r="4621" spans="2:2" ht="15.6">
      <c r="B4621" s="197">
        <v>18.621888308761971</v>
      </c>
    </row>
    <row r="4622" spans="2:2" ht="15.6">
      <c r="B4622" s="197">
        <v>17.904072670020824</v>
      </c>
    </row>
    <row r="4623" spans="2:2" ht="15.6">
      <c r="B4623" s="197">
        <v>17.975449536989363</v>
      </c>
    </row>
    <row r="4624" spans="2:2" ht="15.6">
      <c r="B4624" s="197">
        <v>18.30167640904823</v>
      </c>
    </row>
    <row r="4625" spans="2:2" ht="15.6">
      <c r="B4625" s="197">
        <v>18.139048853939496</v>
      </c>
    </row>
    <row r="4626" spans="2:2" ht="15.6">
      <c r="B4626" s="197">
        <v>18.60750734656018</v>
      </c>
    </row>
    <row r="4627" spans="2:2" ht="15.6">
      <c r="B4627" s="197">
        <v>18.294649358183328</v>
      </c>
    </row>
    <row r="4628" spans="2:2" ht="15.6">
      <c r="B4628" s="197">
        <v>18.017336239042773</v>
      </c>
    </row>
    <row r="4629" spans="2:2" ht="15.6">
      <c r="B4629" s="197">
        <v>18.137008600108949</v>
      </c>
    </row>
    <row r="4630" spans="2:2" ht="15.6">
      <c r="B4630" s="197">
        <v>17.848734637673363</v>
      </c>
    </row>
    <row r="4631" spans="2:2" ht="15.6">
      <c r="B4631" s="197">
        <v>18.023052408031464</v>
      </c>
    </row>
    <row r="4632" spans="2:2" ht="15.6">
      <c r="B4632" s="197">
        <v>18.18256304178972</v>
      </c>
    </row>
    <row r="4633" spans="2:2" ht="15.6">
      <c r="B4633" s="197">
        <v>18.209184264734947</v>
      </c>
    </row>
    <row r="4634" spans="2:2" ht="15.6">
      <c r="B4634" s="197">
        <v>18.292616129103337</v>
      </c>
    </row>
    <row r="4635" spans="2:2" ht="15.6">
      <c r="B4635" s="197">
        <v>17.821699393882618</v>
      </c>
    </row>
    <row r="4636" spans="2:2" ht="15.6">
      <c r="B4636" s="197">
        <v>18.215859597201089</v>
      </c>
    </row>
    <row r="4637" spans="2:2" ht="15.6">
      <c r="B4637" s="197">
        <v>18.038028737705741</v>
      </c>
    </row>
    <row r="4638" spans="2:2" ht="15.6">
      <c r="B4638" s="197">
        <v>18.190615707823849</v>
      </c>
    </row>
    <row r="4639" spans="2:2" ht="15.6">
      <c r="B4639" s="197">
        <v>18.048903699774201</v>
      </c>
    </row>
    <row r="4640" spans="2:2" ht="15.6">
      <c r="B4640" s="197">
        <v>17.986435559956576</v>
      </c>
    </row>
    <row r="4641" spans="2:2" ht="15.6">
      <c r="B4641" s="197">
        <v>18.298224271364766</v>
      </c>
    </row>
    <row r="4642" spans="2:2" ht="15.6">
      <c r="B4642" s="197">
        <v>18.214365836239157</v>
      </c>
    </row>
    <row r="4643" spans="2:2" ht="15.6">
      <c r="B4643" s="197">
        <v>18.467957850413143</v>
      </c>
    </row>
    <row r="4644" spans="2:2" ht="15.6">
      <c r="B4644" s="197">
        <v>17.955691610870822</v>
      </c>
    </row>
    <row r="4645" spans="2:2" ht="15.6">
      <c r="B4645" s="197">
        <v>17.963632230108612</v>
      </c>
    </row>
    <row r="4646" spans="2:2" ht="15.6">
      <c r="B4646" s="197">
        <v>18.12102164497848</v>
      </c>
    </row>
    <row r="4647" spans="2:2" ht="15.6">
      <c r="B4647" s="197">
        <v>17.974345996985345</v>
      </c>
    </row>
    <row r="4648" spans="2:2" ht="15.6">
      <c r="B4648" s="197">
        <v>18.084203946368319</v>
      </c>
    </row>
    <row r="4649" spans="2:2" ht="15.6">
      <c r="B4649" s="197">
        <v>18.074232181467458</v>
      </c>
    </row>
    <row r="4650" spans="2:2" ht="15.6">
      <c r="B4650" s="197">
        <v>17.892956574518319</v>
      </c>
    </row>
    <row r="4651" spans="2:2" ht="15.6">
      <c r="B4651" s="197">
        <v>18.061718472017187</v>
      </c>
    </row>
    <row r="4652" spans="2:2" ht="15.6">
      <c r="B4652" s="197">
        <v>18.185061395190584</v>
      </c>
    </row>
    <row r="4653" spans="2:2" ht="15.6">
      <c r="B4653" s="197">
        <v>18.145263138766023</v>
      </c>
    </row>
    <row r="4654" spans="2:2" ht="15.6">
      <c r="B4654" s="197">
        <v>17.940888438597508</v>
      </c>
    </row>
    <row r="4655" spans="2:2" ht="15.6">
      <c r="B4655" s="197">
        <v>17.964932984424919</v>
      </c>
    </row>
    <row r="4656" spans="2:2" ht="15.6">
      <c r="B4656" s="197">
        <v>18.112131046349003</v>
      </c>
    </row>
    <row r="4657" spans="2:2" ht="15.6">
      <c r="B4657" s="197">
        <v>18.180903657071006</v>
      </c>
    </row>
    <row r="4658" spans="2:2" ht="15.6">
      <c r="B4658" s="197">
        <v>18.133715390594386</v>
      </c>
    </row>
    <row r="4659" spans="2:2" ht="15.6">
      <c r="B4659" s="197">
        <v>17.958792674100437</v>
      </c>
    </row>
    <row r="4660" spans="2:2" ht="15.6">
      <c r="B4660" s="197">
        <v>18.243338965546723</v>
      </c>
    </row>
    <row r="4661" spans="2:2" ht="15.6">
      <c r="B4661" s="197">
        <v>18.371911783043288</v>
      </c>
    </row>
    <row r="4662" spans="2:2" ht="15.6">
      <c r="B4662" s="197">
        <v>18.093985547391458</v>
      </c>
    </row>
    <row r="4663" spans="2:2" ht="15.6">
      <c r="B4663" s="197">
        <v>18.090846498301463</v>
      </c>
    </row>
    <row r="4664" spans="2:2" ht="15.6">
      <c r="B4664" s="197">
        <v>17.981524742776909</v>
      </c>
    </row>
    <row r="4665" spans="2:2" ht="15.6">
      <c r="B4665" s="197">
        <v>18.264732661576499</v>
      </c>
    </row>
    <row r="4666" spans="2:2" ht="15.6">
      <c r="B4666" s="197">
        <v>18.337168897676698</v>
      </c>
    </row>
    <row r="4667" spans="2:2" ht="15.6">
      <c r="B4667" s="197">
        <v>17.914673086227456</v>
      </c>
    </row>
    <row r="4668" spans="2:2" ht="15.6">
      <c r="B4668" s="197">
        <v>17.949610317646826</v>
      </c>
    </row>
    <row r="4669" spans="2:2" ht="15.6">
      <c r="B4669" s="197">
        <v>18.141846431205188</v>
      </c>
    </row>
    <row r="4670" spans="2:2" ht="15.6">
      <c r="B4670" s="197">
        <v>18.26249125503627</v>
      </c>
    </row>
    <row r="4671" spans="2:2" ht="15.6">
      <c r="B4671" s="197">
        <v>18.526467211053848</v>
      </c>
    </row>
    <row r="4672" spans="2:2" ht="15.6">
      <c r="B4672" s="197">
        <v>18.335723827252586</v>
      </c>
    </row>
    <row r="4673" spans="2:2" ht="15.6">
      <c r="B4673" s="197">
        <v>17.796285448991792</v>
      </c>
    </row>
    <row r="4674" spans="2:2" ht="15.6">
      <c r="B4674" s="197">
        <v>18.498514839964692</v>
      </c>
    </row>
    <row r="4675" spans="2:2" ht="15.6">
      <c r="B4675" s="197">
        <v>17.888823130426321</v>
      </c>
    </row>
    <row r="4676" spans="2:2" ht="15.6">
      <c r="B4676" s="197">
        <v>18.23934756891834</v>
      </c>
    </row>
    <row r="4677" spans="2:2" ht="15.6">
      <c r="B4677" s="197">
        <v>18.406582209540787</v>
      </c>
    </row>
    <row r="4678" spans="2:2" ht="15.6">
      <c r="B4678" s="197">
        <v>18.223870579891706</v>
      </c>
    </row>
    <row r="4679" spans="2:2" ht="15.6">
      <c r="B4679" s="197">
        <v>18.122155060469414</v>
      </c>
    </row>
    <row r="4680" spans="2:2" ht="15.6">
      <c r="B4680" s="197">
        <v>18.20394657784211</v>
      </c>
    </row>
    <row r="4681" spans="2:2" ht="15.6">
      <c r="B4681" s="197">
        <v>18.115989905069263</v>
      </c>
    </row>
    <row r="4682" spans="2:2" ht="15.6">
      <c r="B4682" s="197">
        <v>17.932191629756524</v>
      </c>
    </row>
    <row r="4683" spans="2:2" ht="15.6">
      <c r="B4683" s="197">
        <v>17.926858510710918</v>
      </c>
    </row>
    <row r="4684" spans="2:2" ht="15.6">
      <c r="B4684" s="197">
        <v>18.473422298274176</v>
      </c>
    </row>
    <row r="4685" spans="2:2" ht="15.6">
      <c r="B4685" s="197">
        <v>18.282945015019987</v>
      </c>
    </row>
    <row r="4686" spans="2:2" ht="15.6">
      <c r="B4686" s="197">
        <v>17.843334832500318</v>
      </c>
    </row>
    <row r="4687" spans="2:2" ht="15.6">
      <c r="B4687" s="197">
        <v>18.171653630867205</v>
      </c>
    </row>
    <row r="4688" spans="2:2" ht="15.6">
      <c r="B4688" s="197">
        <v>17.937320023211402</v>
      </c>
    </row>
    <row r="4689" spans="2:2" ht="15.6">
      <c r="B4689" s="197">
        <v>18.139464147920851</v>
      </c>
    </row>
    <row r="4690" spans="2:2" ht="15.6">
      <c r="B4690" s="197">
        <v>18.263031059112116</v>
      </c>
    </row>
    <row r="4691" spans="2:2" ht="15.6">
      <c r="B4691" s="197">
        <v>18.096947258501977</v>
      </c>
    </row>
    <row r="4692" spans="2:2" ht="15.6">
      <c r="B4692" s="197">
        <v>18.129505769008055</v>
      </c>
    </row>
    <row r="4693" spans="2:2" ht="15.6">
      <c r="B4693" s="197">
        <v>18.528662846891134</v>
      </c>
    </row>
    <row r="4694" spans="2:2" ht="15.6">
      <c r="B4694" s="197">
        <v>18.249322643217067</v>
      </c>
    </row>
    <row r="4695" spans="2:2" ht="15.6">
      <c r="B4695" s="197">
        <v>17.875908261202177</v>
      </c>
    </row>
    <row r="4696" spans="2:2" ht="15.6">
      <c r="B4696" s="197">
        <v>18.197380231468518</v>
      </c>
    </row>
    <row r="4697" spans="2:2" ht="15.6">
      <c r="B4697" s="197">
        <v>18.20066971518839</v>
      </c>
    </row>
    <row r="4698" spans="2:2" ht="15.6">
      <c r="B4698" s="197">
        <v>18.207003344187502</v>
      </c>
    </row>
    <row r="4699" spans="2:2" ht="15.6">
      <c r="B4699" s="197">
        <v>18.286736674513879</v>
      </c>
    </row>
    <row r="4700" spans="2:2" ht="15.6">
      <c r="B4700" s="197">
        <v>18.045197998468961</v>
      </c>
    </row>
    <row r="4701" spans="2:2" ht="15.6">
      <c r="B4701" s="197">
        <v>17.940428079022261</v>
      </c>
    </row>
    <row r="4702" spans="2:2" ht="15.6">
      <c r="B4702" s="197">
        <v>18.184527764185308</v>
      </c>
    </row>
    <row r="4703" spans="2:2" ht="15.6">
      <c r="B4703" s="197">
        <v>18.194034798699619</v>
      </c>
    </row>
    <row r="4704" spans="2:2" ht="15.6">
      <c r="B4704" s="197">
        <v>18.135438527209338</v>
      </c>
    </row>
    <row r="4705" spans="2:2" ht="15.6">
      <c r="B4705" s="197">
        <v>18.009498871216572</v>
      </c>
    </row>
    <row r="4706" spans="2:2" ht="15.6">
      <c r="B4706" s="197">
        <v>18.15153385261706</v>
      </c>
    </row>
    <row r="4707" spans="2:2" ht="15.6">
      <c r="B4707" s="197">
        <v>18.057012022437881</v>
      </c>
    </row>
    <row r="4708" spans="2:2" ht="15.6">
      <c r="B4708" s="197">
        <v>18.23810902423876</v>
      </c>
    </row>
    <row r="4709" spans="2:2" ht="15.6">
      <c r="B4709" s="197">
        <v>18.425738600788012</v>
      </c>
    </row>
    <row r="4710" spans="2:2" ht="15.6">
      <c r="B4710" s="197">
        <v>18.479011658169618</v>
      </c>
    </row>
    <row r="4711" spans="2:2" ht="15.6">
      <c r="B4711" s="197">
        <v>18.142388539218256</v>
      </c>
    </row>
    <row r="4712" spans="2:2" ht="15.6">
      <c r="B4712" s="197">
        <v>17.903865853681598</v>
      </c>
    </row>
    <row r="4713" spans="2:2" ht="15.6">
      <c r="B4713" s="197">
        <v>18.036418303186302</v>
      </c>
    </row>
    <row r="4714" spans="2:2" ht="15.6">
      <c r="B4714" s="197">
        <v>18.334288276032712</v>
      </c>
    </row>
    <row r="4715" spans="2:2" ht="15.6">
      <c r="B4715" s="197">
        <v>18.169241174575031</v>
      </c>
    </row>
    <row r="4716" spans="2:2" ht="15.6">
      <c r="B4716" s="197">
        <v>18.166640304255662</v>
      </c>
    </row>
    <row r="4717" spans="2:2" ht="15.6">
      <c r="B4717" s="197">
        <v>17.729869588656143</v>
      </c>
    </row>
    <row r="4718" spans="2:2" ht="15.6">
      <c r="B4718" s="197">
        <v>17.904985115904918</v>
      </c>
    </row>
    <row r="4719" spans="2:2" ht="15.6">
      <c r="B4719" s="197">
        <v>18.187170812794466</v>
      </c>
    </row>
    <row r="4720" spans="2:2" ht="15.6">
      <c r="B4720" s="197">
        <v>18.183879582290253</v>
      </c>
    </row>
    <row r="4721" spans="2:2" ht="15.6">
      <c r="B4721" s="197">
        <v>18.244532425231501</v>
      </c>
    </row>
    <row r="4722" spans="2:2" ht="15.6">
      <c r="B4722" s="197">
        <v>18.392096697045048</v>
      </c>
    </row>
    <row r="4723" spans="2:2" ht="15.6">
      <c r="B4723" s="197">
        <v>18.35756830489132</v>
      </c>
    </row>
    <row r="4724" spans="2:2" ht="15.6">
      <c r="B4724" s="197">
        <v>17.926894516592053</v>
      </c>
    </row>
    <row r="4725" spans="2:2" ht="15.6">
      <c r="B4725" s="197">
        <v>17.783748908242455</v>
      </c>
    </row>
    <row r="4726" spans="2:2" ht="15.6">
      <c r="B4726" s="197">
        <v>18.305059859248985</v>
      </c>
    </row>
    <row r="4727" spans="2:2" ht="15.6">
      <c r="B4727" s="197">
        <v>18.071697894574278</v>
      </c>
    </row>
    <row r="4728" spans="2:2" ht="15.6">
      <c r="B4728" s="197">
        <v>18.018301892612872</v>
      </c>
    </row>
    <row r="4729" spans="2:2" ht="15.6">
      <c r="B4729" s="197">
        <v>18.371406898860954</v>
      </c>
    </row>
    <row r="4730" spans="2:2" ht="15.6">
      <c r="B4730" s="197">
        <v>18.181810556527015</v>
      </c>
    </row>
    <row r="4731" spans="2:2" ht="15.6">
      <c r="B4731" s="197">
        <v>18.117420601933244</v>
      </c>
    </row>
    <row r="4732" spans="2:2" ht="15.6">
      <c r="B4732" s="197">
        <v>18.190124258918651</v>
      </c>
    </row>
    <row r="4733" spans="2:2" ht="15.6">
      <c r="B4733" s="197">
        <v>18.235011247613102</v>
      </c>
    </row>
    <row r="4734" spans="2:2" ht="15.6">
      <c r="B4734" s="197">
        <v>18.241358947428978</v>
      </c>
    </row>
    <row r="4735" spans="2:2" ht="15.6">
      <c r="B4735" s="197">
        <v>18.15030603892394</v>
      </c>
    </row>
    <row r="4736" spans="2:2" ht="15.6">
      <c r="B4736" s="197">
        <v>18.161352885103941</v>
      </c>
    </row>
    <row r="4737" spans="2:2" ht="15.6">
      <c r="B4737" s="197">
        <v>17.829046972982134</v>
      </c>
    </row>
    <row r="4738" spans="2:2" ht="15.6">
      <c r="B4738" s="197">
        <v>18.266819577674362</v>
      </c>
    </row>
    <row r="4739" spans="2:2" ht="15.6">
      <c r="B4739" s="197">
        <v>18.334868380639922</v>
      </c>
    </row>
    <row r="4740" spans="2:2" ht="15.6">
      <c r="B4740" s="197">
        <v>18.01625481258051</v>
      </c>
    </row>
    <row r="4741" spans="2:2" ht="15.6">
      <c r="B4741" s="197">
        <v>18.215694005491759</v>
      </c>
    </row>
    <row r="4742" spans="2:2" ht="15.6">
      <c r="B4742" s="197">
        <v>18.202956105583862</v>
      </c>
    </row>
    <row r="4743" spans="2:2" ht="15.6">
      <c r="B4743" s="197">
        <v>18.313007066691711</v>
      </c>
    </row>
    <row r="4744" spans="2:2" ht="15.6">
      <c r="B4744" s="197">
        <v>17.972513112089004</v>
      </c>
    </row>
    <row r="4745" spans="2:2" ht="15.6">
      <c r="B4745" s="197">
        <v>18.238063384270163</v>
      </c>
    </row>
    <row r="4746" spans="2:2" ht="15.6">
      <c r="B4746" s="197">
        <v>18.053383479735079</v>
      </c>
    </row>
    <row r="4747" spans="2:2" ht="15.6">
      <c r="B4747" s="197">
        <v>17.921403948836815</v>
      </c>
    </row>
    <row r="4748" spans="2:2" ht="15.6">
      <c r="B4748" s="197">
        <v>18.1937122382935</v>
      </c>
    </row>
    <row r="4749" spans="2:2" ht="15.6">
      <c r="B4749" s="197">
        <v>17.984926568727769</v>
      </c>
    </row>
    <row r="4750" spans="2:2" ht="15.6">
      <c r="B4750" s="197">
        <v>18.241671169496446</v>
      </c>
    </row>
    <row r="4751" spans="2:2" ht="15.6">
      <c r="B4751" s="197">
        <v>17.957517447615547</v>
      </c>
    </row>
    <row r="4752" spans="2:2" ht="15.6">
      <c r="B4752" s="197">
        <v>17.956638285637663</v>
      </c>
    </row>
    <row r="4753" spans="2:2" ht="15.6">
      <c r="B4753" s="197">
        <v>18.371926043295005</v>
      </c>
    </row>
    <row r="4754" spans="2:2" ht="15.6">
      <c r="B4754" s="197">
        <v>18.105825180805812</v>
      </c>
    </row>
    <row r="4755" spans="2:2" ht="15.6">
      <c r="B4755" s="197">
        <v>18.322312767298929</v>
      </c>
    </row>
    <row r="4756" spans="2:2" ht="15.6">
      <c r="B4756" s="197">
        <v>18.212891133906542</v>
      </c>
    </row>
    <row r="4757" spans="2:2" ht="15.6">
      <c r="B4757" s="197">
        <v>18.247052382138836</v>
      </c>
    </row>
    <row r="4758" spans="2:2" ht="15.6">
      <c r="B4758" s="197">
        <v>18.203991996417276</v>
      </c>
    </row>
    <row r="4759" spans="2:2" ht="15.6">
      <c r="B4759" s="197">
        <v>17.981686874650716</v>
      </c>
    </row>
    <row r="4760" spans="2:2" ht="15.6">
      <c r="B4760" s="197">
        <v>17.880276783891777</v>
      </c>
    </row>
    <row r="4761" spans="2:2" ht="15.6">
      <c r="B4761" s="197">
        <v>18.166058469184712</v>
      </c>
    </row>
    <row r="4762" spans="2:2" ht="15.6">
      <c r="B4762" s="197">
        <v>18.189948112848558</v>
      </c>
    </row>
    <row r="4763" spans="2:2" ht="15.6">
      <c r="B4763" s="197">
        <v>18.188294773485506</v>
      </c>
    </row>
    <row r="4764" spans="2:2" ht="15.6">
      <c r="B4764" s="197">
        <v>17.968233894340646</v>
      </c>
    </row>
    <row r="4765" spans="2:2" ht="15.6">
      <c r="B4765" s="197">
        <v>18.034948580784086</v>
      </c>
    </row>
    <row r="4766" spans="2:2" ht="15.6">
      <c r="B4766" s="197">
        <v>17.888292085048292</v>
      </c>
    </row>
    <row r="4767" spans="2:2" ht="15.6">
      <c r="B4767" s="197">
        <v>17.604058683044293</v>
      </c>
    </row>
    <row r="4768" spans="2:2" ht="15.6">
      <c r="B4768" s="197">
        <v>18.361469764270083</v>
      </c>
    </row>
    <row r="4769" spans="2:2" ht="15.6">
      <c r="B4769" s="197">
        <v>17.833366722407312</v>
      </c>
    </row>
    <row r="4770" spans="2:2" ht="15.6">
      <c r="B4770" s="197">
        <v>17.895564900816133</v>
      </c>
    </row>
    <row r="4771" spans="2:2" ht="15.6">
      <c r="B4771" s="197">
        <v>18.10810615728402</v>
      </c>
    </row>
    <row r="4772" spans="2:2" ht="15.6">
      <c r="B4772" s="197">
        <v>18.140412877924742</v>
      </c>
    </row>
    <row r="4773" spans="2:2" ht="15.6">
      <c r="B4773" s="197">
        <v>18.215936239146295</v>
      </c>
    </row>
    <row r="4774" spans="2:2" ht="15.6">
      <c r="B4774" s="197">
        <v>18.040239966297122</v>
      </c>
    </row>
    <row r="4775" spans="2:2" ht="15.6">
      <c r="B4775" s="197">
        <v>18.092806477730804</v>
      </c>
    </row>
    <row r="4776" spans="2:2" ht="15.6">
      <c r="B4776" s="197">
        <v>18.388102139926033</v>
      </c>
    </row>
    <row r="4777" spans="2:2" ht="15.6">
      <c r="B4777" s="197">
        <v>18.381156655973911</v>
      </c>
    </row>
    <row r="4778" spans="2:2" ht="15.6">
      <c r="B4778" s="197">
        <v>17.903081383223626</v>
      </c>
    </row>
    <row r="4779" spans="2:2" ht="15.6">
      <c r="B4779" s="197">
        <v>17.887788066643619</v>
      </c>
    </row>
    <row r="4780" spans="2:2" ht="15.6">
      <c r="B4780" s="197">
        <v>18.092838042493593</v>
      </c>
    </row>
    <row r="4781" spans="2:2" ht="15.6">
      <c r="B4781" s="197">
        <v>18.211614004228554</v>
      </c>
    </row>
    <row r="4782" spans="2:2" ht="15.6">
      <c r="B4782" s="197">
        <v>18.01377226731978</v>
      </c>
    </row>
    <row r="4783" spans="2:2" ht="15.6">
      <c r="B4783" s="197">
        <v>18.716001565367723</v>
      </c>
    </row>
    <row r="4784" spans="2:2" ht="15.6">
      <c r="B4784" s="197">
        <v>18.13572525171346</v>
      </c>
    </row>
    <row r="4785" spans="2:2" ht="15.6">
      <c r="B4785" s="197">
        <v>17.989190030812253</v>
      </c>
    </row>
    <row r="4786" spans="2:2" ht="15.6">
      <c r="B4786" s="197">
        <v>17.677450350029801</v>
      </c>
    </row>
    <row r="4787" spans="2:2" ht="15.6">
      <c r="B4787" s="197">
        <v>18.027941891656692</v>
      </c>
    </row>
    <row r="4788" spans="2:2" ht="15.6">
      <c r="B4788" s="197">
        <v>18.226191713757437</v>
      </c>
    </row>
    <row r="4789" spans="2:2" ht="15.6">
      <c r="B4789" s="197">
        <v>17.755640820386994</v>
      </c>
    </row>
    <row r="4790" spans="2:2" ht="15.6">
      <c r="B4790" s="197">
        <v>18.116974294075249</v>
      </c>
    </row>
    <row r="4791" spans="2:2" ht="15.6">
      <c r="B4791" s="197">
        <v>17.737096279389842</v>
      </c>
    </row>
    <row r="4792" spans="2:2" ht="15.6">
      <c r="B4792" s="197">
        <v>18.191197262854136</v>
      </c>
    </row>
    <row r="4793" spans="2:2" ht="15.6">
      <c r="B4793" s="197">
        <v>18.199225254656927</v>
      </c>
    </row>
    <row r="4794" spans="2:2" ht="15.6">
      <c r="B4794" s="197">
        <v>18.505545500211309</v>
      </c>
    </row>
    <row r="4795" spans="2:2" ht="15.6">
      <c r="B4795" s="197">
        <v>18.032535888209818</v>
      </c>
    </row>
    <row r="4796" spans="2:2" ht="15.6">
      <c r="B4796" s="197">
        <v>17.956038860112642</v>
      </c>
    </row>
    <row r="4797" spans="2:2" ht="15.6">
      <c r="B4797" s="197">
        <v>18.1501501104532</v>
      </c>
    </row>
    <row r="4798" spans="2:2" ht="15.6">
      <c r="B4798" s="197">
        <v>18.236958610959629</v>
      </c>
    </row>
    <row r="4799" spans="2:2" ht="15.6">
      <c r="B4799" s="197">
        <v>18.054335973791044</v>
      </c>
    </row>
    <row r="4800" spans="2:2" ht="15.6">
      <c r="B4800" s="197">
        <v>18.207630899000275</v>
      </c>
    </row>
    <row r="4801" spans="2:2" ht="15.6">
      <c r="B4801" s="197">
        <v>18.038858235641573</v>
      </c>
    </row>
    <row r="4802" spans="2:2" ht="15.6">
      <c r="B4802" s="197">
        <v>18.229654162237239</v>
      </c>
    </row>
    <row r="4803" spans="2:2" ht="15.6">
      <c r="B4803" s="197">
        <v>18.127498501798339</v>
      </c>
    </row>
    <row r="4804" spans="2:2" ht="15.6">
      <c r="B4804" s="197">
        <v>18.254973262031811</v>
      </c>
    </row>
    <row r="4805" spans="2:2" ht="15.6">
      <c r="B4805" s="197">
        <v>17.799153404746956</v>
      </c>
    </row>
    <row r="4806" spans="2:2" ht="15.6">
      <c r="B4806" s="197">
        <v>18.363992893686238</v>
      </c>
    </row>
    <row r="4807" spans="2:2" ht="15.6">
      <c r="B4807" s="197">
        <v>18.026537907122574</v>
      </c>
    </row>
    <row r="4808" spans="2:2" ht="15.6">
      <c r="B4808" s="197">
        <v>18.351009162147445</v>
      </c>
    </row>
    <row r="4809" spans="2:2" ht="15.6">
      <c r="B4809" s="197">
        <v>18.226860061527798</v>
      </c>
    </row>
    <row r="4810" spans="2:2" ht="15.6">
      <c r="B4810" s="197">
        <v>18.082082311341662</v>
      </c>
    </row>
    <row r="4811" spans="2:2" ht="15.6">
      <c r="B4811" s="197">
        <v>17.947399817264955</v>
      </c>
    </row>
    <row r="4812" spans="2:2" ht="15.6">
      <c r="B4812" s="197">
        <v>18.164766177836224</v>
      </c>
    </row>
    <row r="4813" spans="2:2" ht="15.6">
      <c r="B4813" s="197">
        <v>17.998222291374592</v>
      </c>
    </row>
    <row r="4814" spans="2:2" ht="15.6">
      <c r="B4814" s="197">
        <v>18.322629738981352</v>
      </c>
    </row>
    <row r="4815" spans="2:2" ht="15.6">
      <c r="B4815" s="197">
        <v>18.500177392665023</v>
      </c>
    </row>
    <row r="4816" spans="2:2" ht="15.6">
      <c r="B4816" s="197">
        <v>17.886220420832391</v>
      </c>
    </row>
    <row r="4817" spans="2:2" ht="15.6">
      <c r="B4817" s="197">
        <v>18.214227664298832</v>
      </c>
    </row>
    <row r="4818" spans="2:2" ht="15.6">
      <c r="B4818" s="197">
        <v>18.122854412091428</v>
      </c>
    </row>
    <row r="4819" spans="2:2" ht="15.6">
      <c r="B4819" s="197">
        <v>18.294321013846176</v>
      </c>
    </row>
    <row r="4820" spans="2:2" ht="15.6">
      <c r="B4820" s="197">
        <v>18.196313296050324</v>
      </c>
    </row>
    <row r="4821" spans="2:2" ht="15.6">
      <c r="B4821" s="197">
        <v>18.556088955433733</v>
      </c>
    </row>
    <row r="4822" spans="2:2" ht="15.6">
      <c r="B4822" s="197">
        <v>18.270584323585894</v>
      </c>
    </row>
    <row r="4823" spans="2:2" ht="15.6">
      <c r="B4823" s="197">
        <v>17.938452835775209</v>
      </c>
    </row>
    <row r="4824" spans="2:2" ht="15.6">
      <c r="B4824" s="197">
        <v>18.109369554296855</v>
      </c>
    </row>
    <row r="4825" spans="2:2" ht="15.6">
      <c r="B4825" s="197">
        <v>18.303954444464917</v>
      </c>
    </row>
    <row r="4826" spans="2:2" ht="15.6">
      <c r="B4826" s="197">
        <v>17.739192699708358</v>
      </c>
    </row>
    <row r="4827" spans="2:2" ht="15.6">
      <c r="B4827" s="197">
        <v>18.412999025724634</v>
      </c>
    </row>
    <row r="4828" spans="2:2" ht="15.6">
      <c r="B4828" s="197">
        <v>18.285326979237087</v>
      </c>
    </row>
    <row r="4829" spans="2:2" ht="15.6">
      <c r="B4829" s="197">
        <v>18.012505086026266</v>
      </c>
    </row>
    <row r="4830" spans="2:2" ht="15.6">
      <c r="B4830" s="197">
        <v>18.306014129292198</v>
      </c>
    </row>
    <row r="4831" spans="2:2" ht="15.6">
      <c r="B4831" s="197">
        <v>18.369521313573415</v>
      </c>
    </row>
    <row r="4832" spans="2:2" ht="15.6">
      <c r="B4832" s="197">
        <v>17.893588370785892</v>
      </c>
    </row>
    <row r="4833" spans="2:2" ht="15.6">
      <c r="B4833" s="197">
        <v>17.956706667192613</v>
      </c>
    </row>
    <row r="4834" spans="2:2" ht="15.6">
      <c r="B4834" s="197">
        <v>17.96593005070596</v>
      </c>
    </row>
    <row r="4835" spans="2:2" ht="15.6">
      <c r="B4835" s="197">
        <v>17.880160325419112</v>
      </c>
    </row>
    <row r="4836" spans="2:2" ht="15.6">
      <c r="B4836" s="197">
        <v>18.041417554939841</v>
      </c>
    </row>
    <row r="4837" spans="2:2" ht="15.6">
      <c r="B4837" s="197">
        <v>17.912882026716087</v>
      </c>
    </row>
    <row r="4838" spans="2:2" ht="15.6">
      <c r="B4838" s="197">
        <v>18.265448407519738</v>
      </c>
    </row>
    <row r="4839" spans="2:2" ht="15.6">
      <c r="B4839" s="197">
        <v>18.186448733766213</v>
      </c>
    </row>
    <row r="4840" spans="2:2" ht="15.6">
      <c r="B4840" s="197">
        <v>18.17134419367871</v>
      </c>
    </row>
    <row r="4841" spans="2:2" ht="15.6">
      <c r="B4841" s="197">
        <v>18.377519833323564</v>
      </c>
    </row>
    <row r="4842" spans="2:2" ht="15.6">
      <c r="B4842" s="197">
        <v>18.083964895879102</v>
      </c>
    </row>
    <row r="4843" spans="2:2" ht="15.6">
      <c r="B4843" s="197">
        <v>18.063007830014612</v>
      </c>
    </row>
    <row r="4844" spans="2:2" ht="15.6">
      <c r="B4844" s="197">
        <v>18.241210417628228</v>
      </c>
    </row>
    <row r="4845" spans="2:2" ht="15.6">
      <c r="B4845" s="197">
        <v>18.030630363120711</v>
      </c>
    </row>
    <row r="4846" spans="2:2" ht="15.6">
      <c r="B4846" s="197">
        <v>17.894895099010846</v>
      </c>
    </row>
    <row r="4847" spans="2:2" ht="15.6">
      <c r="B4847" s="197">
        <v>18.271754121501981</v>
      </c>
    </row>
    <row r="4848" spans="2:2" ht="15.6">
      <c r="B4848" s="197">
        <v>18.201004296073943</v>
      </c>
    </row>
    <row r="4849" spans="2:2" ht="15.6">
      <c r="B4849" s="197">
        <v>17.90027924771589</v>
      </c>
    </row>
    <row r="4850" spans="2:2" ht="15.6">
      <c r="B4850" s="197">
        <v>18.413158878119543</v>
      </c>
    </row>
    <row r="4851" spans="2:2" ht="15.6">
      <c r="B4851" s="197">
        <v>18.109499761949412</v>
      </c>
    </row>
    <row r="4852" spans="2:2" ht="15.6">
      <c r="B4852" s="197">
        <v>18.223670376396768</v>
      </c>
    </row>
    <row r="4853" spans="2:2" ht="15.6">
      <c r="B4853" s="197">
        <v>17.884749276803106</v>
      </c>
    </row>
    <row r="4854" spans="2:2" ht="15.6">
      <c r="B4854" s="197">
        <v>18.047090317845786</v>
      </c>
    </row>
    <row r="4855" spans="2:2" ht="15.6">
      <c r="B4855" s="197">
        <v>18.188236956536493</v>
      </c>
    </row>
    <row r="4856" spans="2:2" ht="15.6">
      <c r="B4856" s="197">
        <v>18.117275463648134</v>
      </c>
    </row>
    <row r="4857" spans="2:2" ht="15.6">
      <c r="B4857" s="197">
        <v>17.958018153895225</v>
      </c>
    </row>
    <row r="4858" spans="2:2" ht="15.6">
      <c r="B4858" s="197">
        <v>18.517765581122177</v>
      </c>
    </row>
    <row r="4859" spans="2:2" ht="15.6">
      <c r="B4859" s="197">
        <v>17.831874168111355</v>
      </c>
    </row>
    <row r="4860" spans="2:2" ht="15.6">
      <c r="B4860" s="197">
        <v>18.276004097178784</v>
      </c>
    </row>
    <row r="4861" spans="2:2" ht="15.6">
      <c r="B4861" s="197">
        <v>17.810863442094707</v>
      </c>
    </row>
    <row r="4862" spans="2:2" ht="15.6">
      <c r="B4862" s="197">
        <v>18.066076711671393</v>
      </c>
    </row>
    <row r="4863" spans="2:2" ht="15.6">
      <c r="B4863" s="197">
        <v>18.068300342618617</v>
      </c>
    </row>
    <row r="4864" spans="2:2" ht="15.6">
      <c r="B4864" s="197">
        <v>18.104338245919759</v>
      </c>
    </row>
    <row r="4865" spans="2:2" ht="15.6">
      <c r="B4865" s="197">
        <v>18.390723571754272</v>
      </c>
    </row>
    <row r="4866" spans="2:2" ht="15.6">
      <c r="B4866" s="197">
        <v>18.094974756959314</v>
      </c>
    </row>
    <row r="4867" spans="2:2" ht="15.6">
      <c r="B4867" s="197">
        <v>18.461843425692102</v>
      </c>
    </row>
    <row r="4868" spans="2:2" ht="15.6">
      <c r="B4868" s="197">
        <v>17.86697041416571</v>
      </c>
    </row>
    <row r="4869" spans="2:2" ht="15.6">
      <c r="B4869" s="197">
        <v>18.236760374234503</v>
      </c>
    </row>
    <row r="4870" spans="2:2" ht="15.6">
      <c r="B4870" s="197">
        <v>18.378042191224402</v>
      </c>
    </row>
    <row r="4871" spans="2:2" ht="15.6">
      <c r="B4871" s="197">
        <v>17.970043366141944</v>
      </c>
    </row>
    <row r="4872" spans="2:2" ht="15.6">
      <c r="B4872" s="197">
        <v>17.988625095984858</v>
      </c>
    </row>
    <row r="4873" spans="2:2" ht="15.6">
      <c r="B4873" s="197">
        <v>18.111222681979299</v>
      </c>
    </row>
    <row r="4874" spans="2:2" ht="15.6">
      <c r="B4874" s="197">
        <v>18.363133661088419</v>
      </c>
    </row>
    <row r="4875" spans="2:2" ht="15.6">
      <c r="B4875" s="197">
        <v>18.00749077702617</v>
      </c>
    </row>
    <row r="4876" spans="2:2" ht="15.6">
      <c r="B4876" s="197">
        <v>17.864013959168268</v>
      </c>
    </row>
    <row r="4877" spans="2:2" ht="15.6">
      <c r="B4877" s="197">
        <v>18.288640039918377</v>
      </c>
    </row>
    <row r="4878" spans="2:2" ht="15.6">
      <c r="B4878" s="197">
        <v>18.508245248577168</v>
      </c>
    </row>
    <row r="4879" spans="2:2" ht="15.6">
      <c r="B4879" s="197">
        <v>18.4239193603348</v>
      </c>
    </row>
    <row r="4880" spans="2:2" ht="15.6">
      <c r="B4880" s="197">
        <v>18.171612398093501</v>
      </c>
    </row>
    <row r="4881" spans="2:2" ht="15.6">
      <c r="B4881" s="197">
        <v>18.284829792408143</v>
      </c>
    </row>
    <row r="4882" spans="2:2" ht="15.6">
      <c r="B4882" s="197">
        <v>18.077597681742745</v>
      </c>
    </row>
    <row r="4883" spans="2:2" ht="15.6">
      <c r="B4883" s="197">
        <v>18.319183746578428</v>
      </c>
    </row>
    <row r="4884" spans="2:2" ht="15.6">
      <c r="B4884" s="197">
        <v>18.268165367669027</v>
      </c>
    </row>
    <row r="4885" spans="2:2" ht="15.6">
      <c r="B4885" s="197">
        <v>18.005329036682635</v>
      </c>
    </row>
    <row r="4886" spans="2:2" ht="15.6">
      <c r="B4886" s="197">
        <v>18.007106867038498</v>
      </c>
    </row>
    <row r="4887" spans="2:2" ht="15.6">
      <c r="B4887" s="197">
        <v>17.937095170570348</v>
      </c>
    </row>
    <row r="4888" spans="2:2" ht="15.6">
      <c r="B4888" s="197">
        <v>18.300666088936396</v>
      </c>
    </row>
    <row r="4889" spans="2:2" ht="15.6">
      <c r="B4889" s="197">
        <v>18.137973261821681</v>
      </c>
    </row>
    <row r="4890" spans="2:2" ht="15.6">
      <c r="B4890" s="197">
        <v>18.24095307629068</v>
      </c>
    </row>
    <row r="4891" spans="2:2" ht="15.6">
      <c r="B4891" s="197">
        <v>18.471077072036568</v>
      </c>
    </row>
    <row r="4892" spans="2:2" ht="15.6">
      <c r="B4892" s="197">
        <v>17.962849496215185</v>
      </c>
    </row>
    <row r="4893" spans="2:2" ht="15.6">
      <c r="B4893" s="197">
        <v>18.17590187838881</v>
      </c>
    </row>
    <row r="4894" spans="2:2" ht="15.6">
      <c r="B4894" s="197">
        <v>18.184637886648297</v>
      </c>
    </row>
    <row r="4895" spans="2:2" ht="15.6">
      <c r="B4895" s="197">
        <v>18.096654816311762</v>
      </c>
    </row>
    <row r="4896" spans="2:2" ht="15.6">
      <c r="B4896" s="197">
        <v>18.191944501286905</v>
      </c>
    </row>
    <row r="4897" spans="2:2" ht="15.6">
      <c r="B4897" s="197">
        <v>18.169383734879485</v>
      </c>
    </row>
    <row r="4898" spans="2:2" ht="15.6">
      <c r="B4898" s="197">
        <v>18.103650132366596</v>
      </c>
    </row>
    <row r="4899" spans="2:2" ht="15.6">
      <c r="B4899" s="197">
        <v>18.019387260525125</v>
      </c>
    </row>
    <row r="4900" spans="2:2" ht="15.6">
      <c r="B4900" s="197">
        <v>17.987374635250941</v>
      </c>
    </row>
    <row r="4901" spans="2:2" ht="15.6">
      <c r="B4901" s="197">
        <v>18.106669433072259</v>
      </c>
    </row>
    <row r="4902" spans="2:2" ht="15.6">
      <c r="B4902" s="197">
        <v>18.302666190492122</v>
      </c>
    </row>
    <row r="4903" spans="2:2" ht="15.6">
      <c r="B4903" s="197">
        <v>18.131769822036702</v>
      </c>
    </row>
    <row r="4904" spans="2:2" ht="15.6">
      <c r="B4904" s="197">
        <v>17.882791071120987</v>
      </c>
    </row>
    <row r="4905" spans="2:2" ht="15.6">
      <c r="B4905" s="197">
        <v>17.718064184483328</v>
      </c>
    </row>
    <row r="4906" spans="2:2" ht="15.6">
      <c r="B4906" s="197">
        <v>18.166331459688436</v>
      </c>
    </row>
    <row r="4907" spans="2:2" ht="15.6">
      <c r="B4907" s="197">
        <v>17.901926894025461</v>
      </c>
    </row>
    <row r="4908" spans="2:2" ht="15.6">
      <c r="B4908" s="197">
        <v>17.890629026387131</v>
      </c>
    </row>
    <row r="4909" spans="2:2" ht="15.6">
      <c r="B4909" s="197">
        <v>18.187114678593051</v>
      </c>
    </row>
    <row r="4910" spans="2:2" ht="15.6">
      <c r="B4910" s="197">
        <v>17.691857056027182</v>
      </c>
    </row>
    <row r="4911" spans="2:2" ht="15.6">
      <c r="B4911" s="197">
        <v>18.292257635702263</v>
      </c>
    </row>
    <row r="4912" spans="2:2" ht="15.6">
      <c r="B4912" s="197">
        <v>18.282689265795945</v>
      </c>
    </row>
    <row r="4913" spans="2:2" ht="15.6">
      <c r="B4913" s="197">
        <v>18.028483678111058</v>
      </c>
    </row>
    <row r="4914" spans="2:2" ht="15.6">
      <c r="B4914" s="197">
        <v>18.085713277490132</v>
      </c>
    </row>
    <row r="4915" spans="2:2" ht="15.6">
      <c r="B4915" s="197">
        <v>17.895393117978823</v>
      </c>
    </row>
    <row r="4916" spans="2:2" ht="15.6">
      <c r="B4916" s="197">
        <v>18.231427445848762</v>
      </c>
    </row>
    <row r="4917" spans="2:2" ht="15.6">
      <c r="B4917" s="197">
        <v>18.379043634485342</v>
      </c>
    </row>
    <row r="4918" spans="2:2" ht="15.6">
      <c r="B4918" s="197">
        <v>17.646392337855463</v>
      </c>
    </row>
    <row r="4919" spans="2:2" ht="15.6">
      <c r="B4919" s="197">
        <v>18.017293247442264</v>
      </c>
    </row>
    <row r="4920" spans="2:2" ht="15.6">
      <c r="B4920" s="197">
        <v>18.178667590129361</v>
      </c>
    </row>
    <row r="4921" spans="2:2" ht="15.6">
      <c r="B4921" s="197">
        <v>18.188105172226386</v>
      </c>
    </row>
    <row r="4922" spans="2:2" ht="15.6">
      <c r="B4922" s="197">
        <v>18.356905191339312</v>
      </c>
    </row>
    <row r="4923" spans="2:2" ht="15.6">
      <c r="B4923" s="197">
        <v>18.169638462278737</v>
      </c>
    </row>
    <row r="4924" spans="2:2" ht="15.6">
      <c r="B4924" s="197">
        <v>18.310278176002637</v>
      </c>
    </row>
    <row r="4925" spans="2:2" ht="15.6">
      <c r="B4925" s="197">
        <v>18.461199051090045</v>
      </c>
    </row>
    <row r="4926" spans="2:2" ht="15.6">
      <c r="B4926" s="197">
        <v>18.068672113116168</v>
      </c>
    </row>
    <row r="4927" spans="2:2" ht="15.6">
      <c r="B4927" s="197">
        <v>18.123185704506184</v>
      </c>
    </row>
    <row r="4928" spans="2:2" ht="15.6">
      <c r="B4928" s="197">
        <v>18.50559660558546</v>
      </c>
    </row>
    <row r="4929" spans="2:2" ht="15.6">
      <c r="B4929" s="197">
        <v>18.448308016401242</v>
      </c>
    </row>
    <row r="4930" spans="2:2" ht="15.6">
      <c r="B4930" s="197">
        <v>18.028623074622715</v>
      </c>
    </row>
    <row r="4931" spans="2:2" ht="15.6">
      <c r="B4931" s="197">
        <v>18.329133982112008</v>
      </c>
    </row>
    <row r="4932" spans="2:2" ht="15.6">
      <c r="B4932" s="197">
        <v>17.770837659184082</v>
      </c>
    </row>
    <row r="4933" spans="2:2" ht="15.6">
      <c r="B4933" s="197">
        <v>18.270352068293562</v>
      </c>
    </row>
    <row r="4934" spans="2:2" ht="15.6">
      <c r="B4934" s="197">
        <v>18.506590106710686</v>
      </c>
    </row>
    <row r="4935" spans="2:2" ht="15.6">
      <c r="B4935" s="197">
        <v>18.282222276613162</v>
      </c>
    </row>
    <row r="4936" spans="2:2" ht="15.6">
      <c r="B4936" s="197">
        <v>18.224658072641539</v>
      </c>
    </row>
    <row r="4937" spans="2:2" ht="15.6">
      <c r="B4937" s="197">
        <v>18.244858142015829</v>
      </c>
    </row>
    <row r="4938" spans="2:2" ht="15.6">
      <c r="B4938" s="197">
        <v>18.005798276423338</v>
      </c>
    </row>
    <row r="4939" spans="2:2" ht="15.6">
      <c r="B4939" s="197">
        <v>18.059725349555251</v>
      </c>
    </row>
    <row r="4940" spans="2:2" ht="15.6">
      <c r="B4940" s="197">
        <v>18.063109371035424</v>
      </c>
    </row>
    <row r="4941" spans="2:2" ht="15.6">
      <c r="B4941" s="197">
        <v>18.216852520543501</v>
      </c>
    </row>
    <row r="4942" spans="2:2" ht="15.6">
      <c r="B4942" s="197">
        <v>18.458282512394682</v>
      </c>
    </row>
    <row r="4943" spans="2:2" ht="15.6">
      <c r="B4943" s="197">
        <v>17.843025612359149</v>
      </c>
    </row>
    <row r="4944" spans="2:2" ht="15.6">
      <c r="B4944" s="197">
        <v>18.266278554428801</v>
      </c>
    </row>
    <row r="4945" spans="2:2" ht="15.6">
      <c r="B4945" s="197">
        <v>18.257090760760146</v>
      </c>
    </row>
    <row r="4946" spans="2:2" ht="15.6">
      <c r="B4946" s="197">
        <v>18.264630062872548</v>
      </c>
    </row>
    <row r="4947" spans="2:2" ht="15.6">
      <c r="B4947" s="197">
        <v>17.858046138395089</v>
      </c>
    </row>
    <row r="4948" spans="2:2" ht="15.6">
      <c r="B4948" s="197">
        <v>18.177910801554621</v>
      </c>
    </row>
    <row r="4949" spans="2:2" ht="15.6">
      <c r="B4949" s="197">
        <v>17.90432837631624</v>
      </c>
    </row>
    <row r="4950" spans="2:2" ht="15.6">
      <c r="B4950" s="197">
        <v>18.182942855468227</v>
      </c>
    </row>
    <row r="4951" spans="2:2" ht="15.6">
      <c r="B4951" s="197">
        <v>18.078378696688336</v>
      </c>
    </row>
    <row r="4952" spans="2:2" ht="15.6">
      <c r="B4952" s="197">
        <v>18.271289844363586</v>
      </c>
    </row>
    <row r="4953" spans="2:2" ht="15.6">
      <c r="B4953" s="197">
        <v>18.130661934032798</v>
      </c>
    </row>
    <row r="4954" spans="2:2" ht="15.6">
      <c r="B4954" s="197">
        <v>18.170958985255243</v>
      </c>
    </row>
    <row r="4955" spans="2:2" ht="15.6">
      <c r="B4955" s="197">
        <v>18.161740820727275</v>
      </c>
    </row>
    <row r="4956" spans="2:2" ht="15.6">
      <c r="B4956" s="197">
        <v>18.266874608745166</v>
      </c>
    </row>
    <row r="4957" spans="2:2" ht="15.6">
      <c r="B4957" s="197">
        <v>18.025807653857232</v>
      </c>
    </row>
    <row r="4958" spans="2:2" ht="15.6">
      <c r="B4958" s="197">
        <v>18.485226410002376</v>
      </c>
    </row>
    <row r="4959" spans="2:2" ht="15.6">
      <c r="B4959" s="197">
        <v>18.029318437530364</v>
      </c>
    </row>
    <row r="4960" spans="2:2" ht="15.6">
      <c r="B4960" s="197">
        <v>17.965750512914667</v>
      </c>
    </row>
    <row r="4961" spans="2:2" ht="15.6">
      <c r="B4961" s="197">
        <v>17.814171501854428</v>
      </c>
    </row>
    <row r="4962" spans="2:2" ht="15.6">
      <c r="B4962" s="197">
        <v>17.751341489626498</v>
      </c>
    </row>
    <row r="4963" spans="2:2" ht="15.6">
      <c r="B4963" s="197">
        <v>18.341420729217457</v>
      </c>
    </row>
    <row r="4964" spans="2:2" ht="15.6">
      <c r="B4964" s="197">
        <v>18.147952643358654</v>
      </c>
    </row>
    <row r="4965" spans="2:2" ht="15.6">
      <c r="B4965" s="197">
        <v>18.073859637166453</v>
      </c>
    </row>
    <row r="4966" spans="2:2" ht="15.6">
      <c r="B4966" s="197">
        <v>17.905774030704844</v>
      </c>
    </row>
    <row r="4967" spans="2:2" ht="15.6">
      <c r="B4967" s="197">
        <v>18.083722137331371</v>
      </c>
    </row>
    <row r="4968" spans="2:2" ht="15.6">
      <c r="B4968" s="197">
        <v>18.482653833250296</v>
      </c>
    </row>
    <row r="4969" spans="2:2" ht="15.6">
      <c r="B4969" s="197">
        <v>17.960885845501988</v>
      </c>
    </row>
    <row r="4970" spans="2:2" ht="15.6">
      <c r="B4970" s="197">
        <v>17.759900414827015</v>
      </c>
    </row>
    <row r="4971" spans="2:2" ht="15.6">
      <c r="B4971" s="197">
        <v>17.878780994930334</v>
      </c>
    </row>
    <row r="4972" spans="2:2" ht="15.6">
      <c r="B4972" s="197">
        <v>18.105679298922645</v>
      </c>
    </row>
    <row r="4973" spans="2:2" ht="15.6">
      <c r="B4973" s="197">
        <v>18.274696825154706</v>
      </c>
    </row>
    <row r="4974" spans="2:2" ht="15.6">
      <c r="B4974" s="197">
        <v>18.157586445585792</v>
      </c>
    </row>
    <row r="4975" spans="2:2" ht="15.6">
      <c r="B4975" s="197">
        <v>18.073802909630377</v>
      </c>
    </row>
    <row r="4976" spans="2:2" ht="15.6">
      <c r="B4976" s="197">
        <v>18.249506769432283</v>
      </c>
    </row>
    <row r="4977" spans="2:2" ht="15.6">
      <c r="B4977" s="197">
        <v>18.294157141043915</v>
      </c>
    </row>
    <row r="4978" spans="2:2" ht="15.6">
      <c r="B4978" s="197">
        <v>17.787382871896757</v>
      </c>
    </row>
    <row r="4979" spans="2:2" ht="15.6">
      <c r="B4979" s="197">
        <v>18.071834240502472</v>
      </c>
    </row>
    <row r="4980" spans="2:2" ht="15.6">
      <c r="B4980" s="197">
        <v>18.354180573244342</v>
      </c>
    </row>
    <row r="4981" spans="2:2" ht="15.6">
      <c r="B4981" s="197">
        <v>18.138276389232178</v>
      </c>
    </row>
    <row r="4982" spans="2:2" ht="15.6">
      <c r="B4982" s="197">
        <v>18.300709989404332</v>
      </c>
    </row>
    <row r="4983" spans="2:2" ht="15.6">
      <c r="B4983" s="197">
        <v>18.104993708500981</v>
      </c>
    </row>
    <row r="4984" spans="2:2" ht="15.6">
      <c r="B4984" s="197">
        <v>18.057152218531829</v>
      </c>
    </row>
    <row r="4985" spans="2:2" ht="15.6">
      <c r="B4985" s="197">
        <v>17.965194797940157</v>
      </c>
    </row>
    <row r="4986" spans="2:2" ht="15.6">
      <c r="B4986" s="197">
        <v>17.999730668035539</v>
      </c>
    </row>
    <row r="4987" spans="2:2" ht="15.6">
      <c r="B4987" s="197">
        <v>17.992747201286711</v>
      </c>
    </row>
    <row r="4988" spans="2:2" ht="15.6">
      <c r="B4988" s="197">
        <v>18.393649921561142</v>
      </c>
    </row>
    <row r="4989" spans="2:2" ht="15.6">
      <c r="B4989" s="197">
        <v>18.116278091120762</v>
      </c>
    </row>
    <row r="4990" spans="2:2" ht="15.6">
      <c r="B4990" s="197">
        <v>17.900189961810106</v>
      </c>
    </row>
    <row r="4991" spans="2:2" ht="15.6">
      <c r="B4991" s="197">
        <v>18.126377951797146</v>
      </c>
    </row>
    <row r="4992" spans="2:2" ht="15.6">
      <c r="B4992" s="197">
        <v>18.100915121745118</v>
      </c>
    </row>
    <row r="4993" spans="2:2" ht="15.6">
      <c r="B4993" s="197">
        <v>18.205828678074365</v>
      </c>
    </row>
    <row r="4994" spans="2:2" ht="15.6">
      <c r="B4994" s="197">
        <v>17.914405528850832</v>
      </c>
    </row>
    <row r="4995" spans="2:2" ht="15.6">
      <c r="B4995" s="197">
        <v>18.158500258448168</v>
      </c>
    </row>
    <row r="4996" spans="2:2" ht="15.6">
      <c r="B4996" s="197">
        <v>18.075426686774147</v>
      </c>
    </row>
    <row r="4997" spans="2:2" ht="15.6">
      <c r="B4997" s="197">
        <v>18.002925734213065</v>
      </c>
    </row>
    <row r="4998" spans="2:2" ht="15.6">
      <c r="B4998" s="197">
        <v>17.980493259386254</v>
      </c>
    </row>
    <row r="4999" spans="2:2" ht="15.6">
      <c r="B4999" s="197">
        <v>18.527133176314585</v>
      </c>
    </row>
    <row r="5000" spans="2:2" ht="15.6">
      <c r="B5000" s="197">
        <v>18.115630685352578</v>
      </c>
    </row>
    <row r="5001" spans="2:2" ht="15.6">
      <c r="B5001" s="197">
        <v>18.210363440578558</v>
      </c>
    </row>
    <row r="5002" spans="2:2" ht="15.6">
      <c r="B5002" s="197">
        <v>18.210294567885636</v>
      </c>
    </row>
    <row r="5003" spans="2:2" ht="15.6">
      <c r="B5003" s="197">
        <v>18.056236837029431</v>
      </c>
    </row>
    <row r="5004" spans="2:2" ht="15.6">
      <c r="B5004" s="197">
        <v>18.041029292000001</v>
      </c>
    </row>
    <row r="5005" spans="2:2" ht="15.6">
      <c r="B5005" s="197">
        <v>18.160364757619814</v>
      </c>
    </row>
    <row r="5006" spans="2:2" ht="15.6">
      <c r="B5006" s="197">
        <v>18.040716643685005</v>
      </c>
    </row>
    <row r="5007" spans="2:2" ht="15.6">
      <c r="B5007" s="197">
        <v>18.202116518229516</v>
      </c>
    </row>
    <row r="5008" spans="2:2" ht="15.6">
      <c r="B5008" s="197">
        <v>18.326868804756376</v>
      </c>
    </row>
    <row r="5009" spans="2:2" ht="15.6">
      <c r="B5009" s="197">
        <v>17.895366320139235</v>
      </c>
    </row>
    <row r="5010" spans="2:2" ht="15.6">
      <c r="B5010" s="197">
        <v>18.188739675844307</v>
      </c>
    </row>
    <row r="5011" spans="2:2" ht="15.6">
      <c r="B5011" s="197">
        <v>18.14592948072406</v>
      </c>
    </row>
    <row r="5012" spans="2:2" ht="15.6">
      <c r="B5012" s="197">
        <v>18.02469336086364</v>
      </c>
    </row>
    <row r="5013" spans="2:2" ht="15.6">
      <c r="B5013" s="197">
        <v>17.908968931803102</v>
      </c>
    </row>
    <row r="5014" spans="2:2" ht="15.6">
      <c r="B5014" s="197">
        <v>17.831059744870497</v>
      </c>
    </row>
    <row r="5015" spans="2:2" ht="15.6">
      <c r="B5015" s="197">
        <v>18.004406589534277</v>
      </c>
    </row>
    <row r="5016" spans="2:2" ht="15.6">
      <c r="B5016" s="197">
        <v>18.000764334397232</v>
      </c>
    </row>
    <row r="5017" spans="2:2" ht="15.6">
      <c r="B5017" s="197">
        <v>18.33915716045281</v>
      </c>
    </row>
    <row r="5018" spans="2:2" ht="15.6">
      <c r="B5018" s="197">
        <v>18.280145277649012</v>
      </c>
    </row>
    <row r="5019" spans="2:2" ht="15.6">
      <c r="B5019" s="197">
        <v>18.022889751013437</v>
      </c>
    </row>
    <row r="5020" spans="2:2" ht="15.6">
      <c r="B5020" s="197">
        <v>17.96034933495168</v>
      </c>
    </row>
    <row r="5021" spans="2:2" ht="15.6">
      <c r="B5021" s="197">
        <v>18.020621289561117</v>
      </c>
    </row>
    <row r="5022" spans="2:2" ht="15.6">
      <c r="B5022" s="197">
        <v>18.361854903733249</v>
      </c>
    </row>
    <row r="5023" spans="2:2" ht="15.6">
      <c r="B5023" s="197">
        <v>18.217904223445544</v>
      </c>
    </row>
    <row r="5024" spans="2:2" ht="15.6">
      <c r="B5024" s="197">
        <v>18.066726473176612</v>
      </c>
    </row>
    <row r="5025" spans="2:2" ht="15.6">
      <c r="B5025" s="197">
        <v>18.267200875172097</v>
      </c>
    </row>
    <row r="5026" spans="2:2" ht="15.6">
      <c r="B5026" s="197">
        <v>17.742986123836118</v>
      </c>
    </row>
    <row r="5027" spans="2:2" ht="15.6">
      <c r="B5027" s="197">
        <v>18.386055116415569</v>
      </c>
    </row>
    <row r="5028" spans="2:2" ht="15.6">
      <c r="B5028" s="197">
        <v>18.359206291647084</v>
      </c>
    </row>
    <row r="5029" spans="2:2" ht="15.6">
      <c r="B5029" s="197">
        <v>17.871257800574067</v>
      </c>
    </row>
    <row r="5030" spans="2:2" ht="15.6">
      <c r="B5030" s="197">
        <v>18.378681556019441</v>
      </c>
    </row>
    <row r="5031" spans="2:2" ht="15.6">
      <c r="B5031" s="197">
        <v>18.095677905665436</v>
      </c>
    </row>
    <row r="5032" spans="2:2" ht="15.6">
      <c r="B5032" s="197">
        <v>17.859892934180671</v>
      </c>
    </row>
    <row r="5033" spans="2:2" ht="15.6">
      <c r="B5033" s="197">
        <v>18.222568719082471</v>
      </c>
    </row>
    <row r="5034" spans="2:2" ht="15.6">
      <c r="B5034" s="197">
        <v>18.364023756049175</v>
      </c>
    </row>
    <row r="5035" spans="2:2" ht="15.6">
      <c r="B5035" s="197">
        <v>18.134027729353182</v>
      </c>
    </row>
    <row r="5036" spans="2:2" ht="15.6">
      <c r="B5036" s="197">
        <v>18.052993778130205</v>
      </c>
    </row>
    <row r="5037" spans="2:2" ht="15.6">
      <c r="B5037" s="197">
        <v>18.253088907990787</v>
      </c>
    </row>
    <row r="5038" spans="2:2" ht="15.6">
      <c r="B5038" s="197">
        <v>18.289394808119493</v>
      </c>
    </row>
    <row r="5039" spans="2:2" ht="15.6">
      <c r="B5039" s="197">
        <v>17.943963306655856</v>
      </c>
    </row>
    <row r="5040" spans="2:2" ht="15.6">
      <c r="B5040" s="197">
        <v>18.596007294182673</v>
      </c>
    </row>
    <row r="5041" spans="2:2" ht="15.6">
      <c r="B5041" s="197">
        <v>18.198284067726625</v>
      </c>
    </row>
    <row r="5042" spans="2:2" ht="15.6">
      <c r="B5042" s="197">
        <v>18.088694247565318</v>
      </c>
    </row>
    <row r="5043" spans="2:2" ht="15.6">
      <c r="B5043" s="197">
        <v>18.189012060440692</v>
      </c>
    </row>
    <row r="5044" spans="2:2" ht="15.6">
      <c r="B5044" s="197">
        <v>18.310647662082758</v>
      </c>
    </row>
    <row r="5045" spans="2:2" ht="15.6">
      <c r="B5045" s="197">
        <v>18.184752235503964</v>
      </c>
    </row>
    <row r="5046" spans="2:2" ht="15.6">
      <c r="B5046" s="197">
        <v>17.979612089493035</v>
      </c>
    </row>
    <row r="5047" spans="2:2" ht="15.6">
      <c r="B5047" s="197">
        <v>18.200747548883601</v>
      </c>
    </row>
    <row r="5048" spans="2:2" ht="15.6">
      <c r="B5048" s="197">
        <v>18.061419083282452</v>
      </c>
    </row>
    <row r="5049" spans="2:2" ht="15.6">
      <c r="B5049" s="197">
        <v>18.307543497020507</v>
      </c>
    </row>
    <row r="5050" spans="2:2" ht="15.6">
      <c r="B5050" s="197">
        <v>18.106518681327262</v>
      </c>
    </row>
    <row r="5051" spans="2:2" ht="15.6">
      <c r="B5051" s="197">
        <v>17.887817692260782</v>
      </c>
    </row>
    <row r="5052" spans="2:2" ht="15.6">
      <c r="B5052" s="197">
        <v>18.079656879532777</v>
      </c>
    </row>
    <row r="5053" spans="2:2" ht="15.6">
      <c r="B5053" s="197">
        <v>18.402952531243791</v>
      </c>
    </row>
    <row r="5054" spans="2:2" ht="15.6">
      <c r="B5054" s="197">
        <v>17.970921732423911</v>
      </c>
    </row>
    <row r="5055" spans="2:2" ht="15.6">
      <c r="B5055" s="197">
        <v>17.932982169794649</v>
      </c>
    </row>
    <row r="5056" spans="2:2" ht="15.6">
      <c r="B5056" s="197">
        <v>18.048420514757424</v>
      </c>
    </row>
    <row r="5057" spans="2:2" ht="15.6">
      <c r="B5057" s="197">
        <v>17.815139133301951</v>
      </c>
    </row>
    <row r="5058" spans="2:2" ht="15.6">
      <c r="B5058" s="197">
        <v>18.158570709256956</v>
      </c>
    </row>
    <row r="5059" spans="2:2" ht="15.6">
      <c r="B5059" s="197">
        <v>17.973052859728945</v>
      </c>
    </row>
    <row r="5060" spans="2:2" ht="15.6">
      <c r="B5060" s="197">
        <v>18.011212723323094</v>
      </c>
    </row>
    <row r="5061" spans="2:2" ht="15.6">
      <c r="B5061" s="197">
        <v>18.177007503922912</v>
      </c>
    </row>
    <row r="5062" spans="2:2" ht="15.6">
      <c r="B5062" s="197">
        <v>18.326311846532825</v>
      </c>
    </row>
    <row r="5063" spans="2:2" ht="15.6">
      <c r="B5063" s="197">
        <v>17.868079665972289</v>
      </c>
    </row>
    <row r="5064" spans="2:2" ht="15.6">
      <c r="B5064" s="197">
        <v>17.837097829406531</v>
      </c>
    </row>
    <row r="5065" spans="2:2" ht="15.6">
      <c r="B5065" s="197">
        <v>17.972983095988535</v>
      </c>
    </row>
    <row r="5066" spans="2:2" ht="15.6">
      <c r="B5066" s="197">
        <v>18.403738751184836</v>
      </c>
    </row>
    <row r="5067" spans="2:2" ht="15.6">
      <c r="B5067" s="197">
        <v>18.415889511525496</v>
      </c>
    </row>
    <row r="5068" spans="2:2" ht="15.6">
      <c r="B5068" s="197">
        <v>18.056269481248169</v>
      </c>
    </row>
    <row r="5069" spans="2:2" ht="15.6">
      <c r="B5069" s="197">
        <v>18.451023040664367</v>
      </c>
    </row>
    <row r="5070" spans="2:2" ht="15.6">
      <c r="B5070" s="197">
        <v>18.336402988855546</v>
      </c>
    </row>
    <row r="5071" spans="2:2" ht="15.6">
      <c r="B5071" s="197">
        <v>18.00374933206184</v>
      </c>
    </row>
    <row r="5072" spans="2:2" ht="15.6">
      <c r="B5072" s="197">
        <v>17.852610403987498</v>
      </c>
    </row>
    <row r="5073" spans="2:2" ht="15.6">
      <c r="B5073" s="197">
        <v>18.066946070382738</v>
      </c>
    </row>
    <row r="5074" spans="2:2" ht="15.6">
      <c r="B5074" s="197">
        <v>18.332248855729894</v>
      </c>
    </row>
    <row r="5075" spans="2:2" ht="15.6">
      <c r="B5075" s="197">
        <v>17.985882430919322</v>
      </c>
    </row>
    <row r="5076" spans="2:2" ht="15.6">
      <c r="B5076" s="197">
        <v>18.021556014325391</v>
      </c>
    </row>
    <row r="5077" spans="2:2" ht="15.6">
      <c r="B5077" s="197">
        <v>18.586457942055837</v>
      </c>
    </row>
    <row r="5078" spans="2:2" ht="15.6">
      <c r="B5078" s="197">
        <v>18.402547059713726</v>
      </c>
    </row>
    <row r="5079" spans="2:2" ht="15.6">
      <c r="B5079" s="197">
        <v>18.557501038241551</v>
      </c>
    </row>
    <row r="5080" spans="2:2" ht="15.6">
      <c r="B5080" s="197">
        <v>18.105248058545452</v>
      </c>
    </row>
    <row r="5081" spans="2:2" ht="15.6">
      <c r="B5081" s="197">
        <v>18.219289580667624</v>
      </c>
    </row>
    <row r="5082" spans="2:2" ht="15.6">
      <c r="B5082" s="197">
        <v>18.232371604683468</v>
      </c>
    </row>
    <row r="5083" spans="2:2" ht="15.6">
      <c r="B5083" s="197">
        <v>18.187614778085692</v>
      </c>
    </row>
    <row r="5084" spans="2:2" ht="15.6">
      <c r="B5084" s="197">
        <v>18.592829084776469</v>
      </c>
    </row>
    <row r="5085" spans="2:2" ht="15.6">
      <c r="B5085" s="197">
        <v>18.239140326746316</v>
      </c>
    </row>
    <row r="5086" spans="2:2" ht="15.6">
      <c r="B5086" s="197">
        <v>18.082640983028803</v>
      </c>
    </row>
    <row r="5087" spans="2:2" ht="15.6">
      <c r="B5087" s="197">
        <v>18.022668373556026</v>
      </c>
    </row>
    <row r="5088" spans="2:2" ht="15.6">
      <c r="B5088" s="197">
        <v>17.984359921035555</v>
      </c>
    </row>
    <row r="5089" spans="2:2" ht="15.6">
      <c r="B5089" s="197">
        <v>18.160445915939736</v>
      </c>
    </row>
    <row r="5090" spans="2:2" ht="15.6">
      <c r="B5090" s="197">
        <v>18.330157291606312</v>
      </c>
    </row>
    <row r="5091" spans="2:2" ht="15.6">
      <c r="B5091" s="197">
        <v>17.95566013862048</v>
      </c>
    </row>
    <row r="5092" spans="2:2" ht="15.6">
      <c r="B5092" s="197">
        <v>18.159904262532475</v>
      </c>
    </row>
    <row r="5093" spans="2:2" ht="15.6">
      <c r="B5093" s="197">
        <v>18.108680506183809</v>
      </c>
    </row>
    <row r="5094" spans="2:2" ht="15.6">
      <c r="B5094" s="197">
        <v>17.950272508144167</v>
      </c>
    </row>
    <row r="5095" spans="2:2" ht="15.6">
      <c r="B5095" s="197">
        <v>18.355502734362439</v>
      </c>
    </row>
    <row r="5096" spans="2:2" ht="15.6">
      <c r="B5096" s="197">
        <v>17.989083444523228</v>
      </c>
    </row>
    <row r="5097" spans="2:2" ht="15.6">
      <c r="B5097" s="197">
        <v>18.297949511326156</v>
      </c>
    </row>
    <row r="5098" spans="2:2" ht="15.6">
      <c r="B5098" s="197">
        <v>18.384557989871155</v>
      </c>
    </row>
    <row r="5099" spans="2:2" ht="15.6">
      <c r="B5099" s="197">
        <v>17.900256367118384</v>
      </c>
    </row>
    <row r="5100" spans="2:2" ht="15.6">
      <c r="B5100" s="197">
        <v>17.740176456787598</v>
      </c>
    </row>
    <row r="5101" spans="2:2" ht="15.6">
      <c r="B5101" s="197">
        <v>18.105927745976587</v>
      </c>
    </row>
    <row r="5102" spans="2:2" ht="15.6">
      <c r="B5102" s="197">
        <v>18.000978242680549</v>
      </c>
    </row>
    <row r="5103" spans="2:2" ht="15.6">
      <c r="B5103" s="197">
        <v>18.091816002820572</v>
      </c>
    </row>
    <row r="5104" spans="2:2" ht="15.6">
      <c r="B5104" s="197">
        <v>18.287121404754586</v>
      </c>
    </row>
    <row r="5105" spans="2:2" ht="15.6">
      <c r="B5105" s="197">
        <v>18.062238896595979</v>
      </c>
    </row>
    <row r="5106" spans="2:2" ht="15.6">
      <c r="B5106" s="197">
        <v>18.106571906349686</v>
      </c>
    </row>
    <row r="5107" spans="2:2" ht="15.6">
      <c r="B5107" s="197">
        <v>18.4039141889373</v>
      </c>
    </row>
    <row r="5108" spans="2:2" ht="15.6">
      <c r="B5108" s="197">
        <v>18.271048653999983</v>
      </c>
    </row>
    <row r="5109" spans="2:2" ht="15.6">
      <c r="B5109" s="197">
        <v>18.358457067664155</v>
      </c>
    </row>
    <row r="5110" spans="2:2" ht="15.6">
      <c r="B5110" s="197">
        <v>18.381525931387561</v>
      </c>
    </row>
    <row r="5111" spans="2:2" ht="15.6">
      <c r="B5111" s="197">
        <v>18.280298083097751</v>
      </c>
    </row>
    <row r="5112" spans="2:2" ht="15.6">
      <c r="B5112" s="197">
        <v>18.067901649314308</v>
      </c>
    </row>
    <row r="5113" spans="2:2" ht="15.6">
      <c r="B5113" s="197">
        <v>18.162782436384969</v>
      </c>
    </row>
    <row r="5114" spans="2:2" ht="15.6">
      <c r="B5114" s="197">
        <v>18.275098916670874</v>
      </c>
    </row>
    <row r="5115" spans="2:2" ht="15.6">
      <c r="B5115" s="197">
        <v>18.018773815630915</v>
      </c>
    </row>
    <row r="5116" spans="2:2" ht="15.6">
      <c r="B5116" s="197">
        <v>18.188973353604972</v>
      </c>
    </row>
    <row r="5117" spans="2:2" ht="15.6">
      <c r="B5117" s="197">
        <v>18.090702178066792</v>
      </c>
    </row>
    <row r="5118" spans="2:2" ht="15.6">
      <c r="B5118" s="197">
        <v>18.354952276344186</v>
      </c>
    </row>
    <row r="5119" spans="2:2" ht="15.6">
      <c r="B5119" s="197">
        <v>18.168569651688756</v>
      </c>
    </row>
    <row r="5120" spans="2:2" ht="15.6">
      <c r="B5120" s="197">
        <v>17.89589125823802</v>
      </c>
    </row>
    <row r="5121" spans="2:2" ht="15.6">
      <c r="B5121" s="197">
        <v>18.253932931682026</v>
      </c>
    </row>
    <row r="5122" spans="2:2" ht="15.6">
      <c r="B5122" s="197">
        <v>18.24671270148448</v>
      </c>
    </row>
    <row r="5123" spans="2:2" ht="15.6">
      <c r="B5123" s="197">
        <v>18.214478436648754</v>
      </c>
    </row>
    <row r="5124" spans="2:2" ht="15.6">
      <c r="B5124" s="197">
        <v>18.253389703869079</v>
      </c>
    </row>
    <row r="5125" spans="2:2" ht="15.6">
      <c r="B5125" s="197">
        <v>18.108289460740149</v>
      </c>
    </row>
    <row r="5126" spans="2:2" ht="15.6">
      <c r="B5126" s="197">
        <v>18.264527290032877</v>
      </c>
    </row>
    <row r="5127" spans="2:2" ht="15.6">
      <c r="B5127" s="197">
        <v>18.46714098510882</v>
      </c>
    </row>
    <row r="5128" spans="2:2" ht="15.6">
      <c r="B5128" s="197">
        <v>18.390856508605868</v>
      </c>
    </row>
    <row r="5129" spans="2:2" ht="15.6">
      <c r="B5129" s="197">
        <v>17.844285780868123</v>
      </c>
    </row>
    <row r="5130" spans="2:2" ht="15.6">
      <c r="B5130" s="197">
        <v>18.522593429590547</v>
      </c>
    </row>
    <row r="5131" spans="2:2" ht="15.6">
      <c r="B5131" s="197">
        <v>18.053858993756592</v>
      </c>
    </row>
    <row r="5132" spans="2:2" ht="15.6">
      <c r="B5132" s="197">
        <v>18.356762029876215</v>
      </c>
    </row>
    <row r="5133" spans="2:2" ht="15.6">
      <c r="B5133" s="197">
        <v>18.146583774670777</v>
      </c>
    </row>
    <row r="5134" spans="2:2" ht="15.6">
      <c r="B5134" s="197">
        <v>18.140232970719826</v>
      </c>
    </row>
    <row r="5135" spans="2:2" ht="15.6">
      <c r="B5135" s="197">
        <v>18.011174565469322</v>
      </c>
    </row>
    <row r="5136" spans="2:2" ht="15.6">
      <c r="B5136" s="197">
        <v>18.166588336037922</v>
      </c>
    </row>
    <row r="5137" spans="2:2" ht="15.6">
      <c r="B5137" s="197">
        <v>17.878939636108907</v>
      </c>
    </row>
    <row r="5138" spans="2:2" ht="15.6">
      <c r="B5138" s="197">
        <v>18.521000907258877</v>
      </c>
    </row>
    <row r="5139" spans="2:2" ht="15.6">
      <c r="B5139" s="197">
        <v>18.344350283462017</v>
      </c>
    </row>
    <row r="5140" spans="2:2" ht="15.6">
      <c r="B5140" s="197">
        <v>18.069941896120948</v>
      </c>
    </row>
    <row r="5141" spans="2:2" ht="15.6">
      <c r="B5141" s="197">
        <v>18.40643654371025</v>
      </c>
    </row>
    <row r="5142" spans="2:2" ht="15.6">
      <c r="B5142" s="197">
        <v>18.06299481796281</v>
      </c>
    </row>
    <row r="5143" spans="2:2" ht="15.6">
      <c r="B5143" s="197">
        <v>18.227905890455581</v>
      </c>
    </row>
    <row r="5144" spans="2:2" ht="15.6">
      <c r="B5144" s="197">
        <v>18.126449624674052</v>
      </c>
    </row>
    <row r="5145" spans="2:2" ht="15.6">
      <c r="B5145" s="197">
        <v>18.137380949934077</v>
      </c>
    </row>
    <row r="5146" spans="2:2" ht="15.6">
      <c r="B5146" s="197">
        <v>18.290615511375105</v>
      </c>
    </row>
    <row r="5147" spans="2:2" ht="15.6">
      <c r="B5147" s="197">
        <v>18.261104862038724</v>
      </c>
    </row>
    <row r="5148" spans="2:2" ht="15.6">
      <c r="B5148" s="197">
        <v>18.210649462439534</v>
      </c>
    </row>
    <row r="5149" spans="2:2" ht="15.6">
      <c r="B5149" s="197">
        <v>17.86209868810651</v>
      </c>
    </row>
    <row r="5150" spans="2:2" ht="15.6">
      <c r="B5150" s="197">
        <v>18.130391755105904</v>
      </c>
    </row>
    <row r="5151" spans="2:2" ht="15.6">
      <c r="B5151" s="197">
        <v>18.176102240633185</v>
      </c>
    </row>
    <row r="5152" spans="2:2" ht="15.6">
      <c r="B5152" s="197">
        <v>17.86896542676579</v>
      </c>
    </row>
    <row r="5153" spans="2:2" ht="15.6">
      <c r="B5153" s="197">
        <v>18.011056069008465</v>
      </c>
    </row>
    <row r="5154" spans="2:2" ht="15.6">
      <c r="B5154" s="197">
        <v>18.430863688226477</v>
      </c>
    </row>
    <row r="5155" spans="2:2" ht="15.6">
      <c r="B5155" s="197">
        <v>18.123409256373442</v>
      </c>
    </row>
    <row r="5156" spans="2:2" ht="15.6">
      <c r="B5156" s="197">
        <v>17.939136104226392</v>
      </c>
    </row>
    <row r="5157" spans="2:2" ht="15.6">
      <c r="B5157" s="197">
        <v>17.748556725897121</v>
      </c>
    </row>
    <row r="5158" spans="2:2" ht="15.6">
      <c r="B5158" s="197">
        <v>18.052848499590727</v>
      </c>
    </row>
    <row r="5159" spans="2:2" ht="15.6">
      <c r="B5159" s="197">
        <v>18.22724998142921</v>
      </c>
    </row>
    <row r="5160" spans="2:2" ht="15.6">
      <c r="B5160" s="197">
        <v>18.079563274531822</v>
      </c>
    </row>
    <row r="5161" spans="2:2" ht="15.6">
      <c r="B5161" s="197">
        <v>18.105216113360953</v>
      </c>
    </row>
    <row r="5162" spans="2:2" ht="15.6">
      <c r="B5162" s="197">
        <v>17.936759449364128</v>
      </c>
    </row>
    <row r="5163" spans="2:2" ht="15.6">
      <c r="B5163" s="197">
        <v>18.299446894165204</v>
      </c>
    </row>
    <row r="5164" spans="2:2" ht="15.6">
      <c r="B5164" s="197">
        <v>17.920269170523213</v>
      </c>
    </row>
    <row r="5165" spans="2:2" ht="15.6">
      <c r="B5165" s="197">
        <v>18.546375284600941</v>
      </c>
    </row>
    <row r="5166" spans="2:2" ht="15.6">
      <c r="B5166" s="197">
        <v>18.010468804533826</v>
      </c>
    </row>
    <row r="5167" spans="2:2" ht="15.6">
      <c r="B5167" s="197">
        <v>17.797323963039815</v>
      </c>
    </row>
    <row r="5168" spans="2:2" ht="15.6">
      <c r="B5168" s="197">
        <v>18.509861528272243</v>
      </c>
    </row>
    <row r="5169" spans="2:2" ht="15.6">
      <c r="B5169" s="197">
        <v>18.290837803352023</v>
      </c>
    </row>
    <row r="5170" spans="2:2" ht="15.6">
      <c r="B5170" s="197">
        <v>17.966115686683064</v>
      </c>
    </row>
    <row r="5171" spans="2:2" ht="15.6">
      <c r="B5171" s="197">
        <v>18.198062932097169</v>
      </c>
    </row>
    <row r="5172" spans="2:2" ht="15.6">
      <c r="B5172" s="197">
        <v>18.334483094401591</v>
      </c>
    </row>
    <row r="5173" spans="2:2" ht="15.6">
      <c r="B5173" s="197">
        <v>17.88557409509302</v>
      </c>
    </row>
    <row r="5174" spans="2:2" ht="15.6">
      <c r="B5174" s="197">
        <v>18.385878680052762</v>
      </c>
    </row>
    <row r="5175" spans="2:2" ht="15.6">
      <c r="B5175" s="197">
        <v>18.278237574942004</v>
      </c>
    </row>
    <row r="5176" spans="2:2" ht="15.6">
      <c r="B5176" s="197">
        <v>18.332159622175208</v>
      </c>
    </row>
    <row r="5177" spans="2:2" ht="15.6">
      <c r="B5177" s="197">
        <v>18.269855738094954</v>
      </c>
    </row>
    <row r="5178" spans="2:2" ht="15.6">
      <c r="B5178" s="197">
        <v>18.185260188269364</v>
      </c>
    </row>
    <row r="5179" spans="2:2" ht="15.6">
      <c r="B5179" s="197">
        <v>18.349295251527391</v>
      </c>
    </row>
    <row r="5180" spans="2:2" ht="15.6">
      <c r="B5180" s="197">
        <v>18.099197994486293</v>
      </c>
    </row>
    <row r="5181" spans="2:2" ht="15.6">
      <c r="B5181" s="197">
        <v>18.194789885547081</v>
      </c>
    </row>
    <row r="5182" spans="2:2" ht="15.6">
      <c r="B5182" s="197">
        <v>18.392900067378818</v>
      </c>
    </row>
    <row r="5183" spans="2:2" ht="15.6">
      <c r="B5183" s="197">
        <v>18.379336209572035</v>
      </c>
    </row>
    <row r="5184" spans="2:2" ht="15.6">
      <c r="B5184" s="197">
        <v>18.312056065050907</v>
      </c>
    </row>
    <row r="5185" spans="2:2" ht="15.6">
      <c r="B5185" s="197">
        <v>18.173538645060226</v>
      </c>
    </row>
    <row r="5186" spans="2:2" ht="15.6">
      <c r="B5186" s="197">
        <v>17.968751362129673</v>
      </c>
    </row>
    <row r="5187" spans="2:2" ht="15.6">
      <c r="B5187" s="197">
        <v>17.988837189118239</v>
      </c>
    </row>
    <row r="5188" spans="2:2" ht="15.6">
      <c r="B5188" s="197">
        <v>17.979244333124292</v>
      </c>
    </row>
    <row r="5189" spans="2:2" ht="15.6">
      <c r="B5189" s="197">
        <v>17.892428356358323</v>
      </c>
    </row>
    <row r="5190" spans="2:2" ht="15.6">
      <c r="B5190" s="197">
        <v>18.211085628298896</v>
      </c>
    </row>
    <row r="5191" spans="2:2" ht="15.6">
      <c r="B5191" s="197">
        <v>18.378700283804392</v>
      </c>
    </row>
    <row r="5192" spans="2:2" ht="15.6">
      <c r="B5192" s="197">
        <v>18.096594127264687</v>
      </c>
    </row>
    <row r="5193" spans="2:2" ht="15.6">
      <c r="B5193" s="197">
        <v>18.212134973322939</v>
      </c>
    </row>
    <row r="5194" spans="2:2" ht="15.6">
      <c r="B5194" s="197">
        <v>17.99547699757014</v>
      </c>
    </row>
    <row r="5195" spans="2:2" ht="15.6">
      <c r="B5195" s="197">
        <v>18.233028655898611</v>
      </c>
    </row>
    <row r="5196" spans="2:2" ht="15.6">
      <c r="B5196" s="197">
        <v>18.221987354560358</v>
      </c>
    </row>
    <row r="5197" spans="2:2" ht="15.6">
      <c r="B5197" s="197">
        <v>17.977951747028769</v>
      </c>
    </row>
    <row r="5198" spans="2:2" ht="15.6">
      <c r="B5198" s="197">
        <v>18.595439194585758</v>
      </c>
    </row>
    <row r="5199" spans="2:2" ht="15.6">
      <c r="B5199" s="197">
        <v>18.388152164053238</v>
      </c>
    </row>
    <row r="5200" spans="2:2" ht="15.6">
      <c r="B5200" s="197">
        <v>18.056932180217359</v>
      </c>
    </row>
    <row r="5201" spans="2:2" ht="15.6">
      <c r="B5201" s="197">
        <v>18.275440406465055</v>
      </c>
    </row>
    <row r="5202" spans="2:2" ht="15.6">
      <c r="B5202" s="197">
        <v>18.112572697617047</v>
      </c>
    </row>
    <row r="5203" spans="2:2" ht="15.6">
      <c r="B5203" s="197">
        <v>17.755085431704998</v>
      </c>
    </row>
    <row r="5204" spans="2:2" ht="15.6">
      <c r="B5204" s="197">
        <v>17.959937946740972</v>
      </c>
    </row>
    <row r="5205" spans="2:2" ht="15.6">
      <c r="B5205" s="197">
        <v>18.241677291078148</v>
      </c>
    </row>
    <row r="5206" spans="2:2" ht="15.6">
      <c r="B5206" s="197">
        <v>18.130455458562537</v>
      </c>
    </row>
    <row r="5207" spans="2:2" ht="15.6">
      <c r="B5207" s="197">
        <v>18.37043435435146</v>
      </c>
    </row>
    <row r="5208" spans="2:2" ht="15.6">
      <c r="B5208" s="197">
        <v>18.187402034627098</v>
      </c>
    </row>
    <row r="5209" spans="2:2" ht="15.6">
      <c r="B5209" s="197">
        <v>18.343363967097201</v>
      </c>
    </row>
    <row r="5210" spans="2:2" ht="15.6">
      <c r="B5210" s="197">
        <v>18.341775865285133</v>
      </c>
    </row>
    <row r="5211" spans="2:2" ht="15.6">
      <c r="B5211" s="197">
        <v>17.964814253774279</v>
      </c>
    </row>
    <row r="5212" spans="2:2" ht="15.6">
      <c r="B5212" s="197">
        <v>18.071121339692848</v>
      </c>
    </row>
    <row r="5213" spans="2:2" ht="15.6">
      <c r="B5213" s="197">
        <v>17.846602541143405</v>
      </c>
    </row>
    <row r="5214" spans="2:2" ht="15.6">
      <c r="B5214" s="197">
        <v>18.211811078820379</v>
      </c>
    </row>
    <row r="5215" spans="2:2" ht="15.6">
      <c r="B5215" s="197">
        <v>18.282816849034127</v>
      </c>
    </row>
    <row r="5216" spans="2:2" ht="15.6">
      <c r="B5216" s="197">
        <v>18.376879562534249</v>
      </c>
    </row>
    <row r="5217" spans="2:2" ht="15.6">
      <c r="B5217" s="197">
        <v>18.03031566871752</v>
      </c>
    </row>
    <row r="5218" spans="2:2" ht="15.6">
      <c r="B5218" s="197">
        <v>18.109771496336808</v>
      </c>
    </row>
    <row r="5219" spans="2:2" ht="15.6">
      <c r="B5219" s="197">
        <v>18.497518271946859</v>
      </c>
    </row>
    <row r="5220" spans="2:2" ht="15.6">
      <c r="B5220" s="197">
        <v>18.323333501144827</v>
      </c>
    </row>
    <row r="5221" spans="2:2" ht="15.6">
      <c r="B5221" s="197">
        <v>17.992726739254405</v>
      </c>
    </row>
    <row r="5222" spans="2:2" ht="15.6">
      <c r="B5222" s="197">
        <v>18.227652919815963</v>
      </c>
    </row>
    <row r="5223" spans="2:2" ht="15.6">
      <c r="B5223" s="197">
        <v>18.354158012082625</v>
      </c>
    </row>
    <row r="5224" spans="2:2" ht="15.6">
      <c r="B5224" s="197">
        <v>17.873676454946299</v>
      </c>
    </row>
    <row r="5225" spans="2:2" ht="15.6">
      <c r="B5225" s="197">
        <v>18.428186679038784</v>
      </c>
    </row>
    <row r="5226" spans="2:2" ht="15.6">
      <c r="B5226" s="197">
        <v>18.147522973047167</v>
      </c>
    </row>
    <row r="5227" spans="2:2" ht="15.6">
      <c r="B5227" s="197">
        <v>18.209301750632353</v>
      </c>
    </row>
    <row r="5228" spans="2:2" ht="15.6">
      <c r="B5228" s="197">
        <v>18.300203594297432</v>
      </c>
    </row>
    <row r="5229" spans="2:2" ht="15.6">
      <c r="B5229" s="197">
        <v>18.190121530359683</v>
      </c>
    </row>
    <row r="5230" spans="2:2" ht="15.6">
      <c r="B5230" s="197">
        <v>18.142102543556767</v>
      </c>
    </row>
    <row r="5231" spans="2:2" ht="15.6">
      <c r="B5231" s="197">
        <v>18.344220562636956</v>
      </c>
    </row>
    <row r="5232" spans="2:2" ht="15.6">
      <c r="B5232" s="197">
        <v>18.046114478288914</v>
      </c>
    </row>
    <row r="5233" spans="2:2" ht="15.6">
      <c r="B5233" s="197">
        <v>18.086722158938453</v>
      </c>
    </row>
    <row r="5234" spans="2:2" ht="15.6">
      <c r="B5234" s="197">
        <v>18.31339047934291</v>
      </c>
    </row>
    <row r="5235" spans="2:2" ht="15.6">
      <c r="B5235" s="197">
        <v>18.001542056859783</v>
      </c>
    </row>
    <row r="5236" spans="2:2" ht="15.6">
      <c r="B5236" s="197">
        <v>18.01606613306484</v>
      </c>
    </row>
    <row r="5237" spans="2:2" ht="15.6">
      <c r="B5237" s="197">
        <v>17.88882502883105</v>
      </c>
    </row>
    <row r="5238" spans="2:2" ht="15.6">
      <c r="B5238" s="197">
        <v>17.897598676840673</v>
      </c>
    </row>
    <row r="5239" spans="2:2" ht="15.6">
      <c r="B5239" s="197">
        <v>18.372240995878439</v>
      </c>
    </row>
    <row r="5240" spans="2:2" ht="15.6">
      <c r="B5240" s="197">
        <v>18.284417131046592</v>
      </c>
    </row>
    <row r="5241" spans="2:2" ht="15.6">
      <c r="B5241" s="197">
        <v>18.287578341576562</v>
      </c>
    </row>
    <row r="5242" spans="2:2" ht="15.6">
      <c r="B5242" s="197">
        <v>18.248790673841995</v>
      </c>
    </row>
    <row r="5243" spans="2:2" ht="15.6">
      <c r="B5243" s="197">
        <v>18.099148645745341</v>
      </c>
    </row>
    <row r="5244" spans="2:2" ht="15.6">
      <c r="B5244" s="197">
        <v>17.925853517529124</v>
      </c>
    </row>
    <row r="5245" spans="2:2" ht="15.6">
      <c r="B5245" s="197">
        <v>17.790996760914847</v>
      </c>
    </row>
    <row r="5246" spans="2:2" ht="15.6">
      <c r="B5246" s="197">
        <v>17.920357972940064</v>
      </c>
    </row>
    <row r="5247" spans="2:2" ht="15.6">
      <c r="B5247" s="197">
        <v>18.322824634009361</v>
      </c>
    </row>
    <row r="5248" spans="2:2" ht="15.6">
      <c r="B5248" s="197">
        <v>18.313869177909318</v>
      </c>
    </row>
    <row r="5249" spans="2:2" ht="15.6">
      <c r="B5249" s="197">
        <v>18.184559964724883</v>
      </c>
    </row>
    <row r="5250" spans="2:2" ht="15.6">
      <c r="B5250" s="197">
        <v>17.885786471766778</v>
      </c>
    </row>
    <row r="5251" spans="2:2" ht="15.6">
      <c r="B5251" s="197">
        <v>17.86148037860999</v>
      </c>
    </row>
    <row r="5252" spans="2:2" ht="15.6">
      <c r="B5252" s="197">
        <v>17.811824071626575</v>
      </c>
    </row>
    <row r="5253" spans="2:2" ht="15.6">
      <c r="B5253" s="197">
        <v>18.497961514799226</v>
      </c>
    </row>
    <row r="5254" spans="2:2" ht="15.6">
      <c r="B5254" s="197">
        <v>17.705932017938558</v>
      </c>
    </row>
    <row r="5255" spans="2:2" ht="15.6">
      <c r="B5255" s="197">
        <v>18.690780416454011</v>
      </c>
    </row>
    <row r="5256" spans="2:2" ht="15.6">
      <c r="B5256" s="197">
        <v>18.142334719363781</v>
      </c>
    </row>
    <row r="5257" spans="2:2" ht="15.6">
      <c r="B5257" s="197">
        <v>18.200450328433774</v>
      </c>
    </row>
    <row r="5258" spans="2:2" ht="15.6">
      <c r="B5258" s="197">
        <v>17.824185533590619</v>
      </c>
    </row>
    <row r="5259" spans="2:2" ht="15.6">
      <c r="B5259" s="197">
        <v>18.262301913069049</v>
      </c>
    </row>
    <row r="5260" spans="2:2" ht="15.6">
      <c r="B5260" s="197">
        <v>18.283821675368308</v>
      </c>
    </row>
    <row r="5261" spans="2:2" ht="15.6">
      <c r="B5261" s="197">
        <v>18.264211790165302</v>
      </c>
    </row>
    <row r="5262" spans="2:2" ht="15.6">
      <c r="B5262" s="197">
        <v>18.472809819534945</v>
      </c>
    </row>
    <row r="5263" spans="2:2" ht="15.6">
      <c r="B5263" s="197">
        <v>18.314375834686974</v>
      </c>
    </row>
    <row r="5264" spans="2:2" ht="15.6">
      <c r="B5264" s="197">
        <v>18.096452831221182</v>
      </c>
    </row>
    <row r="5265" spans="2:2" ht="15.6">
      <c r="B5265" s="197">
        <v>18.339678096742421</v>
      </c>
    </row>
    <row r="5266" spans="2:2" ht="15.6">
      <c r="B5266" s="197">
        <v>17.967755579856505</v>
      </c>
    </row>
    <row r="5267" spans="2:2" ht="15.6">
      <c r="B5267" s="197">
        <v>18.344751235702905</v>
      </c>
    </row>
    <row r="5268" spans="2:2" ht="15.6">
      <c r="B5268" s="197">
        <v>18.663208053176852</v>
      </c>
    </row>
    <row r="5269" spans="2:2" ht="15.6">
      <c r="B5269" s="197">
        <v>18.103005296345454</v>
      </c>
    </row>
    <row r="5270" spans="2:2" ht="15.6">
      <c r="B5270" s="197">
        <v>18.113854256192965</v>
      </c>
    </row>
    <row r="5271" spans="2:2" ht="15.6">
      <c r="B5271" s="197">
        <v>18.184130231559784</v>
      </c>
    </row>
    <row r="5272" spans="2:2" ht="15.6">
      <c r="B5272" s="197">
        <v>18.105188272838181</v>
      </c>
    </row>
    <row r="5273" spans="2:2" ht="15.6">
      <c r="B5273" s="197">
        <v>18.030163645703563</v>
      </c>
    </row>
    <row r="5274" spans="2:2" ht="15.6">
      <c r="B5274" s="197">
        <v>18.210921657201919</v>
      </c>
    </row>
    <row r="5275" spans="2:2" ht="15.6">
      <c r="B5275" s="197">
        <v>18.51067064983258</v>
      </c>
    </row>
    <row r="5276" spans="2:2" ht="15.6">
      <c r="B5276" s="197">
        <v>18.107193960384855</v>
      </c>
    </row>
    <row r="5277" spans="2:2" ht="15.6">
      <c r="B5277" s="197">
        <v>18.318120943572993</v>
      </c>
    </row>
    <row r="5278" spans="2:2" ht="15.6">
      <c r="B5278" s="197">
        <v>18.189779178631653</v>
      </c>
    </row>
    <row r="5279" spans="2:2" ht="15.6">
      <c r="B5279" s="197">
        <v>18.443574943911866</v>
      </c>
    </row>
    <row r="5280" spans="2:2" ht="15.6">
      <c r="B5280" s="197">
        <v>18.233810028266578</v>
      </c>
    </row>
    <row r="5281" spans="2:2" ht="15.6">
      <c r="B5281" s="197">
        <v>17.886236754162116</v>
      </c>
    </row>
    <row r="5282" spans="2:2" ht="15.6">
      <c r="B5282" s="197">
        <v>18.176626639955547</v>
      </c>
    </row>
    <row r="5283" spans="2:2" ht="15.6">
      <c r="B5283" s="197">
        <v>18.185159841638129</v>
      </c>
    </row>
    <row r="5284" spans="2:2" ht="15.6">
      <c r="B5284" s="197">
        <v>18.049972284211588</v>
      </c>
    </row>
    <row r="5285" spans="2:2" ht="15.6">
      <c r="B5285" s="197">
        <v>18.375893423815977</v>
      </c>
    </row>
    <row r="5286" spans="2:2" ht="15.6">
      <c r="B5286" s="197">
        <v>17.99055352359202</v>
      </c>
    </row>
    <row r="5287" spans="2:2" ht="15.6">
      <c r="B5287" s="197">
        <v>18.482275062552986</v>
      </c>
    </row>
    <row r="5288" spans="2:2" ht="15.6">
      <c r="B5288" s="197">
        <v>17.944069259570856</v>
      </c>
    </row>
    <row r="5289" spans="2:2" ht="15.6">
      <c r="B5289" s="197">
        <v>18.257054644765518</v>
      </c>
    </row>
    <row r="5290" spans="2:2" ht="15.6">
      <c r="B5290" s="197">
        <v>18.09773477686371</v>
      </c>
    </row>
    <row r="5291" spans="2:2" ht="15.6">
      <c r="B5291" s="197">
        <v>18.319792568264923</v>
      </c>
    </row>
    <row r="5292" spans="2:2" ht="15.6">
      <c r="B5292" s="197">
        <v>18.194690697319235</v>
      </c>
    </row>
    <row r="5293" spans="2:2" ht="15.6">
      <c r="B5293" s="197">
        <v>18.232689546586638</v>
      </c>
    </row>
    <row r="5294" spans="2:2" ht="15.6">
      <c r="B5294" s="197">
        <v>18.178643098149227</v>
      </c>
    </row>
    <row r="5295" spans="2:2" ht="15.6">
      <c r="B5295" s="197">
        <v>18.236304807753061</v>
      </c>
    </row>
    <row r="5296" spans="2:2" ht="15.6">
      <c r="B5296" s="197">
        <v>18.236677608825303</v>
      </c>
    </row>
    <row r="5297" spans="2:2" ht="15.6">
      <c r="B5297" s="197">
        <v>18.27593726055181</v>
      </c>
    </row>
    <row r="5298" spans="2:2" ht="15.6">
      <c r="B5298" s="197">
        <v>18.15142917284232</v>
      </c>
    </row>
    <row r="5299" spans="2:2" ht="15.6">
      <c r="B5299" s="197">
        <v>18.266314443106197</v>
      </c>
    </row>
    <row r="5300" spans="2:2" ht="15.6">
      <c r="B5300" s="197">
        <v>18.269063205351102</v>
      </c>
    </row>
    <row r="5301" spans="2:2" ht="15.6">
      <c r="B5301" s="197">
        <v>18.309010962824232</v>
      </c>
    </row>
    <row r="5302" spans="2:2" ht="15.6">
      <c r="B5302" s="197">
        <v>17.971683612046039</v>
      </c>
    </row>
    <row r="5303" spans="2:2" ht="15.6">
      <c r="B5303" s="197">
        <v>17.910886364933774</v>
      </c>
    </row>
    <row r="5304" spans="2:2" ht="15.6">
      <c r="B5304" s="197">
        <v>17.910497260355232</v>
      </c>
    </row>
    <row r="5305" spans="2:2" ht="15.6">
      <c r="B5305" s="197">
        <v>18.319330758944073</v>
      </c>
    </row>
    <row r="5306" spans="2:2" ht="15.6">
      <c r="B5306" s="197">
        <v>17.607536979349995</v>
      </c>
    </row>
    <row r="5307" spans="2:2" ht="15.6">
      <c r="B5307" s="197">
        <v>18.091144849008234</v>
      </c>
    </row>
    <row r="5308" spans="2:2" ht="15.6">
      <c r="B5308" s="197">
        <v>18.179797708333496</v>
      </c>
    </row>
    <row r="5309" spans="2:2" ht="15.6">
      <c r="B5309" s="197">
        <v>18.335379276324904</v>
      </c>
    </row>
    <row r="5310" spans="2:2" ht="15.6">
      <c r="B5310" s="197">
        <v>18.385440493605461</v>
      </c>
    </row>
    <row r="5311" spans="2:2" ht="15.6">
      <c r="B5311" s="197">
        <v>17.907831759969856</v>
      </c>
    </row>
    <row r="5312" spans="2:2" ht="15.6">
      <c r="B5312" s="197">
        <v>18.330540874118974</v>
      </c>
    </row>
    <row r="5313" spans="2:2" ht="15.6">
      <c r="B5313" s="197">
        <v>18.028738049825805</v>
      </c>
    </row>
    <row r="5314" spans="2:2" ht="15.6">
      <c r="B5314" s="197">
        <v>17.875263735964786</v>
      </c>
    </row>
    <row r="5315" spans="2:2" ht="15.6">
      <c r="B5315" s="197">
        <v>17.906956227851829</v>
      </c>
    </row>
    <row r="5316" spans="2:2" ht="15.6">
      <c r="B5316" s="197">
        <v>18.286356188385511</v>
      </c>
    </row>
    <row r="5317" spans="2:2" ht="15.6">
      <c r="B5317" s="197">
        <v>17.687447192543111</v>
      </c>
    </row>
    <row r="5318" spans="2:2" ht="15.6">
      <c r="B5318" s="197">
        <v>18.169120539457563</v>
      </c>
    </row>
    <row r="5319" spans="2:2" ht="15.6">
      <c r="B5319" s="197">
        <v>18.318732289336744</v>
      </c>
    </row>
    <row r="5320" spans="2:2" ht="15.6">
      <c r="B5320" s="197">
        <v>18.357174196391846</v>
      </c>
    </row>
    <row r="5321" spans="2:2" ht="15.6">
      <c r="B5321" s="197">
        <v>17.831267710894647</v>
      </c>
    </row>
    <row r="5322" spans="2:2" ht="15.6">
      <c r="B5322" s="197">
        <v>18.112645991717216</v>
      </c>
    </row>
    <row r="5323" spans="2:2" ht="15.6">
      <c r="B5323" s="197">
        <v>18.063139747027503</v>
      </c>
    </row>
    <row r="5324" spans="2:2" ht="15.6">
      <c r="B5324" s="197">
        <v>18.131545817736193</v>
      </c>
    </row>
    <row r="5325" spans="2:2" ht="15.6">
      <c r="B5325" s="197">
        <v>17.686076706087825</v>
      </c>
    </row>
    <row r="5326" spans="2:2" ht="15.6">
      <c r="B5326" s="197">
        <v>18.32606732418153</v>
      </c>
    </row>
    <row r="5327" spans="2:2" ht="15.6">
      <c r="B5327" s="197">
        <v>18.022127744395856</v>
      </c>
    </row>
    <row r="5328" spans="2:2" ht="15.6">
      <c r="B5328" s="197">
        <v>18.106840324774538</v>
      </c>
    </row>
    <row r="5329" spans="2:2" ht="15.6">
      <c r="B5329" s="197">
        <v>18.313074044133309</v>
      </c>
    </row>
    <row r="5330" spans="2:2" ht="15.6">
      <c r="B5330" s="197">
        <v>18.48641486701084</v>
      </c>
    </row>
    <row r="5331" spans="2:2" ht="15.6">
      <c r="B5331" s="197">
        <v>18.232034183761208</v>
      </c>
    </row>
    <row r="5332" spans="2:2" ht="15.6">
      <c r="B5332" s="197">
        <v>17.961117487933585</v>
      </c>
    </row>
    <row r="5333" spans="2:2" ht="15.6">
      <c r="B5333" s="197">
        <v>18.545557631154434</v>
      </c>
    </row>
    <row r="5334" spans="2:2" ht="15.6">
      <c r="B5334" s="197">
        <v>18.291215862653292</v>
      </c>
    </row>
    <row r="5335" spans="2:2" ht="15.6">
      <c r="B5335" s="197">
        <v>18.109811916619933</v>
      </c>
    </row>
    <row r="5336" spans="2:2" ht="15.6">
      <c r="B5336" s="197">
        <v>18.261523982766903</v>
      </c>
    </row>
    <row r="5337" spans="2:2" ht="15.6">
      <c r="B5337" s="197">
        <v>18.15311984434479</v>
      </c>
    </row>
    <row r="5338" spans="2:2" ht="15.6">
      <c r="B5338" s="197">
        <v>17.762873361350763</v>
      </c>
    </row>
    <row r="5339" spans="2:2" ht="15.6">
      <c r="B5339" s="197">
        <v>18.284694822861912</v>
      </c>
    </row>
    <row r="5340" spans="2:2" ht="15.6">
      <c r="B5340" s="197">
        <v>18.384729926937407</v>
      </c>
    </row>
    <row r="5341" spans="2:2" ht="15.6">
      <c r="B5341" s="197">
        <v>18.18300206432388</v>
      </c>
    </row>
    <row r="5342" spans="2:2" ht="15.6">
      <c r="B5342" s="197">
        <v>18.287183017364349</v>
      </c>
    </row>
    <row r="5343" spans="2:2" ht="15.6">
      <c r="B5343" s="197">
        <v>18.106442348817858</v>
      </c>
    </row>
    <row r="5344" spans="2:2" ht="15.6">
      <c r="B5344" s="197">
        <v>18.114705331333436</v>
      </c>
    </row>
    <row r="5345" spans="2:2" ht="15.6">
      <c r="B5345" s="197">
        <v>18.254002166607258</v>
      </c>
    </row>
    <row r="5346" spans="2:2" ht="15.6">
      <c r="B5346" s="197">
        <v>18.178191266849883</v>
      </c>
    </row>
    <row r="5347" spans="2:2" ht="15.6">
      <c r="B5347" s="197">
        <v>18.255834499659731</v>
      </c>
    </row>
    <row r="5348" spans="2:2" ht="15.6">
      <c r="B5348" s="197">
        <v>18.053360191172345</v>
      </c>
    </row>
    <row r="5349" spans="2:2" ht="15.6">
      <c r="B5349" s="197">
        <v>18.06263337764025</v>
      </c>
    </row>
    <row r="5350" spans="2:2" ht="15.6">
      <c r="B5350" s="197">
        <v>18.155053925297977</v>
      </c>
    </row>
    <row r="5351" spans="2:2" ht="15.6">
      <c r="B5351" s="197">
        <v>17.990245052284646</v>
      </c>
    </row>
    <row r="5352" spans="2:2" ht="15.6">
      <c r="B5352" s="197">
        <v>18.060840372934653</v>
      </c>
    </row>
    <row r="5353" spans="2:2" ht="15.6">
      <c r="B5353" s="197">
        <v>18.124651299853404</v>
      </c>
    </row>
    <row r="5354" spans="2:2" ht="15.6">
      <c r="B5354" s="197">
        <v>18.066001073844308</v>
      </c>
    </row>
    <row r="5355" spans="2:2" ht="15.6">
      <c r="B5355" s="197">
        <v>17.931083518404876</v>
      </c>
    </row>
    <row r="5356" spans="2:2" ht="15.6">
      <c r="B5356" s="197">
        <v>18.081881795468533</v>
      </c>
    </row>
    <row r="5357" spans="2:2" ht="15.6">
      <c r="B5357" s="197">
        <v>18.168845123781196</v>
      </c>
    </row>
    <row r="5358" spans="2:2" ht="15.6">
      <c r="B5358" s="197">
        <v>18.228747979367093</v>
      </c>
    </row>
    <row r="5359" spans="2:2" ht="15.6">
      <c r="B5359" s="197">
        <v>17.884314719612547</v>
      </c>
    </row>
    <row r="5360" spans="2:2" ht="15.6">
      <c r="B5360" s="197">
        <v>18.277053374834178</v>
      </c>
    </row>
    <row r="5361" spans="2:2" ht="15.6">
      <c r="B5361" s="197">
        <v>18.432744970452159</v>
      </c>
    </row>
    <row r="5362" spans="2:2" ht="15.6">
      <c r="B5362" s="197">
        <v>18.293741766708564</v>
      </c>
    </row>
    <row r="5363" spans="2:2" ht="15.6">
      <c r="B5363" s="197">
        <v>18.218680654348994</v>
      </c>
    </row>
    <row r="5364" spans="2:2" ht="15.6">
      <c r="B5364" s="197">
        <v>18.208919492999819</v>
      </c>
    </row>
    <row r="5365" spans="2:2" ht="15.6">
      <c r="B5365" s="197">
        <v>17.983702613497979</v>
      </c>
    </row>
    <row r="5366" spans="2:2" ht="15.6">
      <c r="B5366" s="197">
        <v>18.266919318848409</v>
      </c>
    </row>
    <row r="5367" spans="2:2" ht="15.6">
      <c r="B5367" s="197">
        <v>18.235107356549918</v>
      </c>
    </row>
    <row r="5368" spans="2:2" ht="15.6">
      <c r="B5368" s="197">
        <v>17.918701472107948</v>
      </c>
    </row>
    <row r="5369" spans="2:2" ht="15.6">
      <c r="B5369" s="197">
        <v>18.24769564895276</v>
      </c>
    </row>
    <row r="5370" spans="2:2" ht="15.6">
      <c r="B5370" s="197">
        <v>18.126923912989426</v>
      </c>
    </row>
    <row r="5371" spans="2:2" ht="15.6">
      <c r="B5371" s="197">
        <v>18.044233382736543</v>
      </c>
    </row>
    <row r="5372" spans="2:2" ht="15.6">
      <c r="B5372" s="197">
        <v>17.990752051661037</v>
      </c>
    </row>
    <row r="5373" spans="2:2" ht="15.6">
      <c r="B5373" s="197">
        <v>18.089732645510527</v>
      </c>
    </row>
    <row r="5374" spans="2:2" ht="15.6">
      <c r="B5374" s="197">
        <v>18.347293737437621</v>
      </c>
    </row>
    <row r="5375" spans="2:2" ht="15.6">
      <c r="B5375" s="197">
        <v>18.132549825520286</v>
      </c>
    </row>
    <row r="5376" spans="2:2" ht="15.6">
      <c r="B5376" s="197">
        <v>18.053514880193614</v>
      </c>
    </row>
    <row r="5377" spans="2:2" ht="15.6">
      <c r="B5377" s="197">
        <v>17.825184562300766</v>
      </c>
    </row>
    <row r="5378" spans="2:2" ht="15.6">
      <c r="B5378" s="197">
        <v>17.863481715156908</v>
      </c>
    </row>
    <row r="5379" spans="2:2" ht="15.6">
      <c r="B5379" s="197">
        <v>18.108049513226213</v>
      </c>
    </row>
    <row r="5380" spans="2:2" ht="15.6">
      <c r="B5380" s="197">
        <v>17.96747859430906</v>
      </c>
    </row>
    <row r="5381" spans="2:2" ht="15.6">
      <c r="B5381" s="197">
        <v>18.425607445523895</v>
      </c>
    </row>
    <row r="5382" spans="2:2" ht="15.6">
      <c r="B5382" s="197">
        <v>18.306602526196404</v>
      </c>
    </row>
    <row r="5383" spans="2:2" ht="15.6">
      <c r="B5383" s="197">
        <v>18.092519990693745</v>
      </c>
    </row>
    <row r="5384" spans="2:2" ht="15.6">
      <c r="B5384" s="197">
        <v>18.438153768381419</v>
      </c>
    </row>
    <row r="5385" spans="2:2" ht="15.6">
      <c r="B5385" s="197">
        <v>18.09190639568186</v>
      </c>
    </row>
    <row r="5386" spans="2:2" ht="15.6">
      <c r="B5386" s="197">
        <v>18.128893685781478</v>
      </c>
    </row>
    <row r="5387" spans="2:2" ht="15.6">
      <c r="B5387" s="197">
        <v>18.059206036765797</v>
      </c>
    </row>
    <row r="5388" spans="2:2" ht="15.6">
      <c r="B5388" s="197">
        <v>18.032552491057643</v>
      </c>
    </row>
    <row r="5389" spans="2:2" ht="15.6">
      <c r="B5389" s="197">
        <v>18.137767669551955</v>
      </c>
    </row>
    <row r="5390" spans="2:2" ht="15.6">
      <c r="B5390" s="197">
        <v>17.695803409251528</v>
      </c>
    </row>
    <row r="5391" spans="2:2" ht="15.6">
      <c r="B5391" s="197">
        <v>18.21172965164866</v>
      </c>
    </row>
    <row r="5392" spans="2:2" ht="15.6">
      <c r="B5392" s="197">
        <v>18.040481868067165</v>
      </c>
    </row>
    <row r="5393" spans="2:2" ht="15.6">
      <c r="B5393" s="197">
        <v>18.0340032523216</v>
      </c>
    </row>
    <row r="5394" spans="2:2" ht="15.6">
      <c r="B5394" s="197">
        <v>18.140142879484028</v>
      </c>
    </row>
    <row r="5395" spans="2:2" ht="15.6">
      <c r="B5395" s="197">
        <v>17.926847862016263</v>
      </c>
    </row>
    <row r="5396" spans="2:2" ht="15.6">
      <c r="B5396" s="197">
        <v>18.16663418662705</v>
      </c>
    </row>
    <row r="5397" spans="2:2" ht="15.6">
      <c r="B5397" s="197">
        <v>18.108197548943128</v>
      </c>
    </row>
    <row r="5398" spans="2:2" ht="15.6">
      <c r="B5398" s="197">
        <v>18.09938965406808</v>
      </c>
    </row>
    <row r="5399" spans="2:2" ht="15.6">
      <c r="B5399" s="197">
        <v>18.100046961730314</v>
      </c>
    </row>
    <row r="5400" spans="2:2" ht="15.6">
      <c r="B5400" s="197">
        <v>18.051668967247846</v>
      </c>
    </row>
    <row r="5401" spans="2:2" ht="15.6">
      <c r="B5401" s="197">
        <v>18.466993371297132</v>
      </c>
    </row>
    <row r="5402" spans="2:2" ht="15.6">
      <c r="B5402" s="197">
        <v>17.837391822440846</v>
      </c>
    </row>
    <row r="5403" spans="2:2" ht="15.6">
      <c r="B5403" s="197">
        <v>18.033806392497951</v>
      </c>
    </row>
    <row r="5404" spans="2:2" ht="15.6">
      <c r="B5404" s="197">
        <v>18.233216673835294</v>
      </c>
    </row>
    <row r="5405" spans="2:2" ht="15.6">
      <c r="B5405" s="197">
        <v>18.532115381465488</v>
      </c>
    </row>
    <row r="5406" spans="2:2" ht="15.6">
      <c r="B5406" s="197">
        <v>18.26540491935857</v>
      </c>
    </row>
    <row r="5407" spans="2:2" ht="15.6">
      <c r="B5407" s="197">
        <v>18.310731500944485</v>
      </c>
    </row>
    <row r="5408" spans="2:2" ht="15.6">
      <c r="B5408" s="197">
        <v>18.335461539065108</v>
      </c>
    </row>
    <row r="5409" spans="2:2" ht="15.6">
      <c r="B5409" s="197">
        <v>18.018499398950691</v>
      </c>
    </row>
    <row r="5410" spans="2:2" ht="15.6">
      <c r="B5410" s="197">
        <v>18.044057343486685</v>
      </c>
    </row>
    <row r="5411" spans="2:2" ht="15.6">
      <c r="B5411" s="197">
        <v>18.079273063256647</v>
      </c>
    </row>
    <row r="5412" spans="2:2" ht="15.6">
      <c r="B5412" s="197">
        <v>18.23180745980796</v>
      </c>
    </row>
    <row r="5413" spans="2:2" ht="15.6">
      <c r="B5413" s="197">
        <v>17.837083530748735</v>
      </c>
    </row>
    <row r="5414" spans="2:2" ht="15.6">
      <c r="B5414" s="197">
        <v>18.234803572061512</v>
      </c>
    </row>
    <row r="5415" spans="2:2" ht="15.6">
      <c r="B5415" s="197">
        <v>18.247435798807512</v>
      </c>
    </row>
    <row r="5416" spans="2:2" ht="15.6">
      <c r="B5416" s="197">
        <v>18.222926850954465</v>
      </c>
    </row>
    <row r="5417" spans="2:2" ht="15.6">
      <c r="B5417" s="197">
        <v>18.332686272190408</v>
      </c>
    </row>
    <row r="5418" spans="2:2" ht="15.6">
      <c r="B5418" s="197">
        <v>18.049869730258756</v>
      </c>
    </row>
    <row r="5419" spans="2:2" ht="15.6">
      <c r="B5419" s="197">
        <v>18.205130176914285</v>
      </c>
    </row>
    <row r="5420" spans="2:2" ht="15.6">
      <c r="B5420" s="197">
        <v>18.31355140203447</v>
      </c>
    </row>
    <row r="5421" spans="2:2" ht="15.6">
      <c r="B5421" s="197">
        <v>17.953731936144905</v>
      </c>
    </row>
    <row r="5422" spans="2:2" ht="15.6">
      <c r="B5422" s="197">
        <v>18.3573352160751</v>
      </c>
    </row>
    <row r="5423" spans="2:2" ht="15.6">
      <c r="B5423" s="197">
        <v>18.414995465264145</v>
      </c>
    </row>
    <row r="5424" spans="2:2" ht="15.6">
      <c r="B5424" s="197">
        <v>18.004487875770419</v>
      </c>
    </row>
    <row r="5425" spans="2:2" ht="15.6">
      <c r="B5425" s="197">
        <v>18.07062920430382</v>
      </c>
    </row>
    <row r="5426" spans="2:2" ht="15.6">
      <c r="B5426" s="197">
        <v>18.296067686536773</v>
      </c>
    </row>
    <row r="5427" spans="2:2" ht="15.6">
      <c r="B5427" s="197">
        <v>18.343051504056024</v>
      </c>
    </row>
    <row r="5428" spans="2:2" ht="15.6">
      <c r="B5428" s="197">
        <v>18.115189317398343</v>
      </c>
    </row>
    <row r="5429" spans="2:2" ht="15.6">
      <c r="B5429" s="197">
        <v>18.464292284099677</v>
      </c>
    </row>
    <row r="5430" spans="2:2" ht="15.6">
      <c r="B5430" s="197">
        <v>18.272801993563004</v>
      </c>
    </row>
    <row r="5431" spans="2:2" ht="15.6">
      <c r="B5431" s="197">
        <v>17.89373943656755</v>
      </c>
    </row>
    <row r="5432" spans="2:2" ht="15.6">
      <c r="B5432" s="197">
        <v>18.263072720664116</v>
      </c>
    </row>
    <row r="5433" spans="2:2" ht="15.6">
      <c r="B5433" s="197">
        <v>18.266191645548204</v>
      </c>
    </row>
    <row r="5434" spans="2:2" ht="15.6">
      <c r="B5434" s="197">
        <v>18.097213573982675</v>
      </c>
    </row>
    <row r="5435" spans="2:2" ht="15.6">
      <c r="B5435" s="197">
        <v>18.143307214719073</v>
      </c>
    </row>
    <row r="5436" spans="2:2" ht="15.6">
      <c r="B5436" s="197">
        <v>17.98968089635472</v>
      </c>
    </row>
    <row r="5437" spans="2:2" ht="15.6">
      <c r="B5437" s="197">
        <v>18.457470864663279</v>
      </c>
    </row>
    <row r="5438" spans="2:2" ht="15.6">
      <c r="B5438" s="197">
        <v>18.475251460049829</v>
      </c>
    </row>
    <row r="5439" spans="2:2" ht="15.6">
      <c r="B5439" s="197">
        <v>18.033974388234256</v>
      </c>
    </row>
    <row r="5440" spans="2:2" ht="15.6">
      <c r="B5440" s="197">
        <v>18.159309866397148</v>
      </c>
    </row>
    <row r="5441" spans="2:2" ht="15.6">
      <c r="B5441" s="197">
        <v>18.188339550858213</v>
      </c>
    </row>
    <row r="5442" spans="2:2" ht="15.6">
      <c r="B5442" s="197">
        <v>18.26965453728608</v>
      </c>
    </row>
    <row r="5443" spans="2:2" ht="15.6">
      <c r="B5443" s="197">
        <v>17.98060747536028</v>
      </c>
    </row>
    <row r="5444" spans="2:2" ht="15.6">
      <c r="B5444" s="197">
        <v>17.862887260929401</v>
      </c>
    </row>
    <row r="5445" spans="2:2" ht="15.6">
      <c r="B5445" s="197">
        <v>17.971002529521357</v>
      </c>
    </row>
    <row r="5446" spans="2:2" ht="15.6">
      <c r="B5446" s="197">
        <v>17.882937429305105</v>
      </c>
    </row>
    <row r="5447" spans="2:2" ht="15.6">
      <c r="B5447" s="197">
        <v>18.267964430089865</v>
      </c>
    </row>
    <row r="5448" spans="2:2" ht="15.6">
      <c r="B5448" s="197">
        <v>17.923479640608598</v>
      </c>
    </row>
    <row r="5449" spans="2:2" ht="15.6">
      <c r="B5449" s="197">
        <v>18.092269107973358</v>
      </c>
    </row>
    <row r="5450" spans="2:2" ht="15.6">
      <c r="B5450" s="197">
        <v>18.170027497410615</v>
      </c>
    </row>
    <row r="5451" spans="2:2" ht="15.6">
      <c r="B5451" s="197">
        <v>18.234840375373416</v>
      </c>
    </row>
    <row r="5452" spans="2:2" ht="15.6">
      <c r="B5452" s="197">
        <v>18.414611813433478</v>
      </c>
    </row>
    <row r="5453" spans="2:2" ht="15.6">
      <c r="B5453" s="197">
        <v>18.518988794023144</v>
      </c>
    </row>
    <row r="5454" spans="2:2" ht="15.6">
      <c r="B5454" s="197">
        <v>18.588765423306111</v>
      </c>
    </row>
    <row r="5455" spans="2:2" ht="15.6">
      <c r="B5455" s="197">
        <v>18.253034523516334</v>
      </c>
    </row>
    <row r="5456" spans="2:2" ht="15.6">
      <c r="B5456" s="197">
        <v>18.421605287210692</v>
      </c>
    </row>
    <row r="5457" spans="2:2" ht="15.6">
      <c r="B5457" s="197">
        <v>18.06501857986262</v>
      </c>
    </row>
    <row r="5458" spans="2:2" ht="15.6">
      <c r="B5458" s="197">
        <v>17.721656024942209</v>
      </c>
    </row>
    <row r="5459" spans="2:2" ht="15.6">
      <c r="B5459" s="197">
        <v>18.510626138611233</v>
      </c>
    </row>
    <row r="5460" spans="2:2" ht="15.6">
      <c r="B5460" s="197">
        <v>18.081113083227677</v>
      </c>
    </row>
    <row r="5461" spans="2:2" ht="15.6">
      <c r="B5461" s="197">
        <v>18.286324538207854</v>
      </c>
    </row>
    <row r="5462" spans="2:2" ht="15.6">
      <c r="B5462" s="197">
        <v>18.154060265272683</v>
      </c>
    </row>
    <row r="5463" spans="2:2" ht="15.6">
      <c r="B5463" s="197">
        <v>18.001242688504597</v>
      </c>
    </row>
    <row r="5464" spans="2:2" ht="15.6">
      <c r="B5464" s="197">
        <v>18.042924558063934</v>
      </c>
    </row>
    <row r="5465" spans="2:2" ht="15.6">
      <c r="B5465" s="197">
        <v>17.920181040341809</v>
      </c>
    </row>
    <row r="5466" spans="2:2" ht="15.6">
      <c r="B5466" s="197">
        <v>18.372219567318599</v>
      </c>
    </row>
    <row r="5467" spans="2:2" ht="15.6">
      <c r="B5467" s="197">
        <v>18.010757988252475</v>
      </c>
    </row>
    <row r="5468" spans="2:2" ht="15.6">
      <c r="B5468" s="197">
        <v>18.149713695031668</v>
      </c>
    </row>
    <row r="5469" spans="2:2" ht="15.6">
      <c r="B5469" s="197">
        <v>18.151524458366019</v>
      </c>
    </row>
    <row r="5470" spans="2:2" ht="15.6">
      <c r="B5470" s="197">
        <v>18.145407790107264</v>
      </c>
    </row>
    <row r="5471" spans="2:2" ht="15.6">
      <c r="B5471" s="197">
        <v>18.072891147983981</v>
      </c>
    </row>
    <row r="5472" spans="2:2" ht="15.6">
      <c r="B5472" s="197">
        <v>18.048582290592698</v>
      </c>
    </row>
    <row r="5473" spans="2:2" ht="15.6">
      <c r="B5473" s="197">
        <v>17.979867070256589</v>
      </c>
    </row>
    <row r="5474" spans="2:2" ht="15.6">
      <c r="B5474" s="197">
        <v>18.247237899119977</v>
      </c>
    </row>
    <row r="5475" spans="2:2" ht="15.6">
      <c r="B5475" s="197">
        <v>17.806423749707054</v>
      </c>
    </row>
    <row r="5476" spans="2:2" ht="15.6">
      <c r="B5476" s="197">
        <v>18.079649825229403</v>
      </c>
    </row>
    <row r="5477" spans="2:2" ht="15.6">
      <c r="B5477" s="197">
        <v>17.964713365037543</v>
      </c>
    </row>
    <row r="5478" spans="2:2" ht="15.6">
      <c r="B5478" s="197">
        <v>18.205075533876947</v>
      </c>
    </row>
    <row r="5479" spans="2:2" ht="15.6">
      <c r="B5479" s="197">
        <v>17.899562090238014</v>
      </c>
    </row>
    <row r="5480" spans="2:2" ht="15.6">
      <c r="B5480" s="197">
        <v>18.079182083773055</v>
      </c>
    </row>
    <row r="5481" spans="2:2" ht="15.6">
      <c r="B5481" s="197">
        <v>17.963323765555689</v>
      </c>
    </row>
    <row r="5482" spans="2:2" ht="15.6">
      <c r="B5482" s="197">
        <v>18.272567429245115</v>
      </c>
    </row>
    <row r="5483" spans="2:2" ht="15.6">
      <c r="B5483" s="197">
        <v>18.090700479584534</v>
      </c>
    </row>
    <row r="5484" spans="2:2" ht="15.6">
      <c r="B5484" s="197">
        <v>17.905449754145948</v>
      </c>
    </row>
    <row r="5485" spans="2:2" ht="15.6">
      <c r="B5485" s="197">
        <v>17.902621578181854</v>
      </c>
    </row>
    <row r="5486" spans="2:2" ht="15.6">
      <c r="B5486" s="197">
        <v>18.150757492169014</v>
      </c>
    </row>
    <row r="5487" spans="2:2" ht="15.6">
      <c r="B5487" s="197">
        <v>18.297649375184019</v>
      </c>
    </row>
    <row r="5488" spans="2:2" ht="15.6">
      <c r="B5488" s="197">
        <v>18.416938453022034</v>
      </c>
    </row>
    <row r="5489" spans="2:2" ht="15.6">
      <c r="B5489" s="197">
        <v>18.050680544640052</v>
      </c>
    </row>
    <row r="5490" spans="2:2" ht="15.6">
      <c r="B5490" s="197">
        <v>18.168503364924621</v>
      </c>
    </row>
    <row r="5491" spans="2:2" ht="15.6">
      <c r="B5491" s="197">
        <v>18.215421416599575</v>
      </c>
    </row>
    <row r="5492" spans="2:2" ht="15.6">
      <c r="B5492" s="197">
        <v>18.267481862831886</v>
      </c>
    </row>
    <row r="5493" spans="2:2" ht="15.6">
      <c r="B5493" s="197">
        <v>17.947701332451032</v>
      </c>
    </row>
    <row r="5494" spans="2:2" ht="15.6">
      <c r="B5494" s="197">
        <v>18.179727946822119</v>
      </c>
    </row>
    <row r="5495" spans="2:2" ht="15.6">
      <c r="B5495" s="197">
        <v>17.968059943193207</v>
      </c>
    </row>
    <row r="5496" spans="2:2" ht="15.6">
      <c r="B5496" s="197">
        <v>18.198839948876216</v>
      </c>
    </row>
    <row r="5497" spans="2:2" ht="15.6">
      <c r="B5497" s="197">
        <v>18.132731714054945</v>
      </c>
    </row>
    <row r="5498" spans="2:2" ht="15.6">
      <c r="B5498" s="197">
        <v>17.816894224499787</v>
      </c>
    </row>
    <row r="5499" spans="2:2" ht="15.6">
      <c r="B5499" s="197">
        <v>18.270324405565898</v>
      </c>
    </row>
    <row r="5500" spans="2:2" ht="15.6">
      <c r="B5500" s="197">
        <v>17.842266967175895</v>
      </c>
    </row>
    <row r="5501" spans="2:2" ht="15.6">
      <c r="B5501" s="197">
        <v>18.542882521326014</v>
      </c>
    </row>
    <row r="5502" spans="2:2" ht="15.6">
      <c r="B5502" s="197">
        <v>18.269199196845125</v>
      </c>
    </row>
    <row r="5503" spans="2:2" ht="15.6">
      <c r="B5503" s="197">
        <v>18.293922452527735</v>
      </c>
    </row>
    <row r="5504" spans="2:2" ht="15.6">
      <c r="B5504" s="197">
        <v>18.12759716643102</v>
      </c>
    </row>
    <row r="5505" spans="2:2" ht="15.6">
      <c r="B5505" s="197">
        <v>18.220577352269583</v>
      </c>
    </row>
    <row r="5506" spans="2:2" ht="15.6">
      <c r="B5506" s="197">
        <v>18.259182320378716</v>
      </c>
    </row>
    <row r="5507" spans="2:2" ht="15.6">
      <c r="B5507" s="197">
        <v>18.005998353823017</v>
      </c>
    </row>
    <row r="5508" spans="2:2" ht="15.6">
      <c r="B5508" s="197">
        <v>18.191765210853319</v>
      </c>
    </row>
    <row r="5509" spans="2:2" ht="15.6">
      <c r="B5509" s="197">
        <v>18.392867363279752</v>
      </c>
    </row>
    <row r="5510" spans="2:2" ht="15.6">
      <c r="B5510" s="197">
        <v>17.963274192899579</v>
      </c>
    </row>
    <row r="5511" spans="2:2" ht="15.6">
      <c r="B5511" s="197">
        <v>18.210218651235866</v>
      </c>
    </row>
    <row r="5512" spans="2:2" ht="15.6">
      <c r="B5512" s="197">
        <v>18.225183521803455</v>
      </c>
    </row>
    <row r="5513" spans="2:2" ht="15.6">
      <c r="B5513" s="197">
        <v>18.078141218704342</v>
      </c>
    </row>
    <row r="5514" spans="2:2" ht="15.6">
      <c r="B5514" s="197">
        <v>18.220378747580561</v>
      </c>
    </row>
    <row r="5515" spans="2:2" ht="15.6">
      <c r="B5515" s="197">
        <v>18.108397536751657</v>
      </c>
    </row>
    <row r="5516" spans="2:2" ht="15.6">
      <c r="B5516" s="197">
        <v>17.862521781155831</v>
      </c>
    </row>
    <row r="5517" spans="2:2" ht="15.6">
      <c r="B5517" s="197">
        <v>18.841147283040215</v>
      </c>
    </row>
    <row r="5518" spans="2:2" ht="15.6">
      <c r="B5518" s="197">
        <v>18.468167861802858</v>
      </c>
    </row>
    <row r="5519" spans="2:2" ht="15.6">
      <c r="B5519" s="197">
        <v>18.401778154785408</v>
      </c>
    </row>
    <row r="5520" spans="2:2" ht="15.6">
      <c r="B5520" s="197">
        <v>18.246613387817121</v>
      </c>
    </row>
    <row r="5521" spans="2:2" ht="15.6">
      <c r="B5521" s="197">
        <v>18.170588008615642</v>
      </c>
    </row>
    <row r="5522" spans="2:2" ht="15.6">
      <c r="B5522" s="197">
        <v>18.192226411979398</v>
      </c>
    </row>
    <row r="5523" spans="2:2" ht="15.6">
      <c r="B5523" s="197">
        <v>18.313531254826895</v>
      </c>
    </row>
    <row r="5524" spans="2:2" ht="15.6">
      <c r="B5524" s="197">
        <v>18.389384203959889</v>
      </c>
    </row>
    <row r="5525" spans="2:2" ht="15.6">
      <c r="B5525" s="197">
        <v>18.218102073729426</v>
      </c>
    </row>
    <row r="5526" spans="2:2" ht="15.6">
      <c r="B5526" s="197">
        <v>18.448404231454386</v>
      </c>
    </row>
    <row r="5527" spans="2:2" ht="15.6">
      <c r="B5527" s="197">
        <v>18.020691243437881</v>
      </c>
    </row>
    <row r="5528" spans="2:2" ht="15.6">
      <c r="B5528" s="197">
        <v>17.90694706605381</v>
      </c>
    </row>
    <row r="5529" spans="2:2" ht="15.6">
      <c r="B5529" s="197">
        <v>18.285809367751256</v>
      </c>
    </row>
    <row r="5530" spans="2:2" ht="15.6">
      <c r="B5530" s="197">
        <v>18.444761812936243</v>
      </c>
    </row>
    <row r="5531" spans="2:2" ht="15.6">
      <c r="B5531" s="197">
        <v>18.069121671508533</v>
      </c>
    </row>
    <row r="5532" spans="2:2" ht="15.6">
      <c r="B5532" s="197">
        <v>18.028687442375521</v>
      </c>
    </row>
    <row r="5533" spans="2:2" ht="15.6">
      <c r="B5533" s="197">
        <v>18.460128548653284</v>
      </c>
    </row>
    <row r="5534" spans="2:2" ht="15.6">
      <c r="B5534" s="197">
        <v>17.968474623042496</v>
      </c>
    </row>
    <row r="5535" spans="2:2" ht="15.6">
      <c r="B5535" s="197">
        <v>18.144634195664565</v>
      </c>
    </row>
    <row r="5536" spans="2:2" ht="15.6">
      <c r="B5536" s="197">
        <v>18.217153989424375</v>
      </c>
    </row>
    <row r="5537" spans="2:2" ht="15.6">
      <c r="B5537" s="197">
        <v>18.306758937294141</v>
      </c>
    </row>
    <row r="5538" spans="2:2" ht="15.6">
      <c r="B5538" s="197">
        <v>18.081570485180219</v>
      </c>
    </row>
    <row r="5539" spans="2:2" ht="15.6">
      <c r="B5539" s="197">
        <v>17.969622827031639</v>
      </c>
    </row>
    <row r="5540" spans="2:2" ht="15.6">
      <c r="B5540" s="197">
        <v>17.599004024250682</v>
      </c>
    </row>
    <row r="5541" spans="2:2" ht="15.6">
      <c r="B5541" s="197">
        <v>17.963236725641949</v>
      </c>
    </row>
    <row r="5542" spans="2:2" ht="15.6">
      <c r="B5542" s="197">
        <v>18.248891009675031</v>
      </c>
    </row>
    <row r="5543" spans="2:2" ht="15.6">
      <c r="B5543" s="197">
        <v>17.817195681282623</v>
      </c>
    </row>
    <row r="5544" spans="2:2" ht="15.6">
      <c r="B5544" s="197">
        <v>18.435287051526345</v>
      </c>
    </row>
    <row r="5545" spans="2:2" ht="15.6">
      <c r="B5545" s="197">
        <v>18.232220913665834</v>
      </c>
    </row>
    <row r="5546" spans="2:2" ht="15.6">
      <c r="B5546" s="197">
        <v>18.297309870676091</v>
      </c>
    </row>
    <row r="5547" spans="2:2" ht="15.6">
      <c r="B5547" s="197">
        <v>17.978331751386211</v>
      </c>
    </row>
    <row r="5548" spans="2:2" ht="15.6">
      <c r="B5548" s="197">
        <v>18.314257291958725</v>
      </c>
    </row>
    <row r="5549" spans="2:2" ht="15.6">
      <c r="B5549" s="197">
        <v>18.210700417441636</v>
      </c>
    </row>
    <row r="5550" spans="2:2" ht="15.6">
      <c r="B5550" s="197">
        <v>18.292162414915573</v>
      </c>
    </row>
    <row r="5551" spans="2:2" ht="15.6">
      <c r="B5551" s="197">
        <v>17.922410654837975</v>
      </c>
    </row>
    <row r="5552" spans="2:2" ht="15.6">
      <c r="B5552" s="197">
        <v>18.297745623491906</v>
      </c>
    </row>
    <row r="5553" spans="2:2" ht="15.6">
      <c r="B5553" s="197">
        <v>17.971309723846577</v>
      </c>
    </row>
    <row r="5554" spans="2:2" ht="15.6">
      <c r="B5554" s="197">
        <v>17.970850846344117</v>
      </c>
    </row>
    <row r="5555" spans="2:2" ht="15.6">
      <c r="B5555" s="197">
        <v>18.079710325657032</v>
      </c>
    </row>
    <row r="5556" spans="2:2" ht="15.6">
      <c r="B5556" s="197">
        <v>18.095797629321446</v>
      </c>
    </row>
    <row r="5557" spans="2:2" ht="15.6">
      <c r="B5557" s="197">
        <v>18.550661345105262</v>
      </c>
    </row>
    <row r="5558" spans="2:2" ht="15.6">
      <c r="B5558" s="197">
        <v>18.249395989547946</v>
      </c>
    </row>
    <row r="5559" spans="2:2" ht="15.6">
      <c r="B5559" s="197">
        <v>18.246807318125942</v>
      </c>
    </row>
    <row r="5560" spans="2:2" ht="15.6">
      <c r="B5560" s="197">
        <v>18.042136768508382</v>
      </c>
    </row>
    <row r="5561" spans="2:2" ht="15.6">
      <c r="B5561" s="197">
        <v>18.027140482243457</v>
      </c>
    </row>
    <row r="5562" spans="2:2" ht="15.6">
      <c r="B5562" s="197">
        <v>18.237893035304129</v>
      </c>
    </row>
    <row r="5563" spans="2:2" ht="15.6">
      <c r="B5563" s="197">
        <v>18.502920642888789</v>
      </c>
    </row>
    <row r="5564" spans="2:2" ht="15.6">
      <c r="B5564" s="197">
        <v>17.952077691056246</v>
      </c>
    </row>
    <row r="5565" spans="2:2" ht="15.6">
      <c r="B5565" s="197">
        <v>18.230936118624712</v>
      </c>
    </row>
    <row r="5566" spans="2:2" ht="15.6">
      <c r="B5566" s="197">
        <v>17.660744469290673</v>
      </c>
    </row>
    <row r="5567" spans="2:2" ht="15.6">
      <c r="B5567" s="197">
        <v>18.506666983660079</v>
      </c>
    </row>
    <row r="5568" spans="2:2" ht="15.6">
      <c r="B5568" s="197">
        <v>18.060297370341281</v>
      </c>
    </row>
    <row r="5569" spans="2:2" ht="15.6">
      <c r="B5569" s="197">
        <v>17.729511282794299</v>
      </c>
    </row>
    <row r="5570" spans="2:2" ht="15.6">
      <c r="B5570" s="197">
        <v>18.31648859517594</v>
      </c>
    </row>
    <row r="5571" spans="2:2" ht="15.6">
      <c r="B5571" s="197">
        <v>17.913698587103617</v>
      </c>
    </row>
    <row r="5572" spans="2:2" ht="15.6">
      <c r="B5572" s="197">
        <v>18.158147377604369</v>
      </c>
    </row>
    <row r="5573" spans="2:2" ht="15.6">
      <c r="B5573" s="197">
        <v>17.948161564000831</v>
      </c>
    </row>
    <row r="5574" spans="2:2" ht="15.6">
      <c r="B5574" s="197">
        <v>18.349179085829356</v>
      </c>
    </row>
    <row r="5575" spans="2:2" ht="15.6">
      <c r="B5575" s="197">
        <v>18.503805440812837</v>
      </c>
    </row>
    <row r="5576" spans="2:2" ht="15.6">
      <c r="B5576" s="197">
        <v>18.047629261974841</v>
      </c>
    </row>
    <row r="5577" spans="2:2" ht="15.6">
      <c r="B5577" s="197">
        <v>18.146705583747071</v>
      </c>
    </row>
    <row r="5578" spans="2:2" ht="15.6">
      <c r="B5578" s="197">
        <v>17.694543883715884</v>
      </c>
    </row>
    <row r="5579" spans="2:2" ht="15.6">
      <c r="B5579" s="197">
        <v>18.012959567070059</v>
      </c>
    </row>
    <row r="5580" spans="2:2" ht="15.6">
      <c r="B5580" s="197">
        <v>18.261050216460848</v>
      </c>
    </row>
    <row r="5581" spans="2:2" ht="15.6">
      <c r="B5581" s="197">
        <v>18.188661975871248</v>
      </c>
    </row>
    <row r="5582" spans="2:2" ht="15.6">
      <c r="B5582" s="197">
        <v>18.020506015110239</v>
      </c>
    </row>
    <row r="5583" spans="2:2" ht="15.6">
      <c r="B5583" s="197">
        <v>18.107555222706228</v>
      </c>
    </row>
    <row r="5584" spans="2:2" ht="15.6">
      <c r="B5584" s="197">
        <v>18.145114372801874</v>
      </c>
    </row>
    <row r="5585" spans="2:2" ht="15.6">
      <c r="B5585" s="197">
        <v>18.220025345725428</v>
      </c>
    </row>
    <row r="5586" spans="2:2" ht="15.6">
      <c r="B5586" s="197">
        <v>18.033151403181584</v>
      </c>
    </row>
    <row r="5587" spans="2:2" ht="15.6">
      <c r="B5587" s="197">
        <v>17.972391762679976</v>
      </c>
    </row>
    <row r="5588" spans="2:2" ht="15.6">
      <c r="B5588" s="197">
        <v>18.12808873395629</v>
      </c>
    </row>
    <row r="5589" spans="2:2" ht="15.6">
      <c r="B5589" s="197">
        <v>18.035227360692989</v>
      </c>
    </row>
    <row r="5590" spans="2:2" ht="15.6">
      <c r="B5590" s="197">
        <v>18.209707842794067</v>
      </c>
    </row>
    <row r="5591" spans="2:2" ht="15.6">
      <c r="B5591" s="197">
        <v>18.068335166021313</v>
      </c>
    </row>
    <row r="5592" spans="2:2" ht="15.6">
      <c r="B5592" s="197">
        <v>18.001526463427474</v>
      </c>
    </row>
    <row r="5593" spans="2:2" ht="15.6">
      <c r="B5593" s="197">
        <v>17.934402007703842</v>
      </c>
    </row>
    <row r="5594" spans="2:2" ht="15.6">
      <c r="B5594" s="197">
        <v>18.047078232258102</v>
      </c>
    </row>
    <row r="5595" spans="2:2" ht="15.6">
      <c r="B5595" s="197">
        <v>17.833071888600195</v>
      </c>
    </row>
    <row r="5596" spans="2:2" ht="15.6">
      <c r="B5596" s="197">
        <v>18.16710395657757</v>
      </c>
    </row>
    <row r="5597" spans="2:2" ht="15.6">
      <c r="B5597" s="197">
        <v>18.299774056037876</v>
      </c>
    </row>
    <row r="5598" spans="2:2" ht="15.6">
      <c r="B5598" s="197">
        <v>18.228437567710696</v>
      </c>
    </row>
    <row r="5599" spans="2:2" ht="15.6">
      <c r="B5599" s="197">
        <v>18.357680076924122</v>
      </c>
    </row>
    <row r="5600" spans="2:2" ht="15.6">
      <c r="B5600" s="197">
        <v>18.09926358989901</v>
      </c>
    </row>
    <row r="5601" spans="2:2" ht="15.6">
      <c r="B5601" s="197">
        <v>18.135894688563859</v>
      </c>
    </row>
    <row r="5602" spans="2:2" ht="15.6">
      <c r="B5602" s="197">
        <v>18.284523873559049</v>
      </c>
    </row>
    <row r="5603" spans="2:2" ht="15.6">
      <c r="B5603" s="197">
        <v>18.354211594709763</v>
      </c>
    </row>
    <row r="5604" spans="2:2" ht="15.6">
      <c r="B5604" s="197">
        <v>18.232631948504519</v>
      </c>
    </row>
    <row r="5605" spans="2:2" ht="15.6">
      <c r="B5605" s="197">
        <v>18.132749278968056</v>
      </c>
    </row>
    <row r="5606" spans="2:2" ht="15.6">
      <c r="B5606" s="197">
        <v>17.94789955277653</v>
      </c>
    </row>
    <row r="5607" spans="2:2" ht="15.6">
      <c r="B5607" s="197">
        <v>18.261419473434213</v>
      </c>
    </row>
    <row r="5608" spans="2:2" ht="15.6">
      <c r="B5608" s="197">
        <v>18.394084152377193</v>
      </c>
    </row>
    <row r="5609" spans="2:2" ht="15.6">
      <c r="B5609" s="197">
        <v>18.201759418303897</v>
      </c>
    </row>
    <row r="5610" spans="2:2" ht="15.6">
      <c r="B5610" s="197">
        <v>18.282991038841089</v>
      </c>
    </row>
    <row r="5611" spans="2:2" ht="15.6">
      <c r="B5611" s="197">
        <v>17.918235250144644</v>
      </c>
    </row>
    <row r="5612" spans="2:2" ht="15.6">
      <c r="B5612" s="197">
        <v>17.988321441733792</v>
      </c>
    </row>
    <row r="5613" spans="2:2" ht="15.6">
      <c r="B5613" s="197">
        <v>18.229204984292547</v>
      </c>
    </row>
    <row r="5614" spans="2:2" ht="15.6">
      <c r="B5614" s="197">
        <v>18.135338349869187</v>
      </c>
    </row>
    <row r="5615" spans="2:2" ht="15.6">
      <c r="B5615" s="197">
        <v>18.228652545538701</v>
      </c>
    </row>
    <row r="5616" spans="2:2" ht="15.6">
      <c r="B5616" s="197">
        <v>18.165970126777808</v>
      </c>
    </row>
    <row r="5617" spans="2:2" ht="15.6">
      <c r="B5617" s="197">
        <v>18.442737417167404</v>
      </c>
    </row>
    <row r="5618" spans="2:2" ht="15.6">
      <c r="B5618" s="197">
        <v>18.167456193816403</v>
      </c>
    </row>
    <row r="5619" spans="2:2" ht="15.6">
      <c r="B5619" s="197">
        <v>18.308120952846359</v>
      </c>
    </row>
    <row r="5620" spans="2:2" ht="15.6">
      <c r="B5620" s="197">
        <v>18.542780874031799</v>
      </c>
    </row>
    <row r="5621" spans="2:2" ht="15.6">
      <c r="B5621" s="197">
        <v>17.738156800343273</v>
      </c>
    </row>
    <row r="5622" spans="2:2" ht="15.6">
      <c r="B5622" s="197">
        <v>17.578946588628813</v>
      </c>
    </row>
    <row r="5623" spans="2:2" ht="15.6">
      <c r="B5623" s="197">
        <v>18.0733729995594</v>
      </c>
    </row>
    <row r="5624" spans="2:2" ht="15.6">
      <c r="B5624" s="197">
        <v>18.062909370171724</v>
      </c>
    </row>
    <row r="5625" spans="2:2" ht="15.6">
      <c r="B5625" s="197">
        <v>18.278893038448857</v>
      </c>
    </row>
    <row r="5626" spans="2:2" ht="15.6">
      <c r="B5626" s="197">
        <v>18.111417649849177</v>
      </c>
    </row>
    <row r="5627" spans="2:2" ht="15.6">
      <c r="B5627" s="197">
        <v>17.735522911050712</v>
      </c>
    </row>
    <row r="5628" spans="2:2" ht="15.6">
      <c r="B5628" s="197">
        <v>18.326100770089738</v>
      </c>
    </row>
    <row r="5629" spans="2:2" ht="15.6">
      <c r="B5629" s="197">
        <v>18.025020535851105</v>
      </c>
    </row>
    <row r="5630" spans="2:2" ht="15.6">
      <c r="B5630" s="197">
        <v>18.318966150808738</v>
      </c>
    </row>
    <row r="5631" spans="2:2" ht="15.6">
      <c r="B5631" s="197">
        <v>18.022404557723689</v>
      </c>
    </row>
    <row r="5632" spans="2:2" ht="15.6">
      <c r="B5632" s="197">
        <v>17.688427389486073</v>
      </c>
    </row>
    <row r="5633" spans="2:2" ht="15.6">
      <c r="B5633" s="197">
        <v>17.98553603490079</v>
      </c>
    </row>
    <row r="5634" spans="2:2" ht="15.6">
      <c r="B5634" s="197">
        <v>18.496630244123473</v>
      </c>
    </row>
    <row r="5635" spans="2:2" ht="15.6">
      <c r="B5635" s="197">
        <v>17.924648782275558</v>
      </c>
    </row>
    <row r="5636" spans="2:2" ht="15.6">
      <c r="B5636" s="197">
        <v>17.933399389688969</v>
      </c>
    </row>
    <row r="5637" spans="2:2" ht="15.6">
      <c r="B5637" s="197">
        <v>18.086280744693308</v>
      </c>
    </row>
    <row r="5638" spans="2:2" ht="15.6">
      <c r="B5638" s="197">
        <v>18.11135186419822</v>
      </c>
    </row>
    <row r="5639" spans="2:2" ht="15.6">
      <c r="B5639" s="197">
        <v>18.659688521532747</v>
      </c>
    </row>
    <row r="5640" spans="2:2" ht="15.6">
      <c r="B5640" s="197">
        <v>18.264372059601733</v>
      </c>
    </row>
    <row r="5641" spans="2:2" ht="15.6">
      <c r="B5641" s="197">
        <v>18.319213186771815</v>
      </c>
    </row>
    <row r="5642" spans="2:2" ht="15.6">
      <c r="B5642" s="197">
        <v>18.064144452455732</v>
      </c>
    </row>
    <row r="5643" spans="2:2" ht="15.6">
      <c r="B5643" s="197">
        <v>17.893896011552009</v>
      </c>
    </row>
    <row r="5644" spans="2:2" ht="15.6">
      <c r="B5644" s="197">
        <v>18.296447407926092</v>
      </c>
    </row>
    <row r="5645" spans="2:2" ht="15.6">
      <c r="B5645" s="197">
        <v>18.162550786565095</v>
      </c>
    </row>
    <row r="5646" spans="2:2" ht="15.6">
      <c r="B5646" s="197">
        <v>18.44996788526581</v>
      </c>
    </row>
    <row r="5647" spans="2:2" ht="15.6">
      <c r="B5647" s="197">
        <v>18.411444078634378</v>
      </c>
    </row>
    <row r="5648" spans="2:2" ht="15.6">
      <c r="B5648" s="197">
        <v>18.187729442081629</v>
      </c>
    </row>
    <row r="5649" spans="2:2" ht="15.6">
      <c r="B5649" s="197">
        <v>18.072150774399738</v>
      </c>
    </row>
    <row r="5650" spans="2:2" ht="15.6">
      <c r="B5650" s="197">
        <v>18.056807826343373</v>
      </c>
    </row>
    <row r="5651" spans="2:2" ht="15.6">
      <c r="B5651" s="197">
        <v>17.94315385353956</v>
      </c>
    </row>
    <row r="5652" spans="2:2" ht="15.6">
      <c r="B5652" s="197">
        <v>18.282520672826202</v>
      </c>
    </row>
    <row r="5653" spans="2:2" ht="15.6">
      <c r="B5653" s="197">
        <v>18.216654661463181</v>
      </c>
    </row>
    <row r="5654" spans="2:2" ht="15.6">
      <c r="B5654" s="197">
        <v>18.031806639624243</v>
      </c>
    </row>
    <row r="5655" spans="2:2" ht="15.6">
      <c r="B5655" s="197">
        <v>17.758453672209107</v>
      </c>
    </row>
    <row r="5656" spans="2:2" ht="15.6">
      <c r="B5656" s="197">
        <v>18.302880104044267</v>
      </c>
    </row>
    <row r="5657" spans="2:2" ht="15.6">
      <c r="B5657" s="197">
        <v>18.215643061638506</v>
      </c>
    </row>
    <row r="5658" spans="2:2" ht="15.6">
      <c r="B5658" s="197">
        <v>18.22013061799359</v>
      </c>
    </row>
    <row r="5659" spans="2:2" ht="15.6">
      <c r="B5659" s="197">
        <v>18.149056324662336</v>
      </c>
    </row>
    <row r="5660" spans="2:2" ht="15.6">
      <c r="B5660" s="197">
        <v>18.211768005853994</v>
      </c>
    </row>
    <row r="5661" spans="2:2" ht="15.6">
      <c r="B5661" s="197">
        <v>18.157918093753885</v>
      </c>
    </row>
    <row r="5662" spans="2:2" ht="15.6">
      <c r="B5662" s="197">
        <v>18.181058262080541</v>
      </c>
    </row>
    <row r="5663" spans="2:2" ht="15.6">
      <c r="B5663" s="197">
        <v>17.826609634601009</v>
      </c>
    </row>
    <row r="5664" spans="2:2" ht="15.6">
      <c r="B5664" s="197">
        <v>17.866198284541628</v>
      </c>
    </row>
    <row r="5665" spans="2:2" ht="15.6">
      <c r="B5665" s="197">
        <v>18.456906893664371</v>
      </c>
    </row>
    <row r="5666" spans="2:2" ht="15.6">
      <c r="B5666" s="197">
        <v>18.195652753567984</v>
      </c>
    </row>
    <row r="5667" spans="2:2" ht="15.6">
      <c r="B5667" s="197">
        <v>17.944151633032707</v>
      </c>
    </row>
    <row r="5668" spans="2:2" ht="15.6">
      <c r="B5668" s="197">
        <v>18.204372620952881</v>
      </c>
    </row>
    <row r="5669" spans="2:2" ht="15.6">
      <c r="B5669" s="197">
        <v>18.058599065720326</v>
      </c>
    </row>
    <row r="5670" spans="2:2" ht="15.6">
      <c r="B5670" s="197">
        <v>18.128927367757466</v>
      </c>
    </row>
    <row r="5671" spans="2:2" ht="15.6">
      <c r="B5671" s="197">
        <v>18.075511097872617</v>
      </c>
    </row>
    <row r="5672" spans="2:2" ht="15.6">
      <c r="B5672" s="197">
        <v>18.191844580379371</v>
      </c>
    </row>
    <row r="5673" spans="2:2" ht="15.6">
      <c r="B5673" s="197">
        <v>18.2361778617258</v>
      </c>
    </row>
    <row r="5674" spans="2:2" ht="15.6">
      <c r="B5674" s="197">
        <v>18.338033889785908</v>
      </c>
    </row>
    <row r="5675" spans="2:2" ht="15.6">
      <c r="B5675" s="197">
        <v>18.512557688035447</v>
      </c>
    </row>
    <row r="5676" spans="2:2" ht="15.6">
      <c r="B5676" s="197">
        <v>18.120877887170685</v>
      </c>
    </row>
    <row r="5677" spans="2:2" ht="15.6">
      <c r="B5677" s="197">
        <v>18.475075550214658</v>
      </c>
    </row>
    <row r="5678" spans="2:2" ht="15.6">
      <c r="B5678" s="197">
        <v>18.240302864187331</v>
      </c>
    </row>
    <row r="5679" spans="2:2" ht="15.6">
      <c r="B5679" s="197">
        <v>18.233276627474105</v>
      </c>
    </row>
    <row r="5680" spans="2:2" ht="15.6">
      <c r="B5680" s="197">
        <v>18.032853000973184</v>
      </c>
    </row>
    <row r="5681" spans="2:2" ht="15.6">
      <c r="B5681" s="197">
        <v>18.205329487252222</v>
      </c>
    </row>
    <row r="5682" spans="2:2" ht="15.6">
      <c r="B5682" s="197">
        <v>17.745647295480758</v>
      </c>
    </row>
    <row r="5683" spans="2:2" ht="15.6">
      <c r="B5683" s="197">
        <v>17.961765925805693</v>
      </c>
    </row>
    <row r="5684" spans="2:2" ht="15.6">
      <c r="B5684" s="197">
        <v>17.966955660848047</v>
      </c>
    </row>
    <row r="5685" spans="2:2" ht="15.6">
      <c r="B5685" s="197">
        <v>18.322531194408462</v>
      </c>
    </row>
    <row r="5686" spans="2:2" ht="15.6">
      <c r="B5686" s="197">
        <v>17.993265270257684</v>
      </c>
    </row>
    <row r="5687" spans="2:2" ht="15.6">
      <c r="B5687" s="197">
        <v>17.942028018074257</v>
      </c>
    </row>
    <row r="5688" spans="2:2" ht="15.6">
      <c r="B5688" s="197">
        <v>18.562849666471937</v>
      </c>
    </row>
    <row r="5689" spans="2:2" ht="15.6">
      <c r="B5689" s="197">
        <v>17.798200647875277</v>
      </c>
    </row>
    <row r="5690" spans="2:2" ht="15.6">
      <c r="B5690" s="197">
        <v>18.169634312886682</v>
      </c>
    </row>
    <row r="5691" spans="2:2" ht="15.6">
      <c r="B5691" s="197">
        <v>17.963171145215078</v>
      </c>
    </row>
    <row r="5692" spans="2:2" ht="15.6">
      <c r="B5692" s="197">
        <v>18.253689721047603</v>
      </c>
    </row>
    <row r="5693" spans="2:2" ht="15.6">
      <c r="B5693" s="197">
        <v>18.015539571878758</v>
      </c>
    </row>
    <row r="5694" spans="2:2" ht="15.6">
      <c r="B5694" s="197">
        <v>18.4384776503152</v>
      </c>
    </row>
    <row r="5695" spans="2:2" ht="15.6">
      <c r="B5695" s="197">
        <v>17.791928288520261</v>
      </c>
    </row>
    <row r="5696" spans="2:2" ht="15.6">
      <c r="B5696" s="197">
        <v>18.105908123777294</v>
      </c>
    </row>
    <row r="5697" spans="2:2" ht="15.6">
      <c r="B5697" s="197">
        <v>18.046563185937689</v>
      </c>
    </row>
    <row r="5698" spans="2:2" ht="15.6">
      <c r="B5698" s="197">
        <v>18.114072007779605</v>
      </c>
    </row>
    <row r="5699" spans="2:2" ht="15.6">
      <c r="B5699" s="197">
        <v>18.315180568410639</v>
      </c>
    </row>
    <row r="5700" spans="2:2" ht="15.6">
      <c r="B5700" s="197">
        <v>18.360120839605351</v>
      </c>
    </row>
    <row r="5701" spans="2:2" ht="15.6">
      <c r="B5701" s="197">
        <v>18.097635620200748</v>
      </c>
    </row>
    <row r="5702" spans="2:2" ht="15.6">
      <c r="B5702" s="197">
        <v>18.28044034961221</v>
      </c>
    </row>
    <row r="5703" spans="2:2" ht="15.6">
      <c r="B5703" s="197">
        <v>17.668295005848059</v>
      </c>
    </row>
    <row r="5704" spans="2:2" ht="15.6">
      <c r="B5704" s="197">
        <v>18.310970775309109</v>
      </c>
    </row>
    <row r="5705" spans="2:2" ht="15.6">
      <c r="B5705" s="197">
        <v>18.13688046218827</v>
      </c>
    </row>
    <row r="5706" spans="2:2" ht="15.6">
      <c r="B5706" s="197">
        <v>18.048602439072543</v>
      </c>
    </row>
    <row r="5707" spans="2:2" ht="15.6">
      <c r="B5707" s="197">
        <v>18.634192210769211</v>
      </c>
    </row>
    <row r="5708" spans="2:2" ht="15.6">
      <c r="B5708" s="197">
        <v>18.25324831503314</v>
      </c>
    </row>
    <row r="5709" spans="2:2" ht="15.6">
      <c r="B5709" s="197">
        <v>18.404332148663908</v>
      </c>
    </row>
    <row r="5710" spans="2:2" ht="15.6">
      <c r="B5710" s="197">
        <v>18.368001219491997</v>
      </c>
    </row>
    <row r="5711" spans="2:2" ht="15.6">
      <c r="B5711" s="197">
        <v>17.783138304040765</v>
      </c>
    </row>
    <row r="5712" spans="2:2" ht="15.6">
      <c r="B5712" s="197">
        <v>18.372580784065242</v>
      </c>
    </row>
    <row r="5713" spans="2:2" ht="15.6">
      <c r="B5713" s="197">
        <v>18.150954664278544</v>
      </c>
    </row>
    <row r="5714" spans="2:2" ht="15.6">
      <c r="B5714" s="197">
        <v>17.789331895971717</v>
      </c>
    </row>
    <row r="5715" spans="2:2" ht="15.6">
      <c r="B5715" s="197">
        <v>17.915294482930548</v>
      </c>
    </row>
    <row r="5716" spans="2:2" ht="15.6">
      <c r="B5716" s="197">
        <v>18.086138249212169</v>
      </c>
    </row>
    <row r="5717" spans="2:2" ht="15.6">
      <c r="B5717" s="197">
        <v>18.189414697788212</v>
      </c>
    </row>
    <row r="5718" spans="2:2" ht="15.6">
      <c r="B5718" s="197">
        <v>17.950420815946419</v>
      </c>
    </row>
    <row r="5719" spans="2:2" ht="15.6">
      <c r="B5719" s="197">
        <v>18.287685768235168</v>
      </c>
    </row>
    <row r="5720" spans="2:2" ht="15.6">
      <c r="B5720" s="197">
        <v>18.039636960248057</v>
      </c>
    </row>
    <row r="5721" spans="2:2" ht="15.6">
      <c r="B5721" s="197">
        <v>18.19656768704375</v>
      </c>
    </row>
    <row r="5722" spans="2:2" ht="15.6">
      <c r="B5722" s="197">
        <v>18.004034041693036</v>
      </c>
    </row>
    <row r="5723" spans="2:2" ht="15.6">
      <c r="B5723" s="197">
        <v>18.071074021624121</v>
      </c>
    </row>
    <row r="5724" spans="2:2" ht="15.6">
      <c r="B5724" s="197">
        <v>18.005429952730932</v>
      </c>
    </row>
    <row r="5725" spans="2:2" ht="15.6">
      <c r="B5725" s="197">
        <v>18.248098426724873</v>
      </c>
    </row>
    <row r="5726" spans="2:2" ht="15.6">
      <c r="B5726" s="197">
        <v>18.140206017762104</v>
      </c>
    </row>
    <row r="5727" spans="2:2" ht="15.6">
      <c r="B5727" s="197">
        <v>18.068269279909913</v>
      </c>
    </row>
    <row r="5728" spans="2:2" ht="15.6">
      <c r="B5728" s="197">
        <v>18.158214703096551</v>
      </c>
    </row>
    <row r="5729" spans="2:2" ht="15.6">
      <c r="B5729" s="197">
        <v>17.933219450464666</v>
      </c>
    </row>
    <row r="5730" spans="2:2" ht="15.6">
      <c r="B5730" s="197">
        <v>18.218077220902376</v>
      </c>
    </row>
    <row r="5731" spans="2:2" ht="15.6">
      <c r="B5731" s="197">
        <v>17.896913059547074</v>
      </c>
    </row>
    <row r="5732" spans="2:2" ht="15.6">
      <c r="B5732" s="197">
        <v>17.950364070012249</v>
      </c>
    </row>
    <row r="5733" spans="2:2" ht="15.6">
      <c r="B5733" s="197">
        <v>18.370585209384519</v>
      </c>
    </row>
    <row r="5734" spans="2:2" ht="15.6">
      <c r="B5734" s="197">
        <v>17.724229327149907</v>
      </c>
    </row>
    <row r="5735" spans="2:2" ht="15.6">
      <c r="B5735" s="197">
        <v>18.044415102678258</v>
      </c>
    </row>
    <row r="5736" spans="2:2" ht="15.6">
      <c r="B5736" s="197">
        <v>17.963587603632909</v>
      </c>
    </row>
    <row r="5737" spans="2:2" ht="15.6">
      <c r="B5737" s="197">
        <v>18.018063986231571</v>
      </c>
    </row>
    <row r="5738" spans="2:2" ht="15.6">
      <c r="B5738" s="197">
        <v>18.196344060364982</v>
      </c>
    </row>
    <row r="5739" spans="2:2" ht="15.6">
      <c r="B5739" s="197">
        <v>18.06001334695555</v>
      </c>
    </row>
    <row r="5740" spans="2:2" ht="15.6">
      <c r="B5740" s="197">
        <v>18.121094395861768</v>
      </c>
    </row>
    <row r="5741" spans="2:2" ht="15.6">
      <c r="B5741" s="197">
        <v>18.351869476485</v>
      </c>
    </row>
    <row r="5742" spans="2:2" ht="15.6">
      <c r="B5742" s="197">
        <v>18.294124803942921</v>
      </c>
    </row>
    <row r="5743" spans="2:2" ht="15.6">
      <c r="B5743" s="197">
        <v>18.0760158610796</v>
      </c>
    </row>
    <row r="5744" spans="2:2" ht="15.6">
      <c r="B5744" s="197">
        <v>17.969045170598726</v>
      </c>
    </row>
    <row r="5745" spans="2:2" ht="15.6">
      <c r="B5745" s="197">
        <v>18.195877381003271</v>
      </c>
    </row>
    <row r="5746" spans="2:2" ht="15.6">
      <c r="B5746" s="197">
        <v>18.124916171468154</v>
      </c>
    </row>
    <row r="5747" spans="2:2" ht="15.6">
      <c r="B5747" s="197">
        <v>17.836397218669699</v>
      </c>
    </row>
    <row r="5748" spans="2:2" ht="15.6">
      <c r="B5748" s="197">
        <v>18.23025459202929</v>
      </c>
    </row>
    <row r="5749" spans="2:2" ht="15.6">
      <c r="B5749" s="197">
        <v>17.859390454125698</v>
      </c>
    </row>
    <row r="5750" spans="2:2" ht="15.6">
      <c r="B5750" s="197">
        <v>18.201455150949812</v>
      </c>
    </row>
    <row r="5751" spans="2:2" ht="15.6">
      <c r="B5751" s="197">
        <v>18.359389735993407</v>
      </c>
    </row>
    <row r="5752" spans="2:2" ht="15.6">
      <c r="B5752" s="197">
        <v>18.343849530413824</v>
      </c>
    </row>
    <row r="5753" spans="2:2" ht="15.6">
      <c r="B5753" s="197">
        <v>18.193354510570401</v>
      </c>
    </row>
    <row r="5754" spans="2:2" ht="15.6">
      <c r="B5754" s="197">
        <v>18.394800053335082</v>
      </c>
    </row>
    <row r="5755" spans="2:2" ht="15.6">
      <c r="B5755" s="197">
        <v>18.422299909188631</v>
      </c>
    </row>
    <row r="5756" spans="2:2" ht="15.6">
      <c r="B5756" s="197">
        <v>18.492059163987882</v>
      </c>
    </row>
    <row r="5757" spans="2:2" ht="15.6">
      <c r="B5757" s="197">
        <v>18.392410783875242</v>
      </c>
    </row>
    <row r="5758" spans="2:2" ht="15.6">
      <c r="B5758" s="197">
        <v>18.532485037634387</v>
      </c>
    </row>
    <row r="5759" spans="2:2" ht="15.6">
      <c r="B5759" s="197">
        <v>18.440788802020936</v>
      </c>
    </row>
    <row r="5760" spans="2:2" ht="15.6">
      <c r="B5760" s="197">
        <v>17.828252247455421</v>
      </c>
    </row>
    <row r="5761" spans="2:2" ht="15.6">
      <c r="B5761" s="197">
        <v>18.160466994032518</v>
      </c>
    </row>
    <row r="5762" spans="2:2" ht="15.6">
      <c r="B5762" s="197">
        <v>18.387902243976921</v>
      </c>
    </row>
    <row r="5763" spans="2:2" ht="15.6">
      <c r="B5763" s="197">
        <v>17.865092989718374</v>
      </c>
    </row>
    <row r="5764" spans="2:2" ht="15.6">
      <c r="B5764" s="197">
        <v>18.0962350851952</v>
      </c>
    </row>
    <row r="5765" spans="2:2" ht="15.6">
      <c r="B5765" s="197">
        <v>18.398267596302269</v>
      </c>
    </row>
    <row r="5766" spans="2:2" ht="15.6">
      <c r="B5766" s="197">
        <v>18.254793648443457</v>
      </c>
    </row>
    <row r="5767" spans="2:2" ht="15.6">
      <c r="B5767" s="197">
        <v>18.363719211493141</v>
      </c>
    </row>
    <row r="5768" spans="2:2" ht="15.6">
      <c r="B5768" s="197">
        <v>18.447042458701631</v>
      </c>
    </row>
    <row r="5769" spans="2:2" ht="15.6">
      <c r="B5769" s="197">
        <v>17.809055602584259</v>
      </c>
    </row>
    <row r="5770" spans="2:2" ht="15.6">
      <c r="B5770" s="197">
        <v>18.16587638496965</v>
      </c>
    </row>
    <row r="5771" spans="2:2" ht="15.6">
      <c r="B5771" s="197">
        <v>17.950747737074458</v>
      </c>
    </row>
    <row r="5772" spans="2:2" ht="15.6">
      <c r="B5772" s="197">
        <v>18.334118141096674</v>
      </c>
    </row>
    <row r="5773" spans="2:2" ht="15.6">
      <c r="B5773" s="197">
        <v>18.43101544112022</v>
      </c>
    </row>
    <row r="5774" spans="2:2" ht="15.6">
      <c r="B5774" s="197">
        <v>18.019240967629656</v>
      </c>
    </row>
    <row r="5775" spans="2:2" ht="15.6">
      <c r="B5775" s="197">
        <v>18.169605229796716</v>
      </c>
    </row>
    <row r="5776" spans="2:2" ht="15.6">
      <c r="B5776" s="197">
        <v>18.324228695099269</v>
      </c>
    </row>
    <row r="5777" spans="2:2" ht="15.6">
      <c r="B5777" s="197">
        <v>18.059632112349938</v>
      </c>
    </row>
    <row r="5778" spans="2:2" ht="15.6">
      <c r="B5778" s="197">
        <v>17.944960100955015</v>
      </c>
    </row>
    <row r="5779" spans="2:2" ht="15.6">
      <c r="B5779" s="197">
        <v>18.166396152708082</v>
      </c>
    </row>
    <row r="5780" spans="2:2" ht="15.6">
      <c r="B5780" s="197">
        <v>18.214852001310451</v>
      </c>
    </row>
    <row r="5781" spans="2:2" ht="15.6">
      <c r="B5781" s="197">
        <v>17.817391692512484</v>
      </c>
    </row>
    <row r="5782" spans="2:2" ht="15.6">
      <c r="B5782" s="197">
        <v>17.923941491212112</v>
      </c>
    </row>
    <row r="5783" spans="2:2" ht="15.6">
      <c r="B5783" s="197">
        <v>17.961010396308431</v>
      </c>
    </row>
    <row r="5784" spans="2:2" ht="15.6">
      <c r="B5784" s="197">
        <v>18.181638349907359</v>
      </c>
    </row>
    <row r="5785" spans="2:2" ht="15.6">
      <c r="B5785" s="197">
        <v>18.217965013877969</v>
      </c>
    </row>
    <row r="5786" spans="2:2" ht="15.6">
      <c r="B5786" s="197">
        <v>18.037930662225811</v>
      </c>
    </row>
    <row r="5787" spans="2:2" ht="15.6">
      <c r="B5787" s="197">
        <v>17.710760992076434</v>
      </c>
    </row>
    <row r="5788" spans="2:2" ht="15.6">
      <c r="B5788" s="197">
        <v>18.390825050873243</v>
      </c>
    </row>
    <row r="5789" spans="2:2" ht="15.6">
      <c r="B5789" s="197">
        <v>18.057110152561883</v>
      </c>
    </row>
    <row r="5790" spans="2:2" ht="15.6">
      <c r="B5790" s="197">
        <v>18.787187537927682</v>
      </c>
    </row>
    <row r="5791" spans="2:2" ht="15.6">
      <c r="B5791" s="197">
        <v>18.428934439720368</v>
      </c>
    </row>
    <row r="5792" spans="2:2" ht="15.6">
      <c r="B5792" s="197">
        <v>18.247479033862721</v>
      </c>
    </row>
    <row r="5793" spans="2:2" ht="15.6">
      <c r="B5793" s="197">
        <v>18.114511482007941</v>
      </c>
    </row>
    <row r="5794" spans="2:2" ht="15.6">
      <c r="B5794" s="197">
        <v>18.068678959238955</v>
      </c>
    </row>
    <row r="5795" spans="2:2" ht="15.6">
      <c r="B5795" s="197">
        <v>18.148584671012021</v>
      </c>
    </row>
    <row r="5796" spans="2:2" ht="15.6">
      <c r="B5796" s="197">
        <v>18.042888091457971</v>
      </c>
    </row>
    <row r="5797" spans="2:2" ht="15.6">
      <c r="B5797" s="197">
        <v>17.876644902609488</v>
      </c>
    </row>
    <row r="5798" spans="2:2" ht="15.6">
      <c r="B5798" s="197">
        <v>18.239498632510394</v>
      </c>
    </row>
    <row r="5799" spans="2:2" ht="15.6">
      <c r="B5799" s="197">
        <v>18.201956743168786</v>
      </c>
    </row>
    <row r="5800" spans="2:2" ht="15.6">
      <c r="B5800" s="197">
        <v>17.973107534639723</v>
      </c>
    </row>
    <row r="5801" spans="2:2" ht="15.6">
      <c r="B5801" s="197">
        <v>17.939778849599424</v>
      </c>
    </row>
    <row r="5802" spans="2:2" ht="15.6">
      <c r="B5802" s="197">
        <v>18.124128969626273</v>
      </c>
    </row>
    <row r="5803" spans="2:2" ht="15.6">
      <c r="B5803" s="197">
        <v>17.660399510249363</v>
      </c>
    </row>
    <row r="5804" spans="2:2" ht="15.6">
      <c r="B5804" s="197">
        <v>18.151055936815723</v>
      </c>
    </row>
    <row r="5805" spans="2:2" ht="15.6">
      <c r="B5805" s="197">
        <v>17.954821460007931</v>
      </c>
    </row>
    <row r="5806" spans="2:2" ht="15.6">
      <c r="B5806" s="197">
        <v>18.148995743304752</v>
      </c>
    </row>
    <row r="5807" spans="2:2" ht="15.6">
      <c r="B5807" s="197">
        <v>18.044823918718372</v>
      </c>
    </row>
    <row r="5808" spans="2:2" ht="15.6">
      <c r="B5808" s="197">
        <v>18.498011898371217</v>
      </c>
    </row>
    <row r="5809" spans="2:2" ht="15.6">
      <c r="B5809" s="197">
        <v>18.118386837515256</v>
      </c>
    </row>
    <row r="5810" spans="2:2" ht="15.6">
      <c r="B5810" s="197">
        <v>18.319368248407294</v>
      </c>
    </row>
    <row r="5811" spans="2:2" ht="15.6">
      <c r="B5811" s="197">
        <v>18.231591812447132</v>
      </c>
    </row>
    <row r="5812" spans="2:2" ht="15.6">
      <c r="B5812" s="197">
        <v>18.127668366204173</v>
      </c>
    </row>
    <row r="5813" spans="2:2" ht="15.6">
      <c r="B5813" s="197">
        <v>17.791402486738392</v>
      </c>
    </row>
    <row r="5814" spans="2:2" ht="15.6">
      <c r="B5814" s="197">
        <v>18.121782337352847</v>
      </c>
    </row>
    <row r="5815" spans="2:2" ht="15.6">
      <c r="B5815" s="197">
        <v>18.297822036601058</v>
      </c>
    </row>
    <row r="5816" spans="2:2" ht="15.6">
      <c r="B5816" s="197">
        <v>17.818879850726358</v>
      </c>
    </row>
    <row r="5817" spans="2:2" ht="15.6">
      <c r="B5817" s="197">
        <v>18.219030680548201</v>
      </c>
    </row>
    <row r="5818" spans="2:2" ht="15.6">
      <c r="B5818" s="197">
        <v>18.391369611083949</v>
      </c>
    </row>
    <row r="5819" spans="2:2" ht="15.6">
      <c r="B5819" s="197">
        <v>18.099476405950409</v>
      </c>
    </row>
    <row r="5820" spans="2:2" ht="15.6">
      <c r="B5820" s="197">
        <v>18.220452773900316</v>
      </c>
    </row>
    <row r="5821" spans="2:2" ht="15.6">
      <c r="B5821" s="197">
        <v>18.096409298964836</v>
      </c>
    </row>
    <row r="5822" spans="2:2" ht="15.6">
      <c r="B5822" s="197">
        <v>18.278724137633624</v>
      </c>
    </row>
    <row r="5823" spans="2:2" ht="15.6">
      <c r="B5823" s="197">
        <v>18.031634996501818</v>
      </c>
    </row>
    <row r="5824" spans="2:2" ht="15.6">
      <c r="B5824" s="197">
        <v>18.528863510890552</v>
      </c>
    </row>
    <row r="5825" spans="2:2" ht="15.6">
      <c r="B5825" s="197">
        <v>18.73349157717821</v>
      </c>
    </row>
    <row r="5826" spans="2:2" ht="15.6">
      <c r="B5826" s="197">
        <v>18.29327760560729</v>
      </c>
    </row>
    <row r="5827" spans="2:2" ht="15.6">
      <c r="B5827" s="197">
        <v>18.061405220009153</v>
      </c>
    </row>
    <row r="5828" spans="2:2" ht="15.6">
      <c r="B5828" s="197">
        <v>18.134364623060804</v>
      </c>
    </row>
    <row r="5829" spans="2:2" ht="15.6">
      <c r="B5829" s="197">
        <v>18.055672161389737</v>
      </c>
    </row>
    <row r="5830" spans="2:2" ht="15.6">
      <c r="B5830" s="197">
        <v>18.220398509564376</v>
      </c>
    </row>
    <row r="5831" spans="2:2" ht="15.6">
      <c r="B5831" s="197">
        <v>18.554995062416619</v>
      </c>
    </row>
    <row r="5832" spans="2:2" ht="15.6">
      <c r="B5832" s="197">
        <v>18.025359282928093</v>
      </c>
    </row>
    <row r="5833" spans="2:2" ht="15.6">
      <c r="B5833" s="197">
        <v>18.177087583233906</v>
      </c>
    </row>
    <row r="5834" spans="2:2" ht="15.6">
      <c r="B5834" s="197">
        <v>18.004924598783735</v>
      </c>
    </row>
    <row r="5835" spans="2:2" ht="15.6">
      <c r="B5835" s="197">
        <v>18.106786989554507</v>
      </c>
    </row>
    <row r="5836" spans="2:2" ht="15.6">
      <c r="B5836" s="197">
        <v>17.902871606941229</v>
      </c>
    </row>
    <row r="5837" spans="2:2" ht="15.6">
      <c r="B5837" s="197">
        <v>17.928034953055558</v>
      </c>
    </row>
    <row r="5838" spans="2:2" ht="15.6">
      <c r="B5838" s="197">
        <v>18.025457129246838</v>
      </c>
    </row>
    <row r="5839" spans="2:2" ht="15.6">
      <c r="B5839" s="197">
        <v>17.965833574379982</v>
      </c>
    </row>
    <row r="5840" spans="2:2" ht="15.6">
      <c r="B5840" s="197">
        <v>18.209976225969662</v>
      </c>
    </row>
    <row r="5841" spans="2:2" ht="15.6">
      <c r="B5841" s="197">
        <v>18.025530631106108</v>
      </c>
    </row>
    <row r="5842" spans="2:2" ht="15.6">
      <c r="B5842" s="197">
        <v>18.276243083835247</v>
      </c>
    </row>
    <row r="5843" spans="2:2" ht="15.6">
      <c r="B5843" s="197">
        <v>18.057749615462644</v>
      </c>
    </row>
    <row r="5844" spans="2:2" ht="15.6">
      <c r="B5844" s="197">
        <v>17.822061153717293</v>
      </c>
    </row>
    <row r="5845" spans="2:2" ht="15.6">
      <c r="B5845" s="197">
        <v>18.580957198162988</v>
      </c>
    </row>
    <row r="5846" spans="2:2" ht="15.6">
      <c r="B5846" s="197">
        <v>18.010953007988</v>
      </c>
    </row>
    <row r="5847" spans="2:2" ht="15.6">
      <c r="B5847" s="197">
        <v>17.92968707178925</v>
      </c>
    </row>
    <row r="5848" spans="2:2" ht="15.6">
      <c r="B5848" s="197">
        <v>18.040265673297789</v>
      </c>
    </row>
    <row r="5849" spans="2:2" ht="15.6">
      <c r="B5849" s="197">
        <v>18.40640066233178</v>
      </c>
    </row>
    <row r="5850" spans="2:2" ht="15.6">
      <c r="B5850" s="197">
        <v>17.928956132310692</v>
      </c>
    </row>
    <row r="5851" spans="2:2" ht="15.6">
      <c r="B5851" s="197">
        <v>18.467258515640612</v>
      </c>
    </row>
    <row r="5852" spans="2:2" ht="15.6">
      <c r="B5852" s="197">
        <v>18.024192153813825</v>
      </c>
    </row>
    <row r="5853" spans="2:2" ht="15.6">
      <c r="B5853" s="197">
        <v>18.261996514587523</v>
      </c>
    </row>
    <row r="5854" spans="2:2" ht="15.6">
      <c r="B5854" s="197">
        <v>18.094945969575083</v>
      </c>
    </row>
    <row r="5855" spans="2:2" ht="15.6">
      <c r="B5855" s="197">
        <v>17.990260093054861</v>
      </c>
    </row>
    <row r="5856" spans="2:2" ht="15.6">
      <c r="B5856" s="197">
        <v>18.358158780479858</v>
      </c>
    </row>
    <row r="5857" spans="2:2" ht="15.6">
      <c r="B5857" s="197">
        <v>17.789289443461236</v>
      </c>
    </row>
    <row r="5858" spans="2:2" ht="15.6">
      <c r="B5858" s="197">
        <v>18.265411634306293</v>
      </c>
    </row>
    <row r="5859" spans="2:2" ht="15.6">
      <c r="B5859" s="197">
        <v>18.287037791622065</v>
      </c>
    </row>
    <row r="5860" spans="2:2" ht="15.6">
      <c r="B5860" s="197">
        <v>18.270160158485208</v>
      </c>
    </row>
    <row r="5861" spans="2:2" ht="15.6">
      <c r="B5861" s="197">
        <v>18.142552235639553</v>
      </c>
    </row>
    <row r="5862" spans="2:2" ht="15.6">
      <c r="B5862" s="197">
        <v>18.445327803691974</v>
      </c>
    </row>
    <row r="5863" spans="2:2" ht="15.6">
      <c r="B5863" s="197">
        <v>18.298947292580436</v>
      </c>
    </row>
    <row r="5864" spans="2:2" ht="15.6">
      <c r="B5864" s="197">
        <v>18.121029170449599</v>
      </c>
    </row>
    <row r="5865" spans="2:2" ht="15.6">
      <c r="B5865" s="197">
        <v>18.242065634323282</v>
      </c>
    </row>
    <row r="5866" spans="2:2" ht="15.6">
      <c r="B5866" s="197">
        <v>17.984295198458479</v>
      </c>
    </row>
    <row r="5867" spans="2:2" ht="15.6">
      <c r="B5867" s="197">
        <v>18.015633557015025</v>
      </c>
    </row>
    <row r="5868" spans="2:2" ht="15.6">
      <c r="B5868" s="197">
        <v>18.239115809812503</v>
      </c>
    </row>
    <row r="5869" spans="2:2" ht="15.6">
      <c r="B5869" s="197">
        <v>18.248586192185726</v>
      </c>
    </row>
    <row r="5870" spans="2:2" ht="15.6">
      <c r="B5870" s="197">
        <v>18.431786619231957</v>
      </c>
    </row>
    <row r="5871" spans="2:2" ht="15.6">
      <c r="B5871" s="197">
        <v>17.835215368248317</v>
      </c>
    </row>
    <row r="5872" spans="2:2" ht="15.6">
      <c r="B5872" s="197">
        <v>18.245014337297331</v>
      </c>
    </row>
    <row r="5873" spans="2:2" ht="15.6">
      <c r="B5873" s="197">
        <v>17.816319048958469</v>
      </c>
    </row>
    <row r="5874" spans="2:2" ht="15.6">
      <c r="B5874" s="197">
        <v>18.110104472123151</v>
      </c>
    </row>
    <row r="5875" spans="2:2" ht="15.6">
      <c r="B5875" s="197">
        <v>18.629441610686062</v>
      </c>
    </row>
    <row r="5876" spans="2:2" ht="15.6">
      <c r="B5876" s="197">
        <v>17.700923280662852</v>
      </c>
    </row>
    <row r="5877" spans="2:2" ht="15.6">
      <c r="B5877" s="197">
        <v>18.183851414214235</v>
      </c>
    </row>
    <row r="5878" spans="2:2" ht="15.6">
      <c r="B5878" s="197">
        <v>18.193145496673512</v>
      </c>
    </row>
    <row r="5879" spans="2:2" ht="15.6">
      <c r="B5879" s="197">
        <v>17.988632139895998</v>
      </c>
    </row>
    <row r="5880" spans="2:2" ht="15.6">
      <c r="B5880" s="197">
        <v>18.101732717066419</v>
      </c>
    </row>
    <row r="5881" spans="2:2" ht="15.6">
      <c r="B5881" s="197">
        <v>18.14194211757864</v>
      </c>
    </row>
    <row r="5882" spans="2:2" ht="15.6">
      <c r="B5882" s="197">
        <v>18.108424353692683</v>
      </c>
    </row>
    <row r="5883" spans="2:2" ht="15.6">
      <c r="B5883" s="197">
        <v>18.359513728651834</v>
      </c>
    </row>
    <row r="5884" spans="2:2" ht="15.6">
      <c r="B5884" s="197">
        <v>18.184814348298804</v>
      </c>
    </row>
    <row r="5885" spans="2:2" ht="15.6">
      <c r="B5885" s="197">
        <v>18.045467397669672</v>
      </c>
    </row>
    <row r="5886" spans="2:2" ht="15.6">
      <c r="B5886" s="197">
        <v>17.917465224724534</v>
      </c>
    </row>
    <row r="5887" spans="2:2" ht="15.6">
      <c r="B5887" s="197">
        <v>18.19661661891022</v>
      </c>
    </row>
    <row r="5888" spans="2:2" ht="15.6">
      <c r="B5888" s="197">
        <v>18.191868873343953</v>
      </c>
    </row>
    <row r="5889" spans="2:2" ht="15.6">
      <c r="B5889" s="197">
        <v>18.190406036696068</v>
      </c>
    </row>
    <row r="5890" spans="2:2" ht="15.6">
      <c r="B5890" s="197">
        <v>18.227957146630661</v>
      </c>
    </row>
    <row r="5891" spans="2:2" ht="15.6">
      <c r="B5891" s="197">
        <v>18.262310501850763</v>
      </c>
    </row>
    <row r="5892" spans="2:2" ht="15.6">
      <c r="B5892" s="197">
        <v>18.030371725218643</v>
      </c>
    </row>
    <row r="5893" spans="2:2" ht="15.6">
      <c r="B5893" s="197">
        <v>18.188523133803731</v>
      </c>
    </row>
    <row r="5894" spans="2:2" ht="15.6">
      <c r="B5894" s="197">
        <v>17.958315599432208</v>
      </c>
    </row>
    <row r="5895" spans="2:2" ht="15.6">
      <c r="B5895" s="197">
        <v>18.259132706405307</v>
      </c>
    </row>
    <row r="5896" spans="2:2" ht="15.6">
      <c r="B5896" s="197">
        <v>18.254668462427901</v>
      </c>
    </row>
    <row r="5897" spans="2:2" ht="15.6">
      <c r="B5897" s="197">
        <v>18.372333725804392</v>
      </c>
    </row>
    <row r="5898" spans="2:2" ht="15.6">
      <c r="B5898" s="197">
        <v>18.217547068014966</v>
      </c>
    </row>
    <row r="5899" spans="2:2" ht="15.6">
      <c r="B5899" s="197">
        <v>18.105566106955955</v>
      </c>
    </row>
    <row r="5900" spans="2:2" ht="15.6">
      <c r="B5900" s="197">
        <v>18.182124226364298</v>
      </c>
    </row>
    <row r="5901" spans="2:2" ht="15.6">
      <c r="B5901" s="197">
        <v>18.196070638686795</v>
      </c>
    </row>
    <row r="5902" spans="2:2" ht="15.6">
      <c r="B5902" s="197">
        <v>17.950567284277408</v>
      </c>
    </row>
    <row r="5903" spans="2:2" ht="15.6">
      <c r="B5903" s="197">
        <v>18.376604577457218</v>
      </c>
    </row>
    <row r="5904" spans="2:2" ht="15.6">
      <c r="B5904" s="197">
        <v>18.144038594900397</v>
      </c>
    </row>
    <row r="5905" spans="2:2" ht="15.6">
      <c r="B5905" s="197">
        <v>18.168472945816934</v>
      </c>
    </row>
    <row r="5906" spans="2:2" ht="15.6">
      <c r="B5906" s="197">
        <v>18.083646276678394</v>
      </c>
    </row>
    <row r="5907" spans="2:2" ht="15.6">
      <c r="B5907" s="197">
        <v>18.243008794942668</v>
      </c>
    </row>
    <row r="5908" spans="2:2" ht="15.6">
      <c r="B5908" s="197">
        <v>18.387388402616722</v>
      </c>
    </row>
    <row r="5909" spans="2:2" ht="15.6">
      <c r="B5909" s="197">
        <v>18.066868565965891</v>
      </c>
    </row>
    <row r="5910" spans="2:2" ht="15.6">
      <c r="B5910" s="197">
        <v>18.035648732906125</v>
      </c>
    </row>
    <row r="5911" spans="2:2" ht="15.6">
      <c r="B5911" s="197">
        <v>18.156663629725958</v>
      </c>
    </row>
    <row r="5912" spans="2:2" ht="15.6">
      <c r="B5912" s="197">
        <v>18.038268292294532</v>
      </c>
    </row>
    <row r="5913" spans="2:2" ht="15.6">
      <c r="B5913" s="197">
        <v>18.168209258060458</v>
      </c>
    </row>
    <row r="5914" spans="2:2" ht="15.6">
      <c r="B5914" s="197">
        <v>18.050465093409226</v>
      </c>
    </row>
    <row r="5915" spans="2:2" ht="15.6">
      <c r="B5915" s="197">
        <v>18.071313206996585</v>
      </c>
    </row>
    <row r="5916" spans="2:2" ht="15.6">
      <c r="B5916" s="197">
        <v>18.276873197680974</v>
      </c>
    </row>
    <row r="5917" spans="2:2" ht="15.6">
      <c r="B5917" s="197">
        <v>18.240622105942553</v>
      </c>
    </row>
    <row r="5918" spans="2:2" ht="15.6">
      <c r="B5918" s="197">
        <v>18.417939736043031</v>
      </c>
    </row>
    <row r="5919" spans="2:2" ht="15.6">
      <c r="B5919" s="197">
        <v>18.226477771297137</v>
      </c>
    </row>
    <row r="5920" spans="2:2" ht="15.6">
      <c r="B5920" s="197">
        <v>18.431113848211275</v>
      </c>
    </row>
    <row r="5921" spans="2:2" ht="15.6">
      <c r="B5921" s="197">
        <v>18.330461782299583</v>
      </c>
    </row>
    <row r="5922" spans="2:2" ht="15.6">
      <c r="B5922" s="197">
        <v>18.128369356606374</v>
      </c>
    </row>
    <row r="5923" spans="2:2" ht="15.6">
      <c r="B5923" s="197">
        <v>18.043444559962108</v>
      </c>
    </row>
    <row r="5924" spans="2:2" ht="15.6">
      <c r="B5924" s="197">
        <v>18.065785056137255</v>
      </c>
    </row>
    <row r="5925" spans="2:2" ht="15.6">
      <c r="B5925" s="197">
        <v>18.093530580517324</v>
      </c>
    </row>
    <row r="5926" spans="2:2" ht="15.6">
      <c r="B5926" s="197">
        <v>18.245840056126088</v>
      </c>
    </row>
    <row r="5927" spans="2:2" ht="15.6">
      <c r="B5927" s="197">
        <v>17.87875667511441</v>
      </c>
    </row>
    <row r="5928" spans="2:2" ht="15.6">
      <c r="B5928" s="197">
        <v>18.292194559055233</v>
      </c>
    </row>
    <row r="5929" spans="2:2" ht="15.6">
      <c r="B5929" s="197">
        <v>17.865140840341819</v>
      </c>
    </row>
    <row r="5930" spans="2:2" ht="15.6">
      <c r="B5930" s="197">
        <v>18.268519806540375</v>
      </c>
    </row>
    <row r="5931" spans="2:2" ht="15.6">
      <c r="B5931" s="197">
        <v>18.222047947395996</v>
      </c>
    </row>
    <row r="5932" spans="2:2" ht="15.6">
      <c r="B5932" s="197">
        <v>17.971473148628142</v>
      </c>
    </row>
    <row r="5933" spans="2:2" ht="15.6">
      <c r="B5933" s="197">
        <v>18.226917610213903</v>
      </c>
    </row>
    <row r="5934" spans="2:2" ht="15.6">
      <c r="B5934" s="197">
        <v>18.422100143745997</v>
      </c>
    </row>
    <row r="5935" spans="2:2" ht="15.6">
      <c r="B5935" s="197">
        <v>18.562138190689843</v>
      </c>
    </row>
    <row r="5936" spans="2:2" ht="15.6">
      <c r="B5936" s="197">
        <v>17.945911543349776</v>
      </c>
    </row>
    <row r="5937" spans="2:2" ht="15.6">
      <c r="B5937" s="197">
        <v>18.130792775520934</v>
      </c>
    </row>
    <row r="5938" spans="2:2" ht="15.6">
      <c r="B5938" s="197">
        <v>18.018890917389225</v>
      </c>
    </row>
    <row r="5939" spans="2:2" ht="15.6">
      <c r="B5939" s="197">
        <v>18.249632347799963</v>
      </c>
    </row>
    <row r="5940" spans="2:2" ht="15.6">
      <c r="B5940" s="197">
        <v>18.001855773851094</v>
      </c>
    </row>
    <row r="5941" spans="2:2" ht="15.6">
      <c r="B5941" s="197">
        <v>18.596437138918333</v>
      </c>
    </row>
    <row r="5942" spans="2:2" ht="15.6">
      <c r="B5942" s="197">
        <v>17.920491292781847</v>
      </c>
    </row>
    <row r="5943" spans="2:2" ht="15.6">
      <c r="B5943" s="197">
        <v>18.237852690767678</v>
      </c>
    </row>
    <row r="5944" spans="2:2" ht="15.6">
      <c r="B5944" s="197">
        <v>18.204903449869917</v>
      </c>
    </row>
    <row r="5945" spans="2:2" ht="15.6">
      <c r="B5945" s="197">
        <v>17.965409865157081</v>
      </c>
    </row>
    <row r="5946" spans="2:2" ht="15.6">
      <c r="B5946" s="197">
        <v>17.916442669339453</v>
      </c>
    </row>
    <row r="5947" spans="2:2" ht="15.6">
      <c r="B5947" s="197">
        <v>17.885462049833624</v>
      </c>
    </row>
    <row r="5948" spans="2:2" ht="15.6">
      <c r="B5948" s="197">
        <v>17.762261574331269</v>
      </c>
    </row>
    <row r="5949" spans="2:2" ht="15.6">
      <c r="B5949" s="197">
        <v>18.035209838735415</v>
      </c>
    </row>
    <row r="5950" spans="2:2" ht="15.6">
      <c r="B5950" s="197">
        <v>18.495017997379019</v>
      </c>
    </row>
    <row r="5951" spans="2:2" ht="15.6">
      <c r="B5951" s="197">
        <v>17.854929394323694</v>
      </c>
    </row>
    <row r="5952" spans="2:2" ht="15.6">
      <c r="B5952" s="197">
        <v>17.850474394939713</v>
      </c>
    </row>
    <row r="5953" spans="2:2" ht="15.6">
      <c r="B5953" s="197">
        <v>18.166006969991624</v>
      </c>
    </row>
    <row r="5954" spans="2:2" ht="15.6">
      <c r="B5954" s="197">
        <v>18.565657094007275</v>
      </c>
    </row>
    <row r="5955" spans="2:2" ht="15.6">
      <c r="B5955" s="197">
        <v>18.287792661376926</v>
      </c>
    </row>
    <row r="5956" spans="2:2" ht="15.6">
      <c r="B5956" s="197">
        <v>17.973669361214306</v>
      </c>
    </row>
    <row r="5957" spans="2:2" ht="15.6">
      <c r="B5957" s="197">
        <v>18.136120602801117</v>
      </c>
    </row>
    <row r="5958" spans="2:2" ht="15.6">
      <c r="B5958" s="197">
        <v>18.445749356642796</v>
      </c>
    </row>
    <row r="5959" spans="2:2" ht="15.6">
      <c r="B5959" s="197">
        <v>18.195544749876426</v>
      </c>
    </row>
    <row r="5960" spans="2:2" ht="15.6">
      <c r="B5960" s="197">
        <v>17.97653024245384</v>
      </c>
    </row>
    <row r="5961" spans="2:2" ht="15.6">
      <c r="B5961" s="197">
        <v>18.124381337091563</v>
      </c>
    </row>
    <row r="5962" spans="2:2" ht="15.6">
      <c r="B5962" s="197">
        <v>18.013390588689674</v>
      </c>
    </row>
    <row r="5963" spans="2:2" ht="15.6">
      <c r="B5963" s="197">
        <v>18.139928079080509</v>
      </c>
    </row>
    <row r="5964" spans="2:2" ht="15.6">
      <c r="B5964" s="197">
        <v>18.165270592636134</v>
      </c>
    </row>
    <row r="5965" spans="2:2" ht="15.6">
      <c r="B5965" s="197">
        <v>18.146012569942059</v>
      </c>
    </row>
    <row r="5966" spans="2:2" ht="15.6">
      <c r="B5966" s="197">
        <v>17.888956423742549</v>
      </c>
    </row>
    <row r="5967" spans="2:2" ht="15.6">
      <c r="B5967" s="197">
        <v>17.888408602403221</v>
      </c>
    </row>
    <row r="5968" spans="2:2" ht="15.6">
      <c r="B5968" s="197">
        <v>17.876250023487028</v>
      </c>
    </row>
    <row r="5969" spans="2:2" ht="15.6">
      <c r="B5969" s="197">
        <v>17.982658497339859</v>
      </c>
    </row>
    <row r="5970" spans="2:2" ht="15.6">
      <c r="B5970" s="197">
        <v>17.998735965614159</v>
      </c>
    </row>
    <row r="5971" spans="2:2" ht="15.6">
      <c r="B5971" s="197">
        <v>18.190012766224875</v>
      </c>
    </row>
    <row r="5972" spans="2:2" ht="15.6">
      <c r="B5972" s="197">
        <v>18.366119007257353</v>
      </c>
    </row>
    <row r="5973" spans="2:2" ht="15.6">
      <c r="B5973" s="197">
        <v>18.225510660296564</v>
      </c>
    </row>
    <row r="5974" spans="2:2" ht="15.6">
      <c r="B5974" s="197">
        <v>17.981996544108188</v>
      </c>
    </row>
    <row r="5975" spans="2:2" ht="15.6">
      <c r="B5975" s="197">
        <v>17.938354936565521</v>
      </c>
    </row>
    <row r="5976" spans="2:2" ht="15.6">
      <c r="B5976" s="197">
        <v>18.01682812296194</v>
      </c>
    </row>
    <row r="5977" spans="2:2" ht="15.6">
      <c r="B5977" s="197">
        <v>18.61573579561054</v>
      </c>
    </row>
    <row r="5978" spans="2:2" ht="15.6">
      <c r="B5978" s="197">
        <v>18.409069561279907</v>
      </c>
    </row>
    <row r="5979" spans="2:2" ht="15.6">
      <c r="B5979" s="197">
        <v>17.996558767272024</v>
      </c>
    </row>
    <row r="5980" spans="2:2" ht="15.6">
      <c r="B5980" s="197">
        <v>18.156256623797347</v>
      </c>
    </row>
    <row r="5981" spans="2:2" ht="15.6">
      <c r="B5981" s="197">
        <v>18.672247996373862</v>
      </c>
    </row>
    <row r="5982" spans="2:2" ht="15.6">
      <c r="B5982" s="197">
        <v>18.257395688937549</v>
      </c>
    </row>
    <row r="5983" spans="2:2" ht="15.6">
      <c r="B5983" s="197">
        <v>18.125725152852652</v>
      </c>
    </row>
    <row r="5984" spans="2:2" ht="15.6">
      <c r="B5984" s="197">
        <v>18.39535088181124</v>
      </c>
    </row>
    <row r="5985" spans="2:2" ht="15.6">
      <c r="B5985" s="197">
        <v>17.972501592069811</v>
      </c>
    </row>
    <row r="5986" spans="2:2" ht="15.6">
      <c r="B5986" s="197">
        <v>18.171945403504342</v>
      </c>
    </row>
    <row r="5987" spans="2:2" ht="15.6">
      <c r="B5987" s="197">
        <v>17.815998883900043</v>
      </c>
    </row>
    <row r="5988" spans="2:2" ht="15.6">
      <c r="B5988" s="197">
        <v>17.640833399545063</v>
      </c>
    </row>
    <row r="5989" spans="2:2" ht="15.6">
      <c r="B5989" s="197">
        <v>18.039262630091176</v>
      </c>
    </row>
    <row r="5990" spans="2:2" ht="15.6">
      <c r="B5990" s="197">
        <v>18.221390392264901</v>
      </c>
    </row>
    <row r="5991" spans="2:2" ht="15.6">
      <c r="B5991" s="197">
        <v>18.090428739305175</v>
      </c>
    </row>
    <row r="5992" spans="2:2" ht="15.6">
      <c r="B5992" s="197">
        <v>18.108921354898506</v>
      </c>
    </row>
    <row r="5993" spans="2:2" ht="15.6">
      <c r="B5993" s="197">
        <v>18.018255556704531</v>
      </c>
    </row>
    <row r="5994" spans="2:2" ht="15.6">
      <c r="B5994" s="197">
        <v>18.349968248923496</v>
      </c>
    </row>
    <row r="5995" spans="2:2" ht="15.6">
      <c r="B5995" s="197">
        <v>18.233088824407307</v>
      </c>
    </row>
    <row r="5996" spans="2:2" ht="15.6">
      <c r="B5996" s="197">
        <v>18.211065494193235</v>
      </c>
    </row>
    <row r="5997" spans="2:2" ht="15.6">
      <c r="B5997" s="197">
        <v>18.0744552304769</v>
      </c>
    </row>
    <row r="5998" spans="2:2" ht="15.6">
      <c r="B5998" s="197">
        <v>18.564464451549107</v>
      </c>
    </row>
    <row r="5999" spans="2:2" ht="15.6">
      <c r="B5999" s="197">
        <v>17.985885529005934</v>
      </c>
    </row>
    <row r="6000" spans="2:2" ht="15.6">
      <c r="B6000" s="197">
        <v>17.844402214997775</v>
      </c>
    </row>
    <row r="6001" spans="2:2" ht="15.6">
      <c r="B6001" s="197">
        <v>18.034598983590374</v>
      </c>
    </row>
    <row r="6002" spans="2:2" ht="15.6">
      <c r="B6002" s="197">
        <v>18.03690204979328</v>
      </c>
    </row>
    <row r="6003" spans="2:2" ht="15.6">
      <c r="B6003" s="197">
        <v>18.183624347224509</v>
      </c>
    </row>
    <row r="6004" spans="2:2" ht="15.6">
      <c r="B6004" s="197">
        <v>18.145556579248392</v>
      </c>
    </row>
    <row r="6005" spans="2:2" ht="15.6">
      <c r="B6005" s="197">
        <v>18.218219622235946</v>
      </c>
    </row>
    <row r="6006" spans="2:2" ht="15.6">
      <c r="B6006" s="197">
        <v>18.168890127936198</v>
      </c>
    </row>
    <row r="6007" spans="2:2" ht="15.6">
      <c r="B6007" s="197">
        <v>17.886296745803694</v>
      </c>
    </row>
    <row r="6008" spans="2:2" ht="15.6">
      <c r="B6008" s="197">
        <v>17.855571550801283</v>
      </c>
    </row>
    <row r="6009" spans="2:2" ht="15.6">
      <c r="B6009" s="197">
        <v>18.043160234359856</v>
      </c>
    </row>
    <row r="6010" spans="2:2" ht="15.6">
      <c r="B6010" s="197">
        <v>18.14212603390672</v>
      </c>
    </row>
    <row r="6011" spans="2:2" ht="15.6">
      <c r="B6011" s="197">
        <v>18.149535448414451</v>
      </c>
    </row>
    <row r="6012" spans="2:2" ht="15.6">
      <c r="B6012" s="197">
        <v>18.266829786846859</v>
      </c>
    </row>
    <row r="6013" spans="2:2" ht="15.6">
      <c r="B6013" s="197">
        <v>18.116936125839796</v>
      </c>
    </row>
    <row r="6014" spans="2:2" ht="15.6">
      <c r="B6014" s="197">
        <v>18.042736240197158</v>
      </c>
    </row>
    <row r="6015" spans="2:2" ht="15.6">
      <c r="B6015" s="197">
        <v>18.468482338084581</v>
      </c>
    </row>
    <row r="6016" spans="2:2" ht="15.6">
      <c r="B6016" s="197">
        <v>18.165887615909678</v>
      </c>
    </row>
    <row r="6017" spans="2:2" ht="15.6">
      <c r="B6017" s="197">
        <v>18.002476375259437</v>
      </c>
    </row>
    <row r="6018" spans="2:2" ht="15.6">
      <c r="B6018" s="197">
        <v>18.537312037166906</v>
      </c>
    </row>
    <row r="6019" spans="2:2" ht="15.6">
      <c r="B6019" s="197">
        <v>18.348583894156462</v>
      </c>
    </row>
    <row r="6020" spans="2:2" ht="15.6">
      <c r="B6020" s="197">
        <v>18.278285719985679</v>
      </c>
    </row>
    <row r="6021" spans="2:2" ht="15.6">
      <c r="B6021" s="197">
        <v>18.141037029427423</v>
      </c>
    </row>
    <row r="6022" spans="2:2" ht="15.6">
      <c r="B6022" s="197">
        <v>18.153580917144513</v>
      </c>
    </row>
    <row r="6023" spans="2:2" ht="15.6">
      <c r="B6023" s="197">
        <v>18.169129460699821</v>
      </c>
    </row>
    <row r="6024" spans="2:2" ht="15.6">
      <c r="B6024" s="197">
        <v>18.31513504315501</v>
      </c>
    </row>
    <row r="6025" spans="2:2" ht="15.6">
      <c r="B6025" s="197">
        <v>18.058102563975805</v>
      </c>
    </row>
    <row r="6026" spans="2:2" ht="15.6">
      <c r="B6026" s="197">
        <v>18.33648468562215</v>
      </c>
    </row>
    <row r="6027" spans="2:2" ht="15.6">
      <c r="B6027" s="197">
        <v>18.19585237023804</v>
      </c>
    </row>
    <row r="6028" spans="2:2" ht="15.6">
      <c r="B6028" s="197">
        <v>18.725178798667354</v>
      </c>
    </row>
    <row r="6029" spans="2:2" ht="15.6">
      <c r="B6029" s="197">
        <v>18.103384492315797</v>
      </c>
    </row>
    <row r="6030" spans="2:2" ht="15.6">
      <c r="B6030" s="197">
        <v>17.889587291395802</v>
      </c>
    </row>
    <row r="6031" spans="2:2" ht="15.6">
      <c r="B6031" s="197">
        <v>18.244964716542398</v>
      </c>
    </row>
    <row r="6032" spans="2:2" ht="15.6">
      <c r="B6032" s="197">
        <v>18.074468075125829</v>
      </c>
    </row>
    <row r="6033" spans="2:2" ht="15.6">
      <c r="B6033" s="197">
        <v>18.216603570340464</v>
      </c>
    </row>
    <row r="6034" spans="2:2" ht="15.6">
      <c r="B6034" s="197">
        <v>17.91900668003186</v>
      </c>
    </row>
    <row r="6035" spans="2:2" ht="15.6">
      <c r="B6035" s="197">
        <v>18.435734102961547</v>
      </c>
    </row>
    <row r="6036" spans="2:2" ht="15.6">
      <c r="B6036" s="197">
        <v>17.996253634165797</v>
      </c>
    </row>
    <row r="6037" spans="2:2" ht="15.6">
      <c r="B6037" s="197">
        <v>18.247229711548215</v>
      </c>
    </row>
    <row r="6038" spans="2:2" ht="15.6">
      <c r="B6038" s="197">
        <v>18.142813939346972</v>
      </c>
    </row>
    <row r="6039" spans="2:2" ht="15.6">
      <c r="B6039" s="197">
        <v>17.926237644762466</v>
      </c>
    </row>
    <row r="6040" spans="2:2" ht="15.6">
      <c r="B6040" s="197">
        <v>18.23582092960045</v>
      </c>
    </row>
    <row r="6041" spans="2:2" ht="15.6">
      <c r="B6041" s="197">
        <v>17.88371107763427</v>
      </c>
    </row>
    <row r="6042" spans="2:2" ht="15.6">
      <c r="B6042" s="197">
        <v>17.909816136538641</v>
      </c>
    </row>
    <row r="6043" spans="2:2" ht="15.6">
      <c r="B6043" s="197">
        <v>18.289030761348709</v>
      </c>
    </row>
    <row r="6044" spans="2:2" ht="15.6">
      <c r="B6044" s="197">
        <v>17.742945150755432</v>
      </c>
    </row>
    <row r="6045" spans="2:2" ht="15.6">
      <c r="B6045" s="197">
        <v>18.271944316734903</v>
      </c>
    </row>
    <row r="6046" spans="2:2" ht="15.6">
      <c r="B6046" s="197">
        <v>18.190766557513445</v>
      </c>
    </row>
    <row r="6047" spans="2:2" ht="15.6">
      <c r="B6047" s="197">
        <v>18.395254802145072</v>
      </c>
    </row>
    <row r="6048" spans="2:2" ht="15.6">
      <c r="B6048" s="197">
        <v>18.032152556360145</v>
      </c>
    </row>
    <row r="6049" spans="2:2" ht="15.6">
      <c r="B6049" s="197">
        <v>17.876931397482547</v>
      </c>
    </row>
    <row r="6050" spans="2:2" ht="15.6">
      <c r="B6050" s="197">
        <v>17.964064107425543</v>
      </c>
    </row>
    <row r="6051" spans="2:2" ht="15.6">
      <c r="B6051" s="197">
        <v>18.578904818412777</v>
      </c>
    </row>
    <row r="6052" spans="2:2" ht="15.6">
      <c r="B6052" s="197">
        <v>17.903863456698094</v>
      </c>
    </row>
    <row r="6053" spans="2:2" ht="15.6">
      <c r="B6053" s="197">
        <v>17.996828898227253</v>
      </c>
    </row>
    <row r="6054" spans="2:2" ht="15.6">
      <c r="B6054" s="197">
        <v>18.142655949572575</v>
      </c>
    </row>
    <row r="6055" spans="2:2" ht="15.6">
      <c r="B6055" s="197">
        <v>18.231722041273965</v>
      </c>
    </row>
    <row r="6056" spans="2:2" ht="15.6">
      <c r="B6056" s="197">
        <v>17.896122233963411</v>
      </c>
    </row>
    <row r="6057" spans="2:2" ht="15.6">
      <c r="B6057" s="197">
        <v>18.330902590869751</v>
      </c>
    </row>
    <row r="6058" spans="2:2" ht="15.6">
      <c r="B6058" s="197">
        <v>18.090460278136582</v>
      </c>
    </row>
    <row r="6059" spans="2:2" ht="15.6">
      <c r="B6059" s="197">
        <v>17.802297358514576</v>
      </c>
    </row>
    <row r="6060" spans="2:2" ht="15.6">
      <c r="B6060" s="197">
        <v>18.118887619402972</v>
      </c>
    </row>
    <row r="6061" spans="2:2" ht="15.6">
      <c r="B6061" s="197">
        <v>18.080275945236835</v>
      </c>
    </row>
    <row r="6062" spans="2:2" ht="15.6">
      <c r="B6062" s="197">
        <v>17.978316270891526</v>
      </c>
    </row>
    <row r="6063" spans="2:2" ht="15.6">
      <c r="B6063" s="197">
        <v>18.039569222285362</v>
      </c>
    </row>
    <row r="6064" spans="2:2" ht="15.6">
      <c r="B6064" s="197">
        <v>18.72962882588731</v>
      </c>
    </row>
    <row r="6065" spans="2:2" ht="15.6">
      <c r="B6065" s="197">
        <v>18.384379852642109</v>
      </c>
    </row>
    <row r="6066" spans="2:2" ht="15.6">
      <c r="B6066" s="197">
        <v>17.981310761460392</v>
      </c>
    </row>
    <row r="6067" spans="2:2" ht="15.6">
      <c r="B6067" s="197">
        <v>18.059391757790525</v>
      </c>
    </row>
    <row r="6068" spans="2:2" ht="15.6">
      <c r="B6068" s="197">
        <v>17.916461819117245</v>
      </c>
    </row>
    <row r="6069" spans="2:2" ht="15.6">
      <c r="B6069" s="197">
        <v>18.094448177275734</v>
      </c>
    </row>
    <row r="6070" spans="2:2" ht="15.6">
      <c r="B6070" s="197">
        <v>18.329640632896957</v>
      </c>
    </row>
    <row r="6071" spans="2:2" ht="15.6">
      <c r="B6071" s="197">
        <v>17.953619478654591</v>
      </c>
    </row>
    <row r="6072" spans="2:2" ht="15.6">
      <c r="B6072" s="197">
        <v>18.347826772772297</v>
      </c>
    </row>
    <row r="6073" spans="2:2" ht="15.6">
      <c r="B6073" s="197">
        <v>18.395172000371137</v>
      </c>
    </row>
    <row r="6074" spans="2:2" ht="15.6">
      <c r="B6074" s="197">
        <v>18.218397438036757</v>
      </c>
    </row>
    <row r="6075" spans="2:2" ht="15.6">
      <c r="B6075" s="197">
        <v>18.213366045967909</v>
      </c>
    </row>
    <row r="6076" spans="2:2" ht="15.6">
      <c r="B6076" s="197">
        <v>18.512462637799668</v>
      </c>
    </row>
    <row r="6077" spans="2:2" ht="15.6">
      <c r="B6077" s="197">
        <v>17.862465344404196</v>
      </c>
    </row>
    <row r="6078" spans="2:2" ht="15.6">
      <c r="B6078" s="197">
        <v>17.790484126436336</v>
      </c>
    </row>
    <row r="6079" spans="2:2" ht="15.6">
      <c r="B6079" s="197">
        <v>18.19197481714308</v>
      </c>
    </row>
    <row r="6080" spans="2:2" ht="15.6">
      <c r="B6080" s="197">
        <v>18.086274815482579</v>
      </c>
    </row>
    <row r="6081" spans="2:2" ht="15.6">
      <c r="B6081" s="197">
        <v>18.309496566171923</v>
      </c>
    </row>
    <row r="6082" spans="2:2" ht="15.6">
      <c r="B6082" s="197">
        <v>17.861770192845462</v>
      </c>
    </row>
    <row r="6083" spans="2:2" ht="15.6">
      <c r="B6083" s="197">
        <v>18.033616100965546</v>
      </c>
    </row>
    <row r="6084" spans="2:2" ht="15.6">
      <c r="B6084" s="197">
        <v>17.754310161753175</v>
      </c>
    </row>
    <row r="6085" spans="2:2" ht="15.6">
      <c r="B6085" s="197">
        <v>18.332385728878087</v>
      </c>
    </row>
    <row r="6086" spans="2:2" ht="15.6">
      <c r="B6086" s="197">
        <v>18.186491692445518</v>
      </c>
    </row>
    <row r="6087" spans="2:2" ht="15.6">
      <c r="B6087" s="197">
        <v>18.137882592822027</v>
      </c>
    </row>
    <row r="6088" spans="2:2" ht="15.6">
      <c r="B6088" s="197">
        <v>18.227131563557084</v>
      </c>
    </row>
    <row r="6089" spans="2:2" ht="15.6">
      <c r="B6089" s="197">
        <v>18.182568374531442</v>
      </c>
    </row>
    <row r="6090" spans="2:2" ht="15.6">
      <c r="B6090" s="197">
        <v>18.025056169424204</v>
      </c>
    </row>
    <row r="6091" spans="2:2" ht="15.6">
      <c r="B6091" s="197">
        <v>18.014815741282188</v>
      </c>
    </row>
    <row r="6092" spans="2:2" ht="15.6">
      <c r="B6092" s="197">
        <v>18.041048571374517</v>
      </c>
    </row>
    <row r="6093" spans="2:2" ht="15.6">
      <c r="B6093" s="197">
        <v>17.923945570076398</v>
      </c>
    </row>
    <row r="6094" spans="2:2" ht="15.6">
      <c r="B6094" s="197">
        <v>18.097688475593507</v>
      </c>
    </row>
    <row r="6095" spans="2:2" ht="15.6">
      <c r="B6095" s="197">
        <v>18.130100511380771</v>
      </c>
    </row>
    <row r="6096" spans="2:2" ht="15.6">
      <c r="B6096" s="197">
        <v>18.207280138172553</v>
      </c>
    </row>
    <row r="6097" spans="2:2" ht="15.6">
      <c r="B6097" s="197">
        <v>18.11082215308053</v>
      </c>
    </row>
    <row r="6098" spans="2:2" ht="15.6">
      <c r="B6098" s="197">
        <v>17.94441663315537</v>
      </c>
    </row>
    <row r="6099" spans="2:2" ht="15.6">
      <c r="B6099" s="197">
        <v>18.162101292377404</v>
      </c>
    </row>
    <row r="6100" spans="2:2" ht="15.6">
      <c r="B6100" s="197">
        <v>18.214271405100437</v>
      </c>
    </row>
    <row r="6101" spans="2:2" ht="15.6">
      <c r="B6101" s="197">
        <v>18.293987302925064</v>
      </c>
    </row>
    <row r="6102" spans="2:2" ht="15.6">
      <c r="B6102" s="197">
        <v>18.165858412515611</v>
      </c>
    </row>
    <row r="6103" spans="2:2" ht="15.6">
      <c r="B6103" s="197">
        <v>18.070182708094855</v>
      </c>
    </row>
    <row r="6104" spans="2:2" ht="15.6">
      <c r="B6104" s="197">
        <v>18.075703969188176</v>
      </c>
    </row>
    <row r="6105" spans="2:2" ht="15.6">
      <c r="B6105" s="197">
        <v>18.133733386209045</v>
      </c>
    </row>
    <row r="6106" spans="2:2" ht="15.6">
      <c r="B6106" s="197">
        <v>18.259033958038636</v>
      </c>
    </row>
    <row r="6107" spans="2:2" ht="15.6">
      <c r="B6107" s="197">
        <v>18.057078876196822</v>
      </c>
    </row>
    <row r="6108" spans="2:2" ht="15.6">
      <c r="B6108" s="197">
        <v>18.12152515220895</v>
      </c>
    </row>
    <row r="6109" spans="2:2" ht="15.6">
      <c r="B6109" s="197">
        <v>17.921599409310968</v>
      </c>
    </row>
    <row r="6110" spans="2:2" ht="15.6">
      <c r="B6110" s="197">
        <v>18.113226412897404</v>
      </c>
    </row>
    <row r="6111" spans="2:2" ht="15.6">
      <c r="B6111" s="197">
        <v>18.043445263965047</v>
      </c>
    </row>
    <row r="6112" spans="2:2" ht="15.6">
      <c r="B6112" s="197">
        <v>17.943873550288266</v>
      </c>
    </row>
    <row r="6113" spans="2:2" ht="15.6">
      <c r="B6113" s="197">
        <v>18.038262419647616</v>
      </c>
    </row>
    <row r="6114" spans="2:2" ht="15.6">
      <c r="B6114" s="197">
        <v>18.017974033401948</v>
      </c>
    </row>
    <row r="6115" spans="2:2" ht="15.6">
      <c r="B6115" s="197">
        <v>18.218414161768656</v>
      </c>
    </row>
    <row r="6116" spans="2:2" ht="15.6">
      <c r="B6116" s="197">
        <v>18.439458787342808</v>
      </c>
    </row>
    <row r="6117" spans="2:2" ht="15.6">
      <c r="B6117" s="197">
        <v>17.971410186908482</v>
      </c>
    </row>
    <row r="6118" spans="2:2" ht="15.6">
      <c r="B6118" s="197">
        <v>18.185679949087358</v>
      </c>
    </row>
    <row r="6119" spans="2:2" ht="15.6">
      <c r="B6119" s="197">
        <v>18.356498693246358</v>
      </c>
    </row>
    <row r="6120" spans="2:2" ht="15.6">
      <c r="B6120" s="197">
        <v>18.326750352530937</v>
      </c>
    </row>
    <row r="6121" spans="2:2" ht="15.6">
      <c r="B6121" s="197">
        <v>17.946217763651646</v>
      </c>
    </row>
    <row r="6122" spans="2:2" ht="15.6">
      <c r="B6122" s="197">
        <v>18.116743388744112</v>
      </c>
    </row>
    <row r="6123" spans="2:2" ht="15.6">
      <c r="B6123" s="197">
        <v>18.204247207352996</v>
      </c>
    </row>
    <row r="6124" spans="2:2" ht="15.6">
      <c r="B6124" s="197">
        <v>17.967137380508401</v>
      </c>
    </row>
    <row r="6125" spans="2:2" ht="15.6">
      <c r="B6125" s="197">
        <v>18.270078885145359</v>
      </c>
    </row>
    <row r="6126" spans="2:2" ht="15.6">
      <c r="B6126" s="197">
        <v>17.890571573979429</v>
      </c>
    </row>
    <row r="6127" spans="2:2" ht="15.6">
      <c r="B6127" s="197">
        <v>18.123227981705931</v>
      </c>
    </row>
    <row r="6128" spans="2:2" ht="15.6">
      <c r="B6128" s="197">
        <v>18.470490020800092</v>
      </c>
    </row>
    <row r="6129" spans="2:2" ht="15.6">
      <c r="B6129" s="197">
        <v>18.232205239221578</v>
      </c>
    </row>
    <row r="6130" spans="2:2" ht="15.6">
      <c r="B6130" s="197">
        <v>18.280104353878563</v>
      </c>
    </row>
    <row r="6131" spans="2:2" ht="15.6">
      <c r="B6131" s="197">
        <v>18.15642855372322</v>
      </c>
    </row>
    <row r="6132" spans="2:2" ht="15.6">
      <c r="B6132" s="197">
        <v>18.136731274432538</v>
      </c>
    </row>
    <row r="6133" spans="2:2" ht="15.6">
      <c r="B6133" s="197">
        <v>18.256701375950236</v>
      </c>
    </row>
    <row r="6134" spans="2:2" ht="15.6">
      <c r="B6134" s="197">
        <v>18.414970022214323</v>
      </c>
    </row>
    <row r="6135" spans="2:2" ht="15.6">
      <c r="B6135" s="197">
        <v>18.208901647432384</v>
      </c>
    </row>
    <row r="6136" spans="2:2" ht="15.6">
      <c r="B6136" s="197">
        <v>18.360136561662991</v>
      </c>
    </row>
    <row r="6137" spans="2:2" ht="15.6">
      <c r="B6137" s="197">
        <v>18.407175700497326</v>
      </c>
    </row>
    <row r="6138" spans="2:2" ht="15.6">
      <c r="B6138" s="197">
        <v>18.344431415813606</v>
      </c>
    </row>
    <row r="6139" spans="2:2" ht="15.6">
      <c r="B6139" s="197">
        <v>18.100929361144342</v>
      </c>
    </row>
    <row r="6140" spans="2:2" ht="15.6">
      <c r="B6140" s="197">
        <v>18.766523854486067</v>
      </c>
    </row>
    <row r="6141" spans="2:2" ht="15.6">
      <c r="B6141" s="197">
        <v>18.080766916437017</v>
      </c>
    </row>
    <row r="6142" spans="2:2" ht="15.6">
      <c r="B6142" s="197">
        <v>18.062934266609307</v>
      </c>
    </row>
    <row r="6143" spans="2:2" ht="15.6">
      <c r="B6143" s="197">
        <v>17.836176455397698</v>
      </c>
    </row>
    <row r="6144" spans="2:2" ht="15.6">
      <c r="B6144" s="197">
        <v>18.231969248107319</v>
      </c>
    </row>
    <row r="6145" spans="2:2" ht="15.6">
      <c r="B6145" s="197">
        <v>18.024499891535658</v>
      </c>
    </row>
    <row r="6146" spans="2:2" ht="15.6">
      <c r="B6146" s="197">
        <v>18.279057617012658</v>
      </c>
    </row>
    <row r="6147" spans="2:2" ht="15.6">
      <c r="B6147" s="197">
        <v>18.348483352676784</v>
      </c>
    </row>
    <row r="6148" spans="2:2" ht="15.6">
      <c r="B6148" s="197">
        <v>17.932844580082339</v>
      </c>
    </row>
    <row r="6149" spans="2:2" ht="15.6">
      <c r="B6149" s="197">
        <v>17.954227081250288</v>
      </c>
    </row>
    <row r="6150" spans="2:2" ht="15.6">
      <c r="B6150" s="197">
        <v>18.353353751658759</v>
      </c>
    </row>
    <row r="6151" spans="2:2" ht="15.6">
      <c r="B6151" s="197">
        <v>18.023491211403528</v>
      </c>
    </row>
    <row r="6152" spans="2:2" ht="15.6">
      <c r="B6152" s="197">
        <v>18.498473756190247</v>
      </c>
    </row>
    <row r="6153" spans="2:2" ht="15.6">
      <c r="B6153" s="197">
        <v>18.180132280831362</v>
      </c>
    </row>
    <row r="6154" spans="2:2" ht="15.6">
      <c r="B6154" s="197">
        <v>18.410343641734041</v>
      </c>
    </row>
    <row r="6155" spans="2:2" ht="15.6">
      <c r="B6155" s="197">
        <v>18.035402843086413</v>
      </c>
    </row>
    <row r="6156" spans="2:2" ht="15.6">
      <c r="B6156" s="197">
        <v>18.443505343199508</v>
      </c>
    </row>
    <row r="6157" spans="2:2" ht="15.6">
      <c r="B6157" s="197">
        <v>18.084723969375812</v>
      </c>
    </row>
    <row r="6158" spans="2:2" ht="15.6">
      <c r="B6158" s="197">
        <v>17.931257678455001</v>
      </c>
    </row>
    <row r="6159" spans="2:2" ht="15.6">
      <c r="B6159" s="197">
        <v>18.444560132236646</v>
      </c>
    </row>
    <row r="6160" spans="2:2" ht="15.6">
      <c r="B6160" s="197">
        <v>18.171617446292792</v>
      </c>
    </row>
    <row r="6161" spans="2:2" ht="15.6">
      <c r="B6161" s="197">
        <v>18.103861499215437</v>
      </c>
    </row>
    <row r="6162" spans="2:2" ht="15.6">
      <c r="B6162" s="197">
        <v>18.225367375478008</v>
      </c>
    </row>
    <row r="6163" spans="2:2" ht="15.6">
      <c r="B6163" s="197">
        <v>18.22999197899707</v>
      </c>
    </row>
    <row r="6164" spans="2:2" ht="15.6">
      <c r="B6164" s="197">
        <v>18.212282348637935</v>
      </c>
    </row>
    <row r="6165" spans="2:2" ht="15.6">
      <c r="B6165" s="197">
        <v>18.551761055308376</v>
      </c>
    </row>
    <row r="6166" spans="2:2" ht="15.6">
      <c r="B6166" s="197">
        <v>18.090801927383509</v>
      </c>
    </row>
    <row r="6167" spans="2:2" ht="15.6">
      <c r="B6167" s="197">
        <v>18.348685999655157</v>
      </c>
    </row>
    <row r="6168" spans="2:2" ht="15.6">
      <c r="B6168" s="197">
        <v>17.51067725879636</v>
      </c>
    </row>
    <row r="6169" spans="2:2" ht="15.6">
      <c r="B6169" s="197">
        <v>18.483461142628041</v>
      </c>
    </row>
    <row r="6170" spans="2:2" ht="15.6">
      <c r="B6170" s="197">
        <v>18.286014479392332</v>
      </c>
    </row>
    <row r="6171" spans="2:2" ht="15.6">
      <c r="B6171" s="197">
        <v>18.231654339874368</v>
      </c>
    </row>
    <row r="6172" spans="2:2" ht="15.6">
      <c r="B6172" s="197">
        <v>18.149356252955613</v>
      </c>
    </row>
    <row r="6173" spans="2:2" ht="15.6">
      <c r="B6173" s="197">
        <v>18.497528108136898</v>
      </c>
    </row>
    <row r="6174" spans="2:2" ht="15.6">
      <c r="B6174" s="197">
        <v>18.336158106172341</v>
      </c>
    </row>
    <row r="6175" spans="2:2" ht="15.6">
      <c r="B6175" s="197">
        <v>18.092070965159735</v>
      </c>
    </row>
    <row r="6176" spans="2:2" ht="15.6">
      <c r="B6176" s="197">
        <v>18.000333884791587</v>
      </c>
    </row>
    <row r="6177" spans="2:2" ht="15.6">
      <c r="B6177" s="197">
        <v>17.904695651709329</v>
      </c>
    </row>
    <row r="6178" spans="2:2" ht="15.6">
      <c r="B6178" s="197">
        <v>18.108411392346</v>
      </c>
    </row>
    <row r="6179" spans="2:2" ht="15.6">
      <c r="B6179" s="197">
        <v>17.971090392787229</v>
      </c>
    </row>
    <row r="6180" spans="2:2" ht="15.6">
      <c r="B6180" s="197">
        <v>18.313728704949849</v>
      </c>
    </row>
    <row r="6181" spans="2:2" ht="15.6">
      <c r="B6181" s="197">
        <v>18.21278763603415</v>
      </c>
    </row>
    <row r="6182" spans="2:2" ht="15.6">
      <c r="B6182" s="197">
        <v>18.14798059397507</v>
      </c>
    </row>
    <row r="6183" spans="2:2" ht="15.6">
      <c r="B6183" s="197">
        <v>18.071432768244055</v>
      </c>
    </row>
    <row r="6184" spans="2:2" ht="15.6">
      <c r="B6184" s="197">
        <v>18.383087324885988</v>
      </c>
    </row>
    <row r="6185" spans="2:2" ht="15.6">
      <c r="B6185" s="197">
        <v>18.293591238794789</v>
      </c>
    </row>
    <row r="6186" spans="2:2" ht="15.6">
      <c r="B6186" s="197">
        <v>18.435476415143</v>
      </c>
    </row>
    <row r="6187" spans="2:2" ht="15.6">
      <c r="B6187" s="197">
        <v>18.135998738916591</v>
      </c>
    </row>
    <row r="6188" spans="2:2" ht="15.6">
      <c r="B6188" s="197">
        <v>18.19898222409957</v>
      </c>
    </row>
    <row r="6189" spans="2:2" ht="15.6">
      <c r="B6189" s="197">
        <v>18.138182206052651</v>
      </c>
    </row>
    <row r="6190" spans="2:2" ht="15.6">
      <c r="B6190" s="197">
        <v>17.803078373557419</v>
      </c>
    </row>
    <row r="6191" spans="2:2" ht="15.6">
      <c r="B6191" s="197">
        <v>17.929404088761707</v>
      </c>
    </row>
    <row r="6192" spans="2:2" ht="15.6">
      <c r="B6192" s="197">
        <v>18.294248724216494</v>
      </c>
    </row>
    <row r="6193" spans="2:2" ht="15.6">
      <c r="B6193" s="197">
        <v>17.95389803082454</v>
      </c>
    </row>
    <row r="6194" spans="2:2" ht="15.6">
      <c r="B6194" s="197">
        <v>18.455429665940272</v>
      </c>
    </row>
    <row r="6195" spans="2:2" ht="15.6">
      <c r="B6195" s="197">
        <v>18.133532291594076</v>
      </c>
    </row>
    <row r="6196" spans="2:2" ht="15.6">
      <c r="B6196" s="197">
        <v>18.020145218023984</v>
      </c>
    </row>
    <row r="6197" spans="2:2" ht="15.6">
      <c r="B6197" s="197">
        <v>18.210359825383041</v>
      </c>
    </row>
    <row r="6198" spans="2:2" ht="15.6">
      <c r="B6198" s="197">
        <v>18.231834853652931</v>
      </c>
    </row>
    <row r="6199" spans="2:2" ht="15.6">
      <c r="B6199" s="197">
        <v>18.261342848475177</v>
      </c>
    </row>
    <row r="6200" spans="2:2" ht="15.6">
      <c r="B6200" s="197">
        <v>18.204379755027627</v>
      </c>
    </row>
    <row r="6201" spans="2:2" ht="15.6">
      <c r="B6201" s="197">
        <v>17.896874216935032</v>
      </c>
    </row>
    <row r="6202" spans="2:2" ht="15.6">
      <c r="B6202" s="197">
        <v>18.261390859611009</v>
      </c>
    </row>
    <row r="6203" spans="2:2" ht="15.6">
      <c r="B6203" s="197">
        <v>18.109233931952648</v>
      </c>
    </row>
    <row r="6204" spans="2:2" ht="15.6">
      <c r="B6204" s="197">
        <v>18.215988894857272</v>
      </c>
    </row>
    <row r="6205" spans="2:2" ht="15.6">
      <c r="B6205" s="197">
        <v>18.236497658380479</v>
      </c>
    </row>
    <row r="6206" spans="2:2" ht="15.6">
      <c r="B6206" s="197">
        <v>18.296704760018368</v>
      </c>
    </row>
    <row r="6207" spans="2:2" ht="15.6">
      <c r="B6207" s="197">
        <v>18.054749906828537</v>
      </c>
    </row>
    <row r="6208" spans="2:2" ht="15.6">
      <c r="B6208" s="197">
        <v>18.080713029971605</v>
      </c>
    </row>
    <row r="6209" spans="2:2" ht="15.6">
      <c r="B6209" s="197">
        <v>18.087798383043012</v>
      </c>
    </row>
    <row r="6210" spans="2:2" ht="15.6">
      <c r="B6210" s="197">
        <v>18.248542176809075</v>
      </c>
    </row>
    <row r="6211" spans="2:2" ht="15.6">
      <c r="B6211" s="197">
        <v>17.916016514906175</v>
      </c>
    </row>
    <row r="6212" spans="2:2" ht="15.6">
      <c r="B6212" s="197">
        <v>18.518738791207628</v>
      </c>
    </row>
    <row r="6213" spans="2:2" ht="15.6">
      <c r="B6213" s="197">
        <v>18.331094610074871</v>
      </c>
    </row>
    <row r="6214" spans="2:2" ht="15.6">
      <c r="B6214" s="197">
        <v>18.380697581141881</v>
      </c>
    </row>
    <row r="6215" spans="2:2" ht="15.6">
      <c r="B6215" s="197">
        <v>18.162365833315928</v>
      </c>
    </row>
    <row r="6216" spans="2:2" ht="15.6">
      <c r="B6216" s="197">
        <v>18.252690602735509</v>
      </c>
    </row>
    <row r="6217" spans="2:2" ht="15.6">
      <c r="B6217" s="197">
        <v>18.040555661553491</v>
      </c>
    </row>
    <row r="6218" spans="2:2" ht="15.6">
      <c r="B6218" s="197">
        <v>18.57759405529789</v>
      </c>
    </row>
    <row r="6219" spans="2:2" ht="15.6">
      <c r="B6219" s="197">
        <v>18.425963777488825</v>
      </c>
    </row>
    <row r="6220" spans="2:2" ht="15.6">
      <c r="B6220" s="197">
        <v>18.036747934262461</v>
      </c>
    </row>
    <row r="6221" spans="2:2" ht="15.6">
      <c r="B6221" s="197">
        <v>18.169314612463815</v>
      </c>
    </row>
    <row r="6222" spans="2:2" ht="15.6">
      <c r="B6222" s="197">
        <v>17.9911319533201</v>
      </c>
    </row>
    <row r="6223" spans="2:2" ht="15.6">
      <c r="B6223" s="197">
        <v>18.201029470979851</v>
      </c>
    </row>
    <row r="6224" spans="2:2" ht="15.6">
      <c r="B6224" s="197">
        <v>17.996892094413891</v>
      </c>
    </row>
    <row r="6225" spans="2:2" ht="15.6">
      <c r="B6225" s="197">
        <v>18.116361128937871</v>
      </c>
    </row>
    <row r="6226" spans="2:2" ht="15.6">
      <c r="B6226" s="197">
        <v>17.932804010906541</v>
      </c>
    </row>
    <row r="6227" spans="2:2" ht="15.6">
      <c r="B6227" s="197">
        <v>18.357073689232092</v>
      </c>
    </row>
    <row r="6228" spans="2:2" ht="15.6">
      <c r="B6228" s="197">
        <v>18.430132840161964</v>
      </c>
    </row>
    <row r="6229" spans="2:2" ht="15.6">
      <c r="B6229" s="197">
        <v>18.382696939604891</v>
      </c>
    </row>
    <row r="6230" spans="2:2" ht="15.6">
      <c r="B6230" s="197">
        <v>18.322400247514199</v>
      </c>
    </row>
    <row r="6231" spans="2:2" ht="15.6">
      <c r="B6231" s="197">
        <v>18.048646446033089</v>
      </c>
    </row>
    <row r="6232" spans="2:2" ht="15.6">
      <c r="B6232" s="197">
        <v>17.990691370964811</v>
      </c>
    </row>
    <row r="6233" spans="2:2" ht="15.6">
      <c r="B6233" s="197">
        <v>18.266515877137806</v>
      </c>
    </row>
    <row r="6234" spans="2:2" ht="15.6">
      <c r="B6234" s="197">
        <v>18.318864191459539</v>
      </c>
    </row>
    <row r="6235" spans="2:2" ht="15.6">
      <c r="B6235" s="197">
        <v>18.206887131714574</v>
      </c>
    </row>
    <row r="6236" spans="2:2" ht="15.6">
      <c r="B6236" s="197">
        <v>18.278370728427351</v>
      </c>
    </row>
    <row r="6237" spans="2:2" ht="15.6">
      <c r="B6237" s="197">
        <v>17.989227851419635</v>
      </c>
    </row>
    <row r="6238" spans="2:2" ht="15.6">
      <c r="B6238" s="197">
        <v>18.072064359264047</v>
      </c>
    </row>
    <row r="6239" spans="2:2" ht="15.6">
      <c r="B6239" s="197">
        <v>18.234974433587006</v>
      </c>
    </row>
    <row r="6240" spans="2:2" ht="15.6">
      <c r="B6240" s="197">
        <v>17.991599148590826</v>
      </c>
    </row>
    <row r="6241" spans="2:2" ht="15.6">
      <c r="B6241" s="197">
        <v>18.087823043529838</v>
      </c>
    </row>
    <row r="6242" spans="2:2" ht="15.6">
      <c r="B6242" s="197">
        <v>18.568762211817599</v>
      </c>
    </row>
    <row r="6243" spans="2:2" ht="15.6">
      <c r="B6243" s="197">
        <v>17.938859131420028</v>
      </c>
    </row>
    <row r="6244" spans="2:2" ht="15.6">
      <c r="B6244" s="197">
        <v>17.83962060415115</v>
      </c>
    </row>
    <row r="6245" spans="2:2" ht="15.6">
      <c r="B6245" s="197">
        <v>17.979232681334778</v>
      </c>
    </row>
    <row r="6246" spans="2:2" ht="15.6">
      <c r="B6246" s="197">
        <v>18.029839293157917</v>
      </c>
    </row>
    <row r="6247" spans="2:2" ht="15.6">
      <c r="B6247" s="197">
        <v>18.443208771832197</v>
      </c>
    </row>
    <row r="6248" spans="2:2" ht="15.6">
      <c r="B6248" s="197">
        <v>18.110897010986815</v>
      </c>
    </row>
    <row r="6249" spans="2:2" ht="15.6">
      <c r="B6249" s="197">
        <v>18.202385144008286</v>
      </c>
    </row>
    <row r="6250" spans="2:2" ht="15.6">
      <c r="B6250" s="197">
        <v>18.381575075123774</v>
      </c>
    </row>
    <row r="6251" spans="2:2" ht="15.6">
      <c r="B6251" s="197">
        <v>18.096813659522102</v>
      </c>
    </row>
    <row r="6252" spans="2:2" ht="15.6">
      <c r="B6252" s="197">
        <v>18.283200992116271</v>
      </c>
    </row>
    <row r="6253" spans="2:2" ht="15.6">
      <c r="B6253" s="197">
        <v>18.125475940773921</v>
      </c>
    </row>
    <row r="6254" spans="2:2" ht="15.6">
      <c r="B6254" s="197">
        <v>18.180336552668088</v>
      </c>
    </row>
    <row r="6255" spans="2:2" ht="15.6">
      <c r="B6255" s="197">
        <v>18.114530099972143</v>
      </c>
    </row>
    <row r="6256" spans="2:2" ht="15.6">
      <c r="B6256" s="197">
        <v>18.098540407138444</v>
      </c>
    </row>
    <row r="6257" spans="2:2" ht="15.6">
      <c r="B6257" s="197">
        <v>18.104763591087849</v>
      </c>
    </row>
    <row r="6258" spans="2:2" ht="15.6">
      <c r="B6258" s="197">
        <v>18.349238480903306</v>
      </c>
    </row>
    <row r="6259" spans="2:2" ht="15.6">
      <c r="B6259" s="197">
        <v>17.955882713531892</v>
      </c>
    </row>
    <row r="6260" spans="2:2" ht="15.6">
      <c r="B6260" s="197">
        <v>18.07646879489139</v>
      </c>
    </row>
    <row r="6261" spans="2:2" ht="15.6">
      <c r="B6261" s="197">
        <v>18.460819484634602</v>
      </c>
    </row>
    <row r="6262" spans="2:2" ht="15.6">
      <c r="B6262" s="197">
        <v>17.84085506460508</v>
      </c>
    </row>
    <row r="6263" spans="2:2" ht="15.6">
      <c r="B6263" s="197">
        <v>18.432139706770752</v>
      </c>
    </row>
    <row r="6264" spans="2:2" ht="15.6">
      <c r="B6264" s="197">
        <v>18.088194403960166</v>
      </c>
    </row>
    <row r="6265" spans="2:2" ht="15.6">
      <c r="B6265" s="197">
        <v>18.467389730866209</v>
      </c>
    </row>
    <row r="6266" spans="2:2" ht="15.6">
      <c r="B6266" s="197">
        <v>17.989340711694538</v>
      </c>
    </row>
    <row r="6267" spans="2:2" ht="15.6">
      <c r="B6267" s="197">
        <v>18.299095743528202</v>
      </c>
    </row>
    <row r="6268" spans="2:2" ht="15.6">
      <c r="B6268" s="197">
        <v>18.012257124480502</v>
      </c>
    </row>
    <row r="6269" spans="2:2" ht="15.6">
      <c r="B6269" s="197">
        <v>17.982311668744682</v>
      </c>
    </row>
    <row r="6270" spans="2:2" ht="15.6">
      <c r="B6270" s="197">
        <v>18.053702295036299</v>
      </c>
    </row>
    <row r="6271" spans="2:2" ht="15.6">
      <c r="B6271" s="197">
        <v>18.430335193159106</v>
      </c>
    </row>
    <row r="6272" spans="2:2" ht="15.6">
      <c r="B6272" s="197">
        <v>18.153149979231209</v>
      </c>
    </row>
    <row r="6273" spans="2:2" ht="15.6">
      <c r="B6273" s="197">
        <v>18.282707280558942</v>
      </c>
    </row>
    <row r="6274" spans="2:2" ht="15.6">
      <c r="B6274" s="197">
        <v>18.308023451764036</v>
      </c>
    </row>
    <row r="6275" spans="2:2" ht="15.6">
      <c r="B6275" s="197">
        <v>18.018221997356246</v>
      </c>
    </row>
    <row r="6276" spans="2:2" ht="15.6">
      <c r="B6276" s="197">
        <v>17.967569585577362</v>
      </c>
    </row>
    <row r="6277" spans="2:2" ht="15.6">
      <c r="B6277" s="197">
        <v>18.265969627741978</v>
      </c>
    </row>
    <row r="6278" spans="2:2" ht="15.6">
      <c r="B6278" s="197">
        <v>18.257280342752825</v>
      </c>
    </row>
    <row r="6279" spans="2:2" ht="15.6">
      <c r="B6279" s="197">
        <v>18.282083104144956</v>
      </c>
    </row>
    <row r="6280" spans="2:2" ht="15.6">
      <c r="B6280" s="197">
        <v>17.95948761341052</v>
      </c>
    </row>
    <row r="6281" spans="2:2" ht="15.6">
      <c r="B6281" s="197">
        <v>18.257923488967204</v>
      </c>
    </row>
    <row r="6282" spans="2:2" ht="15.6">
      <c r="B6282" s="197">
        <v>18.091774193604731</v>
      </c>
    </row>
    <row r="6283" spans="2:2" ht="15.6">
      <c r="B6283" s="197">
        <v>18.117233504130869</v>
      </c>
    </row>
    <row r="6284" spans="2:2" ht="15.6">
      <c r="B6284" s="197">
        <v>18.190169991140632</v>
      </c>
    </row>
    <row r="6285" spans="2:2" ht="15.6">
      <c r="B6285" s="197">
        <v>18.259743429288061</v>
      </c>
    </row>
    <row r="6286" spans="2:2" ht="15.6">
      <c r="B6286" s="197">
        <v>17.863920095648496</v>
      </c>
    </row>
    <row r="6287" spans="2:2" ht="15.6">
      <c r="B6287" s="197">
        <v>18.419858104437417</v>
      </c>
    </row>
    <row r="6288" spans="2:2" ht="15.6">
      <c r="B6288" s="197">
        <v>17.983727367820521</v>
      </c>
    </row>
    <row r="6289" spans="2:2" ht="15.6">
      <c r="B6289" s="197">
        <v>18.25982731854933</v>
      </c>
    </row>
    <row r="6290" spans="2:2" ht="15.6">
      <c r="B6290" s="197">
        <v>17.819433179785594</v>
      </c>
    </row>
    <row r="6291" spans="2:2" ht="15.6">
      <c r="B6291" s="197">
        <v>17.935226241021457</v>
      </c>
    </row>
    <row r="6292" spans="2:2" ht="15.6">
      <c r="B6292" s="197">
        <v>18.36295234255012</v>
      </c>
    </row>
    <row r="6293" spans="2:2" ht="15.6">
      <c r="B6293" s="197">
        <v>18.558314257315221</v>
      </c>
    </row>
    <row r="6294" spans="2:2" ht="15.6">
      <c r="B6294" s="197">
        <v>18.345944400406442</v>
      </c>
    </row>
    <row r="6295" spans="2:2" ht="15.6">
      <c r="B6295" s="197">
        <v>17.961690432078065</v>
      </c>
    </row>
    <row r="6296" spans="2:2" ht="15.6">
      <c r="B6296" s="197">
        <v>18.407453650055214</v>
      </c>
    </row>
    <row r="6297" spans="2:2" ht="15.6">
      <c r="B6297" s="197">
        <v>18.290063875444691</v>
      </c>
    </row>
    <row r="6298" spans="2:2" ht="15.6">
      <c r="B6298" s="197">
        <v>18.318485870345324</v>
      </c>
    </row>
    <row r="6299" spans="2:2" ht="15.6">
      <c r="B6299" s="197">
        <v>18.017645391850181</v>
      </c>
    </row>
    <row r="6300" spans="2:2" ht="15.6">
      <c r="B6300" s="197">
        <v>18.119042007035329</v>
      </c>
    </row>
    <row r="6301" spans="2:2" ht="15.6">
      <c r="B6301" s="197">
        <v>17.683603702518411</v>
      </c>
    </row>
    <row r="6302" spans="2:2" ht="15.6">
      <c r="B6302" s="197">
        <v>18.013602637230473</v>
      </c>
    </row>
    <row r="6303" spans="2:2" ht="15.6">
      <c r="B6303" s="197">
        <v>17.77769579633609</v>
      </c>
    </row>
    <row r="6304" spans="2:2" ht="15.6">
      <c r="B6304" s="197">
        <v>18.234500182455484</v>
      </c>
    </row>
    <row r="6305" spans="2:2" ht="15.6">
      <c r="B6305" s="197">
        <v>18.244595771311996</v>
      </c>
    </row>
    <row r="6306" spans="2:2" ht="15.6">
      <c r="B6306" s="197">
        <v>18.228919565449054</v>
      </c>
    </row>
    <row r="6307" spans="2:2" ht="15.6">
      <c r="B6307" s="197">
        <v>18.08276477957698</v>
      </c>
    </row>
    <row r="6308" spans="2:2" ht="15.6">
      <c r="B6308" s="197">
        <v>18.052151390487602</v>
      </c>
    </row>
    <row r="6309" spans="2:2" ht="15.6">
      <c r="B6309" s="197">
        <v>18.226320638277794</v>
      </c>
    </row>
    <row r="6310" spans="2:2" ht="15.6">
      <c r="B6310" s="197">
        <v>18.239500195491786</v>
      </c>
    </row>
    <row r="6311" spans="2:2" ht="15.6">
      <c r="B6311" s="197">
        <v>18.248953601825431</v>
      </c>
    </row>
    <row r="6312" spans="2:2" ht="15.6">
      <c r="B6312" s="197">
        <v>18.093696684696624</v>
      </c>
    </row>
    <row r="6313" spans="2:2" ht="15.6">
      <c r="B6313" s="197">
        <v>18.09995614348345</v>
      </c>
    </row>
    <row r="6314" spans="2:2" ht="15.6">
      <c r="B6314" s="197">
        <v>18.422893318444558</v>
      </c>
    </row>
    <row r="6315" spans="2:2" ht="15.6">
      <c r="B6315" s="197">
        <v>17.892031211457397</v>
      </c>
    </row>
    <row r="6316" spans="2:2" ht="15.6">
      <c r="B6316" s="197">
        <v>17.845917410433451</v>
      </c>
    </row>
    <row r="6317" spans="2:2" ht="15.6">
      <c r="B6317" s="197">
        <v>18.182474774511125</v>
      </c>
    </row>
    <row r="6318" spans="2:2" ht="15.6">
      <c r="B6318" s="197">
        <v>18.041215265851513</v>
      </c>
    </row>
    <row r="6319" spans="2:2" ht="15.6">
      <c r="B6319" s="197">
        <v>18.07348285944639</v>
      </c>
    </row>
    <row r="6320" spans="2:2" ht="15.6">
      <c r="B6320" s="197">
        <v>18.469014388845871</v>
      </c>
    </row>
    <row r="6321" spans="2:2" ht="15.6">
      <c r="B6321" s="197">
        <v>18.39854786405979</v>
      </c>
    </row>
    <row r="6322" spans="2:2" ht="15.6">
      <c r="B6322" s="197">
        <v>18.075518207799462</v>
      </c>
    </row>
    <row r="6323" spans="2:2" ht="15.6">
      <c r="B6323" s="197">
        <v>17.923251373963328</v>
      </c>
    </row>
    <row r="6324" spans="2:2" ht="15.6">
      <c r="B6324" s="197">
        <v>17.940066789786471</v>
      </c>
    </row>
    <row r="6325" spans="2:2" ht="15.6">
      <c r="B6325" s="197">
        <v>17.979626328907628</v>
      </c>
    </row>
    <row r="6326" spans="2:2" ht="15.6">
      <c r="B6326" s="197">
        <v>17.990044605237308</v>
      </c>
    </row>
    <row r="6327" spans="2:2" ht="15.6">
      <c r="B6327" s="197">
        <v>17.960466887284184</v>
      </c>
    </row>
    <row r="6328" spans="2:2" ht="15.6">
      <c r="B6328" s="197">
        <v>17.932402247911661</v>
      </c>
    </row>
    <row r="6329" spans="2:2" ht="15.6">
      <c r="B6329" s="197">
        <v>17.920885345177098</v>
      </c>
    </row>
    <row r="6330" spans="2:2" ht="15.6">
      <c r="B6330" s="197">
        <v>17.934567920477733</v>
      </c>
    </row>
    <row r="6331" spans="2:2" ht="15.6">
      <c r="B6331" s="197">
        <v>17.994916288292774</v>
      </c>
    </row>
    <row r="6332" spans="2:2" ht="15.6">
      <c r="B6332" s="197">
        <v>18.03384314515402</v>
      </c>
    </row>
    <row r="6333" spans="2:2" ht="15.6">
      <c r="B6333" s="197">
        <v>18.499505249354208</v>
      </c>
    </row>
    <row r="6334" spans="2:2" ht="15.6">
      <c r="B6334" s="197">
        <v>18.086186630970211</v>
      </c>
    </row>
    <row r="6335" spans="2:2" ht="15.6">
      <c r="B6335" s="197">
        <v>17.964073308754653</v>
      </c>
    </row>
    <row r="6336" spans="2:2" ht="15.6">
      <c r="B6336" s="197">
        <v>18.375278609601096</v>
      </c>
    </row>
    <row r="6337" spans="2:2" ht="15.6">
      <c r="B6337" s="197">
        <v>18.090000239488997</v>
      </c>
    </row>
    <row r="6338" spans="2:2" ht="15.6">
      <c r="B6338" s="197">
        <v>17.997746795875379</v>
      </c>
    </row>
    <row r="6339" spans="2:2" ht="15.6">
      <c r="B6339" s="197">
        <v>17.772163268442768</v>
      </c>
    </row>
    <row r="6340" spans="2:2" ht="15.6">
      <c r="B6340" s="197">
        <v>18.103654271962057</v>
      </c>
    </row>
    <row r="6341" spans="2:2" ht="15.6">
      <c r="B6341" s="197">
        <v>18.210633939217328</v>
      </c>
    </row>
    <row r="6342" spans="2:2" ht="15.6">
      <c r="B6342" s="197">
        <v>18.065080849001973</v>
      </c>
    </row>
    <row r="6343" spans="2:2" ht="15.6">
      <c r="B6343" s="197">
        <v>18.348415745680416</v>
      </c>
    </row>
    <row r="6344" spans="2:2" ht="15.6">
      <c r="B6344" s="197">
        <v>18.354843139199012</v>
      </c>
    </row>
    <row r="6345" spans="2:2" ht="15.6">
      <c r="B6345" s="197">
        <v>18.634775469137857</v>
      </c>
    </row>
    <row r="6346" spans="2:2" ht="15.6">
      <c r="B6346" s="197">
        <v>17.89919941795392</v>
      </c>
    </row>
    <row r="6347" spans="2:2" ht="15.6">
      <c r="B6347" s="197">
        <v>18.0623575411472</v>
      </c>
    </row>
    <row r="6348" spans="2:2" ht="15.6">
      <c r="B6348" s="197">
        <v>18.154388789345955</v>
      </c>
    </row>
    <row r="6349" spans="2:2" ht="15.6">
      <c r="B6349" s="197">
        <v>18.005054317397427</v>
      </c>
    </row>
    <row r="6350" spans="2:2" ht="15.6">
      <c r="B6350" s="197">
        <v>18.057091240783045</v>
      </c>
    </row>
    <row r="6351" spans="2:2" ht="15.6">
      <c r="B6351" s="197">
        <v>17.999961878167628</v>
      </c>
    </row>
    <row r="6352" spans="2:2" ht="15.6">
      <c r="B6352" s="197">
        <v>18.213899616677061</v>
      </c>
    </row>
    <row r="6353" spans="2:2" ht="15.6">
      <c r="B6353" s="197">
        <v>18.537903153281167</v>
      </c>
    </row>
    <row r="6354" spans="2:2" ht="15.6">
      <c r="B6354" s="197">
        <v>18.246729058460975</v>
      </c>
    </row>
    <row r="6355" spans="2:2" ht="15.6">
      <c r="B6355" s="197">
        <v>18.205051553809813</v>
      </c>
    </row>
    <row r="6356" spans="2:2" ht="15.6">
      <c r="B6356" s="197">
        <v>18.278697259928695</v>
      </c>
    </row>
    <row r="6357" spans="2:2" ht="15.6">
      <c r="B6357" s="197">
        <v>17.928611954792665</v>
      </c>
    </row>
    <row r="6358" spans="2:2" ht="15.6">
      <c r="B6358" s="197">
        <v>18.148336206373489</v>
      </c>
    </row>
    <row r="6359" spans="2:2" ht="15.6">
      <c r="B6359" s="197">
        <v>18.886903236083199</v>
      </c>
    </row>
    <row r="6360" spans="2:2" ht="15.6">
      <c r="B6360" s="197">
        <v>18.069235814811673</v>
      </c>
    </row>
    <row r="6361" spans="2:2" ht="15.6">
      <c r="B6361" s="197">
        <v>18.345577991621759</v>
      </c>
    </row>
    <row r="6362" spans="2:2" ht="15.6">
      <c r="B6362" s="197">
        <v>17.782634749241215</v>
      </c>
    </row>
    <row r="6363" spans="2:2" ht="15.6">
      <c r="B6363" s="197">
        <v>18.501251197956805</v>
      </c>
    </row>
    <row r="6364" spans="2:2" ht="15.6">
      <c r="B6364" s="197">
        <v>18.188827820031012</v>
      </c>
    </row>
    <row r="6365" spans="2:2" ht="15.6">
      <c r="B6365" s="197">
        <v>18.130939180199093</v>
      </c>
    </row>
    <row r="6366" spans="2:2" ht="15.6">
      <c r="B6366" s="197">
        <v>18.2330160249677</v>
      </c>
    </row>
    <row r="6367" spans="2:2" ht="15.6">
      <c r="B6367" s="197">
        <v>18.112214155309346</v>
      </c>
    </row>
    <row r="6368" spans="2:2" ht="15.6">
      <c r="B6368" s="197">
        <v>18.104767063323109</v>
      </c>
    </row>
    <row r="6369" spans="2:2" ht="15.6">
      <c r="B6369" s="197">
        <v>18.24591568555244</v>
      </c>
    </row>
    <row r="6370" spans="2:2" ht="15.6">
      <c r="B6370" s="197">
        <v>18.251042627761091</v>
      </c>
    </row>
    <row r="6371" spans="2:2" ht="15.6">
      <c r="B6371" s="197">
        <v>18.519242699650718</v>
      </c>
    </row>
    <row r="6372" spans="2:2" ht="15.6">
      <c r="B6372" s="197">
        <v>18.179300207396128</v>
      </c>
    </row>
    <row r="6373" spans="2:2" ht="15.6">
      <c r="B6373" s="197">
        <v>17.789178641590851</v>
      </c>
    </row>
    <row r="6374" spans="2:2" ht="15.6">
      <c r="B6374" s="197">
        <v>18.251067846007096</v>
      </c>
    </row>
    <row r="6375" spans="2:2" ht="15.6">
      <c r="B6375" s="197">
        <v>17.841512570546776</v>
      </c>
    </row>
    <row r="6376" spans="2:2" ht="15.6">
      <c r="B6376" s="197">
        <v>17.969564622092118</v>
      </c>
    </row>
    <row r="6377" spans="2:2" ht="15.6">
      <c r="B6377" s="197">
        <v>18.023707608368923</v>
      </c>
    </row>
    <row r="6378" spans="2:2" ht="15.6">
      <c r="B6378" s="197">
        <v>18.228197153489486</v>
      </c>
    </row>
    <row r="6379" spans="2:2" ht="15.6">
      <c r="B6379" s="197">
        <v>18.118094902191448</v>
      </c>
    </row>
    <row r="6380" spans="2:2" ht="15.6">
      <c r="B6380" s="197">
        <v>18.343550625335723</v>
      </c>
    </row>
    <row r="6381" spans="2:2" ht="15.6">
      <c r="B6381" s="197">
        <v>18.137616572426658</v>
      </c>
    </row>
    <row r="6382" spans="2:2" ht="15.6">
      <c r="B6382" s="197">
        <v>18.328865511815504</v>
      </c>
    </row>
    <row r="6383" spans="2:2" ht="15.6">
      <c r="B6383" s="197">
        <v>18.154299864371691</v>
      </c>
    </row>
    <row r="6384" spans="2:2" ht="15.6">
      <c r="B6384" s="197">
        <v>17.968259178826226</v>
      </c>
    </row>
    <row r="6385" spans="2:2" ht="15.6">
      <c r="B6385" s="197">
        <v>17.984025495074359</v>
      </c>
    </row>
    <row r="6386" spans="2:2" ht="15.6">
      <c r="B6386" s="197">
        <v>18.201849818282113</v>
      </c>
    </row>
    <row r="6387" spans="2:2" ht="15.6">
      <c r="B6387" s="197">
        <v>18.522427842606611</v>
      </c>
    </row>
    <row r="6388" spans="2:2" ht="15.6">
      <c r="B6388" s="197">
        <v>18.212681401746931</v>
      </c>
    </row>
    <row r="6389" spans="2:2" ht="15.6">
      <c r="B6389" s="197">
        <v>18.138075948623502</v>
      </c>
    </row>
    <row r="6390" spans="2:2" ht="15.6">
      <c r="B6390" s="197">
        <v>18.180327804501594</v>
      </c>
    </row>
    <row r="6391" spans="2:2" ht="15.6">
      <c r="B6391" s="197">
        <v>18.253910567723057</v>
      </c>
    </row>
    <row r="6392" spans="2:2" ht="15.6">
      <c r="B6392" s="197">
        <v>17.894983265047131</v>
      </c>
    </row>
    <row r="6393" spans="2:2" ht="15.6">
      <c r="B6393" s="197">
        <v>18.009950123940115</v>
      </c>
    </row>
    <row r="6394" spans="2:2" ht="15.6">
      <c r="B6394" s="197">
        <v>18.184090820769427</v>
      </c>
    </row>
    <row r="6395" spans="2:2" ht="15.6">
      <c r="B6395" s="197">
        <v>18.085479520172488</v>
      </c>
    </row>
    <row r="6396" spans="2:2" ht="15.6">
      <c r="B6396" s="197">
        <v>18.182357665476243</v>
      </c>
    </row>
    <row r="6397" spans="2:2" ht="15.6">
      <c r="B6397" s="197">
        <v>18.119330920631022</v>
      </c>
    </row>
    <row r="6398" spans="2:2" ht="15.6">
      <c r="B6398" s="197">
        <v>17.929463000500224</v>
      </c>
    </row>
    <row r="6399" spans="2:2" ht="15.6">
      <c r="B6399" s="197">
        <v>18.027771816027297</v>
      </c>
    </row>
    <row r="6400" spans="2:2" ht="15.6">
      <c r="B6400" s="197">
        <v>18.363946898114285</v>
      </c>
    </row>
    <row r="6401" spans="2:2" ht="15.6">
      <c r="B6401" s="197">
        <v>18.351588070921586</v>
      </c>
    </row>
    <row r="6402" spans="2:2" ht="15.6">
      <c r="B6402" s="197">
        <v>18.017064709461383</v>
      </c>
    </row>
    <row r="6403" spans="2:2" ht="15.6">
      <c r="B6403" s="197">
        <v>18.059318612089573</v>
      </c>
    </row>
    <row r="6404" spans="2:2" ht="15.6">
      <c r="B6404" s="197">
        <v>18.132786865646342</v>
      </c>
    </row>
    <row r="6405" spans="2:2" ht="15.6">
      <c r="B6405" s="197">
        <v>18.242458751735676</v>
      </c>
    </row>
    <row r="6406" spans="2:2" ht="15.6">
      <c r="B6406" s="197">
        <v>18.1986014186737</v>
      </c>
    </row>
    <row r="6407" spans="2:2" ht="15.6">
      <c r="B6407" s="197">
        <v>18.121069321548458</v>
      </c>
    </row>
    <row r="6408" spans="2:2" ht="15.6">
      <c r="B6408" s="197">
        <v>18.167280343884443</v>
      </c>
    </row>
    <row r="6409" spans="2:2" ht="15.6">
      <c r="B6409" s="197">
        <v>18.174145700705122</v>
      </c>
    </row>
    <row r="6410" spans="2:2" ht="15.6">
      <c r="B6410" s="197">
        <v>18.014928107270652</v>
      </c>
    </row>
    <row r="6411" spans="2:2" ht="15.6">
      <c r="B6411" s="197">
        <v>18.233837861687604</v>
      </c>
    </row>
    <row r="6412" spans="2:2" ht="15.6">
      <c r="B6412" s="197">
        <v>18.050236600858174</v>
      </c>
    </row>
    <row r="6413" spans="2:2" ht="15.6">
      <c r="B6413" s="197">
        <v>18.02677947976342</v>
      </c>
    </row>
    <row r="6414" spans="2:2" ht="15.6">
      <c r="B6414" s="197">
        <v>18.372403008936168</v>
      </c>
    </row>
    <row r="6415" spans="2:2" ht="15.6">
      <c r="B6415" s="197">
        <v>18.541072777007994</v>
      </c>
    </row>
    <row r="6416" spans="2:2" ht="15.6">
      <c r="B6416" s="197">
        <v>18.094067896242461</v>
      </c>
    </row>
    <row r="6417" spans="2:2" ht="15.6">
      <c r="B6417" s="197">
        <v>18.179095407113643</v>
      </c>
    </row>
    <row r="6418" spans="2:2" ht="15.6">
      <c r="B6418" s="197">
        <v>17.896411822116757</v>
      </c>
    </row>
    <row r="6419" spans="2:2" ht="15.6">
      <c r="B6419" s="197">
        <v>17.915550308103459</v>
      </c>
    </row>
    <row r="6420" spans="2:2" ht="15.6">
      <c r="B6420" s="197">
        <v>18.100584414621299</v>
      </c>
    </row>
    <row r="6421" spans="2:2" ht="15.6">
      <c r="B6421" s="197">
        <v>18.099170992846179</v>
      </c>
    </row>
    <row r="6422" spans="2:2" ht="15.6">
      <c r="B6422" s="197">
        <v>18.287724856206772</v>
      </c>
    </row>
    <row r="6423" spans="2:2" ht="15.6">
      <c r="B6423" s="197">
        <v>18.060725543061466</v>
      </c>
    </row>
    <row r="6424" spans="2:2" ht="15.6">
      <c r="B6424" s="197">
        <v>18.153407230529172</v>
      </c>
    </row>
    <row r="6425" spans="2:2" ht="15.6">
      <c r="B6425" s="197">
        <v>18.243311798481887</v>
      </c>
    </row>
    <row r="6426" spans="2:2" ht="15.6">
      <c r="B6426" s="197">
        <v>17.919568924203666</v>
      </c>
    </row>
    <row r="6427" spans="2:2" ht="15.6">
      <c r="B6427" s="197">
        <v>18.140479050862069</v>
      </c>
    </row>
    <row r="6428" spans="2:2" ht="15.6">
      <c r="B6428" s="197">
        <v>18.215069092791545</v>
      </c>
    </row>
    <row r="6429" spans="2:2" ht="15.6">
      <c r="B6429" s="197">
        <v>18.182268850108787</v>
      </c>
    </row>
    <row r="6430" spans="2:2" ht="15.6">
      <c r="B6430" s="197">
        <v>17.959549045806671</v>
      </c>
    </row>
    <row r="6431" spans="2:2" ht="15.6">
      <c r="B6431" s="197">
        <v>18.196858996634703</v>
      </c>
    </row>
    <row r="6432" spans="2:2" ht="15.6">
      <c r="B6432" s="197">
        <v>18.051898405595413</v>
      </c>
    </row>
    <row r="6433" spans="2:2" ht="15.6">
      <c r="B6433" s="197">
        <v>17.935210022668581</v>
      </c>
    </row>
    <row r="6434" spans="2:2" ht="15.6">
      <c r="B6434" s="197">
        <v>18.307575430353754</v>
      </c>
    </row>
    <row r="6435" spans="2:2" ht="15.6">
      <c r="B6435" s="197">
        <v>18.11850140929327</v>
      </c>
    </row>
    <row r="6436" spans="2:2" ht="15.6">
      <c r="B6436" s="197">
        <v>18.109291978695115</v>
      </c>
    </row>
    <row r="6437" spans="2:2" ht="15.6">
      <c r="B6437" s="197">
        <v>18.25793351519544</v>
      </c>
    </row>
    <row r="6438" spans="2:2" ht="15.6">
      <c r="B6438" s="197">
        <v>18.173081618069368</v>
      </c>
    </row>
    <row r="6439" spans="2:2" ht="15.6">
      <c r="B6439" s="197">
        <v>18.032949421870825</v>
      </c>
    </row>
    <row r="6440" spans="2:2" ht="15.6">
      <c r="B6440" s="197">
        <v>18.125310725556464</v>
      </c>
    </row>
    <row r="6441" spans="2:2" ht="15.6">
      <c r="B6441" s="197">
        <v>18.353399811624641</v>
      </c>
    </row>
    <row r="6442" spans="2:2" ht="15.6">
      <c r="B6442" s="197">
        <v>18.554909025064394</v>
      </c>
    </row>
    <row r="6443" spans="2:2" ht="15.6">
      <c r="B6443" s="197">
        <v>18.152030639721552</v>
      </c>
    </row>
    <row r="6444" spans="2:2" ht="15.6">
      <c r="B6444" s="197">
        <v>18.159591494980077</v>
      </c>
    </row>
    <row r="6445" spans="2:2" ht="15.6">
      <c r="B6445" s="197">
        <v>18.43708191445894</v>
      </c>
    </row>
    <row r="6446" spans="2:2" ht="15.6">
      <c r="B6446" s="197">
        <v>17.859683259666507</v>
      </c>
    </row>
    <row r="6447" spans="2:2" ht="15.6">
      <c r="B6447" s="197">
        <v>17.996362451335614</v>
      </c>
    </row>
    <row r="6448" spans="2:2" ht="15.6">
      <c r="B6448" s="197">
        <v>18.331618977605089</v>
      </c>
    </row>
    <row r="6449" spans="2:2" ht="15.6">
      <c r="B6449" s="197">
        <v>17.869821081743289</v>
      </c>
    </row>
    <row r="6450" spans="2:2" ht="15.6">
      <c r="B6450" s="197">
        <v>17.90004606540948</v>
      </c>
    </row>
    <row r="6451" spans="2:2" ht="15.6">
      <c r="B6451" s="197">
        <v>18.019867409947558</v>
      </c>
    </row>
    <row r="6452" spans="2:2" ht="15.6">
      <c r="B6452" s="197">
        <v>17.741845389981933</v>
      </c>
    </row>
    <row r="6453" spans="2:2" ht="15.6">
      <c r="B6453" s="197">
        <v>18.331296226560926</v>
      </c>
    </row>
    <row r="6454" spans="2:2" ht="15.6">
      <c r="B6454" s="197">
        <v>18.068641464778111</v>
      </c>
    </row>
    <row r="6455" spans="2:2" ht="15.6">
      <c r="B6455" s="197">
        <v>18.400618673695124</v>
      </c>
    </row>
    <row r="6456" spans="2:2" ht="15.6">
      <c r="B6456" s="197">
        <v>18.339800120624101</v>
      </c>
    </row>
    <row r="6457" spans="2:2" ht="15.6">
      <c r="B6457" s="197">
        <v>18.131116322115364</v>
      </c>
    </row>
    <row r="6458" spans="2:2" ht="15.6">
      <c r="B6458" s="197">
        <v>18.339800331617319</v>
      </c>
    </row>
    <row r="6459" spans="2:2" ht="15.6">
      <c r="B6459" s="197">
        <v>18.246399882571467</v>
      </c>
    </row>
    <row r="6460" spans="2:2" ht="15.6">
      <c r="B6460" s="197">
        <v>18.014927738000452</v>
      </c>
    </row>
    <row r="6461" spans="2:2" ht="15.6">
      <c r="B6461" s="197">
        <v>18.142514046664896</v>
      </c>
    </row>
    <row r="6462" spans="2:2" ht="15.6">
      <c r="B6462" s="197">
        <v>18.367511863413498</v>
      </c>
    </row>
    <row r="6463" spans="2:2" ht="15.6">
      <c r="B6463" s="197">
        <v>18.219633601843228</v>
      </c>
    </row>
    <row r="6464" spans="2:2" ht="15.6">
      <c r="B6464" s="197">
        <v>18.290692312176116</v>
      </c>
    </row>
    <row r="6465" spans="2:2" ht="15.6">
      <c r="B6465" s="197">
        <v>17.936140274134186</v>
      </c>
    </row>
    <row r="6466" spans="2:2" ht="15.6">
      <c r="B6466" s="197">
        <v>18.316583873420363</v>
      </c>
    </row>
    <row r="6467" spans="2:2" ht="15.6">
      <c r="B6467" s="197">
        <v>18.367866322185872</v>
      </c>
    </row>
    <row r="6468" spans="2:2" ht="15.6">
      <c r="B6468" s="197">
        <v>17.728585092152731</v>
      </c>
    </row>
    <row r="6469" spans="2:2" ht="15.6">
      <c r="B6469" s="197">
        <v>18.689617103099657</v>
      </c>
    </row>
    <row r="6470" spans="2:2" ht="15.6">
      <c r="B6470" s="197">
        <v>17.979660594597284</v>
      </c>
    </row>
    <row r="6471" spans="2:2" ht="15.6">
      <c r="B6471" s="197">
        <v>18.178255645504617</v>
      </c>
    </row>
    <row r="6472" spans="2:2" ht="15.6">
      <c r="B6472" s="197">
        <v>18.23624737937336</v>
      </c>
    </row>
    <row r="6473" spans="2:2" ht="15.6">
      <c r="B6473" s="197">
        <v>18.230118827915675</v>
      </c>
    </row>
    <row r="6474" spans="2:2" ht="15.6">
      <c r="B6474" s="197">
        <v>17.936922153864842</v>
      </c>
    </row>
    <row r="6475" spans="2:2" ht="15.6">
      <c r="B6475" s="197">
        <v>18.108974710242947</v>
      </c>
    </row>
    <row r="6476" spans="2:2" ht="15.6">
      <c r="B6476" s="197">
        <v>18.244989816568232</v>
      </c>
    </row>
    <row r="6477" spans="2:2" ht="15.6">
      <c r="B6477" s="197">
        <v>18.335539494106758</v>
      </c>
    </row>
    <row r="6478" spans="2:2" ht="15.6">
      <c r="B6478" s="197">
        <v>18.349029320483904</v>
      </c>
    </row>
    <row r="6479" spans="2:2" ht="15.6">
      <c r="B6479" s="197">
        <v>18.257775900121203</v>
      </c>
    </row>
    <row r="6480" spans="2:2" ht="15.6">
      <c r="B6480" s="197">
        <v>18.419026597615122</v>
      </c>
    </row>
    <row r="6481" spans="2:2" ht="15.6">
      <c r="B6481" s="197">
        <v>17.927502905187975</v>
      </c>
    </row>
    <row r="6482" spans="2:2" ht="15.6">
      <c r="B6482" s="197">
        <v>18.18082579037593</v>
      </c>
    </row>
    <row r="6483" spans="2:2" ht="15.6">
      <c r="B6483" s="197">
        <v>18.308246398354491</v>
      </c>
    </row>
    <row r="6484" spans="2:2" ht="15.6">
      <c r="B6484" s="197">
        <v>18.281764667798662</v>
      </c>
    </row>
    <row r="6485" spans="2:2" ht="15.6">
      <c r="B6485" s="197">
        <v>18.323095769381673</v>
      </c>
    </row>
    <row r="6486" spans="2:2" ht="15.6">
      <c r="B6486" s="197">
        <v>18.05488216853761</v>
      </c>
    </row>
    <row r="6487" spans="2:2" ht="15.6">
      <c r="B6487" s="197">
        <v>18.154778152678912</v>
      </c>
    </row>
    <row r="6488" spans="2:2" ht="15.6">
      <c r="B6488" s="197">
        <v>18.11357965311592</v>
      </c>
    </row>
    <row r="6489" spans="2:2" ht="15.6">
      <c r="B6489" s="197">
        <v>18.197987298646019</v>
      </c>
    </row>
    <row r="6490" spans="2:2" ht="15.6">
      <c r="B6490" s="197">
        <v>17.788896061056025</v>
      </c>
    </row>
    <row r="6491" spans="2:2" ht="15.6">
      <c r="B6491" s="197">
        <v>17.862715906972078</v>
      </c>
    </row>
    <row r="6492" spans="2:2" ht="15.6">
      <c r="B6492" s="197">
        <v>18.297817041925327</v>
      </c>
    </row>
    <row r="6493" spans="2:2" ht="15.6">
      <c r="B6493" s="197">
        <v>18.638394903081288</v>
      </c>
    </row>
    <row r="6494" spans="2:2" ht="15.6">
      <c r="B6494" s="197">
        <v>18.34525622554645</v>
      </c>
    </row>
    <row r="6495" spans="2:2" ht="15.6">
      <c r="B6495" s="197">
        <v>18.008174396529533</v>
      </c>
    </row>
    <row r="6496" spans="2:2" ht="15.6">
      <c r="B6496" s="197">
        <v>17.859978288303349</v>
      </c>
    </row>
    <row r="6497" spans="2:2" ht="15.6">
      <c r="B6497" s="197">
        <v>18.483865956666385</v>
      </c>
    </row>
    <row r="6498" spans="2:2" ht="15.6">
      <c r="B6498" s="197">
        <v>18.130128291498398</v>
      </c>
    </row>
    <row r="6499" spans="2:2" ht="15.6">
      <c r="B6499" s="197">
        <v>18.375458036114299</v>
      </c>
    </row>
    <row r="6500" spans="2:2" ht="15.6">
      <c r="B6500" s="197">
        <v>17.963547179187859</v>
      </c>
    </row>
    <row r="6501" spans="2:2" ht="15.6">
      <c r="B6501" s="197">
        <v>18.070974193158676</v>
      </c>
    </row>
    <row r="6502" spans="2:2" ht="15.6">
      <c r="B6502" s="197">
        <v>18.076381367293799</v>
      </c>
    </row>
    <row r="6503" spans="2:2" ht="15.6">
      <c r="B6503" s="197">
        <v>18.331845827101269</v>
      </c>
    </row>
    <row r="6504" spans="2:2" ht="15.6">
      <c r="B6504" s="197">
        <v>18.292429821869632</v>
      </c>
    </row>
    <row r="6505" spans="2:2" ht="15.6">
      <c r="B6505" s="197">
        <v>18.194440866322438</v>
      </c>
    </row>
    <row r="6506" spans="2:2" ht="15.6">
      <c r="B6506" s="197">
        <v>18.053013162013823</v>
      </c>
    </row>
    <row r="6507" spans="2:2" ht="15.6">
      <c r="B6507" s="197">
        <v>18.238110121022331</v>
      </c>
    </row>
    <row r="6508" spans="2:2" ht="15.6">
      <c r="B6508" s="197">
        <v>18.318131004984934</v>
      </c>
    </row>
    <row r="6509" spans="2:2" ht="15.6">
      <c r="B6509" s="197">
        <v>18.549142092183764</v>
      </c>
    </row>
    <row r="6510" spans="2:2" ht="15.6">
      <c r="B6510" s="197">
        <v>18.160527975253924</v>
      </c>
    </row>
    <row r="6511" spans="2:2" ht="15.6">
      <c r="B6511" s="197">
        <v>17.81839680457508</v>
      </c>
    </row>
    <row r="6512" spans="2:2" ht="15.6">
      <c r="B6512" s="197">
        <v>18.048170929593162</v>
      </c>
    </row>
    <row r="6513" spans="2:2" ht="15.6">
      <c r="B6513" s="197">
        <v>18.066016524863098</v>
      </c>
    </row>
    <row r="6514" spans="2:2" ht="15.6">
      <c r="B6514" s="197">
        <v>17.942086556081431</v>
      </c>
    </row>
    <row r="6515" spans="2:2" ht="15.6">
      <c r="B6515" s="197">
        <v>18.101186500994402</v>
      </c>
    </row>
    <row r="6516" spans="2:2" ht="15.6">
      <c r="B6516" s="197">
        <v>18.30480313834288</v>
      </c>
    </row>
    <row r="6517" spans="2:2" ht="15.6">
      <c r="B6517" s="197">
        <v>18.195442705735498</v>
      </c>
    </row>
    <row r="6518" spans="2:2" ht="15.6">
      <c r="B6518" s="197">
        <v>18.107803300028227</v>
      </c>
    </row>
    <row r="6519" spans="2:2" ht="15.6">
      <c r="B6519" s="197">
        <v>18.20743771423124</v>
      </c>
    </row>
    <row r="6520" spans="2:2" ht="15.6">
      <c r="B6520" s="197">
        <v>17.916553918344057</v>
      </c>
    </row>
    <row r="6521" spans="2:2" ht="15.6">
      <c r="B6521" s="197">
        <v>18.442966351162848</v>
      </c>
    </row>
    <row r="6522" spans="2:2" ht="15.6">
      <c r="B6522" s="197">
        <v>17.906420132293814</v>
      </c>
    </row>
    <row r="6523" spans="2:2" ht="15.6">
      <c r="B6523" s="197">
        <v>17.757822706710659</v>
      </c>
    </row>
    <row r="6524" spans="2:2" ht="15.6">
      <c r="B6524" s="197">
        <v>17.971412791248277</v>
      </c>
    </row>
    <row r="6525" spans="2:2" ht="15.6">
      <c r="B6525" s="197">
        <v>17.938744580111276</v>
      </c>
    </row>
    <row r="6526" spans="2:2" ht="15.6">
      <c r="B6526" s="197">
        <v>17.740420446190448</v>
      </c>
    </row>
    <row r="6527" spans="2:2" ht="15.6">
      <c r="B6527" s="197">
        <v>18.066099848624905</v>
      </c>
    </row>
    <row r="6528" spans="2:2" ht="15.6">
      <c r="B6528" s="197">
        <v>17.938545886998227</v>
      </c>
    </row>
    <row r="6529" spans="2:2" ht="15.6">
      <c r="B6529" s="197">
        <v>18.352677775074532</v>
      </c>
    </row>
    <row r="6530" spans="2:2" ht="15.6">
      <c r="B6530" s="197">
        <v>18.435007794580326</v>
      </c>
    </row>
    <row r="6531" spans="2:2" ht="15.6">
      <c r="B6531" s="197">
        <v>17.985535974618923</v>
      </c>
    </row>
    <row r="6532" spans="2:2" ht="15.6">
      <c r="B6532" s="197">
        <v>18.245412605661333</v>
      </c>
    </row>
    <row r="6533" spans="2:2" ht="15.6">
      <c r="B6533" s="197">
        <v>18.087354036395237</v>
      </c>
    </row>
    <row r="6534" spans="2:2" ht="15.6">
      <c r="B6534" s="197">
        <v>18.219929474481138</v>
      </c>
    </row>
    <row r="6535" spans="2:2" ht="15.6">
      <c r="B6535" s="197">
        <v>18.024968418222208</v>
      </c>
    </row>
    <row r="6536" spans="2:2" ht="15.6">
      <c r="B6536" s="197">
        <v>18.216043248684858</v>
      </c>
    </row>
    <row r="6537" spans="2:2" ht="15.6">
      <c r="B6537" s="197">
        <v>18.339892729491201</v>
      </c>
    </row>
    <row r="6538" spans="2:2" ht="15.6">
      <c r="B6538" s="197">
        <v>18.081711382262711</v>
      </c>
    </row>
    <row r="6539" spans="2:2" ht="15.6">
      <c r="B6539" s="197">
        <v>17.938762823000925</v>
      </c>
    </row>
    <row r="6540" spans="2:2" ht="15.6">
      <c r="B6540" s="197">
        <v>18.114207046097949</v>
      </c>
    </row>
    <row r="6541" spans="2:2" ht="15.6">
      <c r="B6541" s="197">
        <v>18.122336277184107</v>
      </c>
    </row>
    <row r="6542" spans="2:2" ht="15.6">
      <c r="B6542" s="197">
        <v>18.214450857754244</v>
      </c>
    </row>
    <row r="6543" spans="2:2" ht="15.6">
      <c r="B6543" s="197">
        <v>18.173451095487987</v>
      </c>
    </row>
    <row r="6544" spans="2:2" ht="15.6">
      <c r="B6544" s="197">
        <v>17.829992064749952</v>
      </c>
    </row>
    <row r="6545" spans="2:2" ht="15.6">
      <c r="B6545" s="197">
        <v>18.065902131593219</v>
      </c>
    </row>
    <row r="6546" spans="2:2" ht="15.6">
      <c r="B6546" s="197">
        <v>18.483222996855051</v>
      </c>
    </row>
    <row r="6547" spans="2:2" ht="15.6">
      <c r="B6547" s="197">
        <v>18.148094881611119</v>
      </c>
    </row>
    <row r="6548" spans="2:2" ht="15.6">
      <c r="B6548" s="197">
        <v>18.147951410197674</v>
      </c>
    </row>
    <row r="6549" spans="2:2" ht="15.6">
      <c r="B6549" s="197">
        <v>18.073170925800451</v>
      </c>
    </row>
    <row r="6550" spans="2:2" ht="15.6">
      <c r="B6550" s="197">
        <v>17.981190645809775</v>
      </c>
    </row>
    <row r="6551" spans="2:2" ht="15.6">
      <c r="B6551" s="197">
        <v>18.082132645943929</v>
      </c>
    </row>
    <row r="6552" spans="2:2" ht="15.6">
      <c r="B6552" s="197">
        <v>18.113159874936361</v>
      </c>
    </row>
    <row r="6553" spans="2:2" ht="15.6">
      <c r="B6553" s="197">
        <v>18.470269527576441</v>
      </c>
    </row>
    <row r="6554" spans="2:2" ht="15.6">
      <c r="B6554" s="197">
        <v>18.196351653724058</v>
      </c>
    </row>
    <row r="6555" spans="2:2" ht="15.6">
      <c r="B6555" s="197">
        <v>18.126796222764895</v>
      </c>
    </row>
    <row r="6556" spans="2:2" ht="15.6">
      <c r="B6556" s="197">
        <v>18.412791797572968</v>
      </c>
    </row>
    <row r="6557" spans="2:2" ht="15.6">
      <c r="B6557" s="197">
        <v>18.037130790901969</v>
      </c>
    </row>
    <row r="6558" spans="2:2" ht="15.6">
      <c r="B6558" s="197">
        <v>18.086779870403738</v>
      </c>
    </row>
    <row r="6559" spans="2:2" ht="15.6">
      <c r="B6559" s="197">
        <v>18.398748772024042</v>
      </c>
    </row>
    <row r="6560" spans="2:2" ht="15.6">
      <c r="B6560" s="197">
        <v>17.867220535498674</v>
      </c>
    </row>
    <row r="6561" spans="2:2" ht="15.6">
      <c r="B6561" s="197">
        <v>18.029190311894958</v>
      </c>
    </row>
    <row r="6562" spans="2:2" ht="15.6">
      <c r="B6562" s="197">
        <v>18.20561754453561</v>
      </c>
    </row>
    <row r="6563" spans="2:2" ht="15.6">
      <c r="B6563" s="197">
        <v>17.927106623745949</v>
      </c>
    </row>
    <row r="6564" spans="2:2" ht="15.6">
      <c r="B6564" s="197">
        <v>17.938511802311357</v>
      </c>
    </row>
    <row r="6565" spans="2:2" ht="15.6">
      <c r="B6565" s="197">
        <v>18.103524692088982</v>
      </c>
    </row>
    <row r="6566" spans="2:2" ht="15.6">
      <c r="B6566" s="197">
        <v>17.946911059861446</v>
      </c>
    </row>
    <row r="6567" spans="2:2" ht="15.6">
      <c r="B6567" s="197">
        <v>17.976289254487472</v>
      </c>
    </row>
    <row r="6568" spans="2:2" ht="15.6">
      <c r="B6568" s="197">
        <v>17.775049232948927</v>
      </c>
    </row>
    <row r="6569" spans="2:2" ht="15.6">
      <c r="B6569" s="197">
        <v>18.395585328370235</v>
      </c>
    </row>
    <row r="6570" spans="2:2" ht="15.6">
      <c r="B6570" s="197">
        <v>18.506031916441085</v>
      </c>
    </row>
    <row r="6571" spans="2:2" ht="15.6">
      <c r="B6571" s="197">
        <v>18.138917608329933</v>
      </c>
    </row>
    <row r="6572" spans="2:2" ht="15.6">
      <c r="B6572" s="197">
        <v>17.94519974602332</v>
      </c>
    </row>
    <row r="6573" spans="2:2" ht="15.6">
      <c r="B6573" s="197">
        <v>18.231331805682178</v>
      </c>
    </row>
    <row r="6574" spans="2:2" ht="15.6">
      <c r="B6574" s="197">
        <v>18.203003854306271</v>
      </c>
    </row>
    <row r="6575" spans="2:2" ht="15.6">
      <c r="B6575" s="197">
        <v>17.83152721725768</v>
      </c>
    </row>
    <row r="6576" spans="2:2" ht="15.6">
      <c r="B6576" s="197">
        <v>18.333486588603282</v>
      </c>
    </row>
    <row r="6577" spans="2:2" ht="15.6">
      <c r="B6577" s="197">
        <v>18.32883869690157</v>
      </c>
    </row>
    <row r="6578" spans="2:2" ht="15.6">
      <c r="B6578" s="197">
        <v>18.109797331933226</v>
      </c>
    </row>
    <row r="6579" spans="2:2" ht="15.6">
      <c r="B6579" s="197">
        <v>18.116801503305823</v>
      </c>
    </row>
    <row r="6580" spans="2:2" ht="15.6">
      <c r="B6580" s="197">
        <v>18.155989184965268</v>
      </c>
    </row>
    <row r="6581" spans="2:2" ht="15.6">
      <c r="B6581" s="197">
        <v>18.476388092377324</v>
      </c>
    </row>
    <row r="6582" spans="2:2" ht="15.6">
      <c r="B6582" s="197">
        <v>18.106653056361107</v>
      </c>
    </row>
    <row r="6583" spans="2:2" ht="15.6">
      <c r="B6583" s="197">
        <v>18.048908856425399</v>
      </c>
    </row>
    <row r="6584" spans="2:2" ht="15.6">
      <c r="B6584" s="197">
        <v>18.085958804184568</v>
      </c>
    </row>
    <row r="6585" spans="2:2" ht="15.6">
      <c r="B6585" s="197">
        <v>18.163745156244882</v>
      </c>
    </row>
    <row r="6586" spans="2:2" ht="15.6">
      <c r="B6586" s="197">
        <v>18.045676506007656</v>
      </c>
    </row>
    <row r="6587" spans="2:2" ht="15.6">
      <c r="B6587" s="197">
        <v>18.150978831650441</v>
      </c>
    </row>
    <row r="6588" spans="2:2" ht="15.6">
      <c r="B6588" s="197">
        <v>18.142932865799999</v>
      </c>
    </row>
    <row r="6589" spans="2:2" ht="15.6">
      <c r="B6589" s="197">
        <v>18.146082472994895</v>
      </c>
    </row>
    <row r="6590" spans="2:2" ht="15.6">
      <c r="B6590" s="197">
        <v>17.909872305607763</v>
      </c>
    </row>
    <row r="6591" spans="2:2" ht="15.6">
      <c r="B6591" s="197">
        <v>18.132976915968072</v>
      </c>
    </row>
    <row r="6592" spans="2:2" ht="15.6">
      <c r="B6592" s="197">
        <v>17.815165755340516</v>
      </c>
    </row>
    <row r="6593" spans="2:2" ht="15.6">
      <c r="B6593" s="197">
        <v>17.925338826913965</v>
      </c>
    </row>
    <row r="6594" spans="2:2" ht="15.6">
      <c r="B6594" s="197">
        <v>18.051227254629467</v>
      </c>
    </row>
    <row r="6595" spans="2:2" ht="15.6">
      <c r="B6595" s="197">
        <v>18.14572005746269</v>
      </c>
    </row>
    <row r="6596" spans="2:2" ht="15.6">
      <c r="B6596" s="197">
        <v>17.864312288283916</v>
      </c>
    </row>
    <row r="6597" spans="2:2" ht="15.6">
      <c r="B6597" s="197">
        <v>18.063432952195161</v>
      </c>
    </row>
    <row r="6598" spans="2:2" ht="15.6">
      <c r="B6598" s="197">
        <v>18.061034065680364</v>
      </c>
    </row>
    <row r="6599" spans="2:2" ht="15.6">
      <c r="B6599" s="197">
        <v>17.958772167060307</v>
      </c>
    </row>
    <row r="6600" spans="2:2" ht="15.6">
      <c r="B6600" s="197">
        <v>18.25763814454012</v>
      </c>
    </row>
    <row r="6601" spans="2:2" ht="15.6">
      <c r="B6601" s="197">
        <v>18.115344248263131</v>
      </c>
    </row>
    <row r="6602" spans="2:2" ht="15.6">
      <c r="B6602" s="197">
        <v>18.197697676994753</v>
      </c>
    </row>
    <row r="6603" spans="2:2" ht="15.6">
      <c r="B6603" s="197">
        <v>18.075226965242795</v>
      </c>
    </row>
    <row r="6604" spans="2:2" ht="15.6">
      <c r="B6604" s="197">
        <v>18.085160724123764</v>
      </c>
    </row>
    <row r="6605" spans="2:2" ht="15.6">
      <c r="B6605" s="197">
        <v>18.638894920537048</v>
      </c>
    </row>
    <row r="6606" spans="2:2" ht="15.6">
      <c r="B6606" s="197">
        <v>17.917895743674716</v>
      </c>
    </row>
    <row r="6607" spans="2:2" ht="15.6">
      <c r="B6607" s="197">
        <v>18.118462722141111</v>
      </c>
    </row>
    <row r="6608" spans="2:2" ht="15.6">
      <c r="B6608" s="197">
        <v>17.980506229279655</v>
      </c>
    </row>
    <row r="6609" spans="2:2" ht="15.6">
      <c r="B6609" s="197">
        <v>18.285981261210335</v>
      </c>
    </row>
    <row r="6610" spans="2:2" ht="15.6">
      <c r="B6610" s="197">
        <v>18.296851551012264</v>
      </c>
    </row>
    <row r="6611" spans="2:2" ht="15.6">
      <c r="B6611" s="197">
        <v>18.116951904069129</v>
      </c>
    </row>
    <row r="6612" spans="2:2" ht="15.6">
      <c r="B6612" s="197">
        <v>18.266422802165138</v>
      </c>
    </row>
    <row r="6613" spans="2:2" ht="15.6">
      <c r="B6613" s="197">
        <v>18.198797612370068</v>
      </c>
    </row>
    <row r="6614" spans="2:2" ht="15.6">
      <c r="B6614" s="197">
        <v>17.97577938686311</v>
      </c>
    </row>
    <row r="6615" spans="2:2" ht="15.6">
      <c r="B6615" s="197">
        <v>18.005555803830479</v>
      </c>
    </row>
    <row r="6616" spans="2:2" ht="15.6">
      <c r="B6616" s="197">
        <v>18.265189372298988</v>
      </c>
    </row>
    <row r="6617" spans="2:2" ht="15.6">
      <c r="B6617" s="197">
        <v>18.347803007822858</v>
      </c>
    </row>
    <row r="6618" spans="2:2" ht="15.6">
      <c r="B6618" s="197">
        <v>18.046513143023116</v>
      </c>
    </row>
    <row r="6619" spans="2:2" ht="15.6">
      <c r="B6619" s="197">
        <v>18.082940783816596</v>
      </c>
    </row>
    <row r="6620" spans="2:2" ht="15.6">
      <c r="B6620" s="197">
        <v>17.935825883015418</v>
      </c>
    </row>
    <row r="6621" spans="2:2" ht="15.6">
      <c r="B6621" s="197">
        <v>17.987647581000836</v>
      </c>
    </row>
    <row r="6622" spans="2:2" ht="15.6">
      <c r="B6622" s="197">
        <v>18.460952578083617</v>
      </c>
    </row>
    <row r="6623" spans="2:2" ht="15.6">
      <c r="B6623" s="197">
        <v>18.345324158779423</v>
      </c>
    </row>
    <row r="6624" spans="2:2" ht="15.6">
      <c r="B6624" s="197">
        <v>18.520296288694858</v>
      </c>
    </row>
    <row r="6625" spans="2:2" ht="15.6">
      <c r="B6625" s="197">
        <v>18.210798161387853</v>
      </c>
    </row>
    <row r="6626" spans="2:2" ht="15.6">
      <c r="B6626" s="197">
        <v>18.156712290690585</v>
      </c>
    </row>
    <row r="6627" spans="2:2" ht="15.6">
      <c r="B6627" s="197">
        <v>17.891576954647093</v>
      </c>
    </row>
    <row r="6628" spans="2:2" ht="15.6">
      <c r="B6628" s="197">
        <v>18.066039920882677</v>
      </c>
    </row>
    <row r="6629" spans="2:2" ht="15.6">
      <c r="B6629" s="197">
        <v>17.924144186059909</v>
      </c>
    </row>
    <row r="6630" spans="2:2" ht="15.6">
      <c r="B6630" s="197">
        <v>17.804320214695885</v>
      </c>
    </row>
    <row r="6631" spans="2:2" ht="15.6">
      <c r="B6631" s="197">
        <v>18.506330932450574</v>
      </c>
    </row>
    <row r="6632" spans="2:2" ht="15.6">
      <c r="B6632" s="197">
        <v>18.169417021564399</v>
      </c>
    </row>
    <row r="6633" spans="2:2" ht="15.6">
      <c r="B6633" s="197">
        <v>18.124409239542334</v>
      </c>
    </row>
    <row r="6634" spans="2:2" ht="15.6">
      <c r="B6634" s="197">
        <v>17.998806921605578</v>
      </c>
    </row>
    <row r="6635" spans="2:2" ht="15.6">
      <c r="B6635" s="197">
        <v>17.771469992351214</v>
      </c>
    </row>
    <row r="6636" spans="2:2" ht="15.6">
      <c r="B6636" s="197">
        <v>17.934308297004566</v>
      </c>
    </row>
    <row r="6637" spans="2:2" ht="15.6">
      <c r="B6637" s="197">
        <v>18.254624463662783</v>
      </c>
    </row>
    <row r="6638" spans="2:2" ht="15.6">
      <c r="B6638" s="197">
        <v>18.014847348359456</v>
      </c>
    </row>
    <row r="6639" spans="2:2" ht="15.6">
      <c r="B6639" s="197">
        <v>18.125315265880442</v>
      </c>
    </row>
    <row r="6640" spans="2:2" ht="15.6">
      <c r="B6640" s="197">
        <v>18.213738086298477</v>
      </c>
    </row>
    <row r="6641" spans="2:2" ht="15.6">
      <c r="B6641" s="197">
        <v>18.232680940410123</v>
      </c>
    </row>
    <row r="6642" spans="2:2" ht="15.6">
      <c r="B6642" s="197">
        <v>17.851912263150975</v>
      </c>
    </row>
    <row r="6643" spans="2:2" ht="15.6">
      <c r="B6643" s="197">
        <v>18.379960776166996</v>
      </c>
    </row>
    <row r="6644" spans="2:2" ht="15.6">
      <c r="B6644" s="197">
        <v>17.989883705216553</v>
      </c>
    </row>
    <row r="6645" spans="2:2" ht="15.6">
      <c r="B6645" s="197">
        <v>18.127966712825046</v>
      </c>
    </row>
    <row r="6646" spans="2:2" ht="15.6">
      <c r="B6646" s="197">
        <v>17.967970027345505</v>
      </c>
    </row>
    <row r="6647" spans="2:2" ht="15.6">
      <c r="B6647" s="197">
        <v>18.524786830512223</v>
      </c>
    </row>
    <row r="6648" spans="2:2" ht="15.6">
      <c r="B6648" s="197">
        <v>18.076371312549234</v>
      </c>
    </row>
    <row r="6649" spans="2:2" ht="15.6">
      <c r="B6649" s="197">
        <v>17.715282671275574</v>
      </c>
    </row>
    <row r="6650" spans="2:2" ht="15.6">
      <c r="B6650" s="197">
        <v>17.772117054763864</v>
      </c>
    </row>
    <row r="6651" spans="2:2" ht="15.6">
      <c r="B6651" s="197">
        <v>17.979807806916615</v>
      </c>
    </row>
    <row r="6652" spans="2:2" ht="15.6">
      <c r="B6652" s="197">
        <v>18.126065613782718</v>
      </c>
    </row>
    <row r="6653" spans="2:2" ht="15.6">
      <c r="B6653" s="197">
        <v>18.002180859220164</v>
      </c>
    </row>
    <row r="6654" spans="2:2" ht="15.6">
      <c r="B6654" s="197">
        <v>17.98528716256828</v>
      </c>
    </row>
    <row r="6655" spans="2:2" ht="15.6">
      <c r="B6655" s="197">
        <v>18.085884852589743</v>
      </c>
    </row>
    <row r="6656" spans="2:2" ht="15.6">
      <c r="B6656" s="197">
        <v>18.156331087528724</v>
      </c>
    </row>
    <row r="6657" spans="2:2" ht="15.6">
      <c r="B6657" s="197">
        <v>18.064459849005242</v>
      </c>
    </row>
    <row r="6658" spans="2:2" ht="15.6">
      <c r="B6658" s="197">
        <v>18.263396943668972</v>
      </c>
    </row>
    <row r="6659" spans="2:2" ht="15.6">
      <c r="B6659" s="197">
        <v>18.021961193401236</v>
      </c>
    </row>
    <row r="6660" spans="2:2" ht="15.6">
      <c r="B6660" s="197">
        <v>18.077619945558158</v>
      </c>
    </row>
    <row r="6661" spans="2:2" ht="15.6">
      <c r="B6661" s="197">
        <v>17.92766551001743</v>
      </c>
    </row>
    <row r="6662" spans="2:2" ht="15.6">
      <c r="B6662" s="197">
        <v>18.039776679059425</v>
      </c>
    </row>
    <row r="6663" spans="2:2" ht="15.6">
      <c r="B6663" s="197">
        <v>18.219458984485513</v>
      </c>
    </row>
    <row r="6664" spans="2:2" ht="15.6">
      <c r="B6664" s="197">
        <v>18.098516663276399</v>
      </c>
    </row>
    <row r="6665" spans="2:2" ht="15.6">
      <c r="B6665" s="197">
        <v>18.16551182161426</v>
      </c>
    </row>
    <row r="6666" spans="2:2" ht="15.6">
      <c r="B6666" s="197">
        <v>18.476288559879372</v>
      </c>
    </row>
    <row r="6667" spans="2:2" ht="15.6">
      <c r="B6667" s="197">
        <v>18.04196301802596</v>
      </c>
    </row>
    <row r="6668" spans="2:2" ht="15.6">
      <c r="B6668" s="197">
        <v>18.296844683254264</v>
      </c>
    </row>
    <row r="6669" spans="2:2" ht="15.6">
      <c r="B6669" s="197">
        <v>18.272678375086777</v>
      </c>
    </row>
    <row r="6670" spans="2:2" ht="15.6">
      <c r="B6670" s="197">
        <v>18.040798249392367</v>
      </c>
    </row>
    <row r="6671" spans="2:2" ht="15.6">
      <c r="B6671" s="197">
        <v>18.101299901592611</v>
      </c>
    </row>
    <row r="6672" spans="2:2" ht="15.6">
      <c r="B6672" s="197">
        <v>18.125482347626043</v>
      </c>
    </row>
    <row r="6673" spans="2:2" ht="15.6">
      <c r="B6673" s="197">
        <v>18.22583393584036</v>
      </c>
    </row>
    <row r="6674" spans="2:2" ht="15.6">
      <c r="B6674" s="197">
        <v>18.236777063302249</v>
      </c>
    </row>
    <row r="6675" spans="2:2" ht="15.6">
      <c r="B6675" s="197">
        <v>18.01286036734313</v>
      </c>
    </row>
    <row r="6676" spans="2:2" ht="15.6">
      <c r="B6676" s="197">
        <v>18.456847949977377</v>
      </c>
    </row>
    <row r="6677" spans="2:2" ht="15.6">
      <c r="B6677" s="197">
        <v>18.128261884493249</v>
      </c>
    </row>
    <row r="6678" spans="2:2" ht="15.6">
      <c r="B6678" s="197">
        <v>17.905807577922875</v>
      </c>
    </row>
    <row r="6679" spans="2:2" ht="15.6">
      <c r="B6679" s="197">
        <v>18.275391948272215</v>
      </c>
    </row>
    <row r="6680" spans="2:2" ht="15.6">
      <c r="B6680" s="197">
        <v>17.973565383572897</v>
      </c>
    </row>
    <row r="6681" spans="2:2" ht="15.6">
      <c r="B6681" s="197">
        <v>18.51240121411557</v>
      </c>
    </row>
    <row r="6682" spans="2:2" ht="15.6">
      <c r="B6682" s="197">
        <v>18.181257432767588</v>
      </c>
    </row>
    <row r="6683" spans="2:2" ht="15.6">
      <c r="B6683" s="197">
        <v>18.316991821681324</v>
      </c>
    </row>
    <row r="6684" spans="2:2" ht="15.6">
      <c r="B6684" s="197">
        <v>18.447525725777929</v>
      </c>
    </row>
    <row r="6685" spans="2:2" ht="15.6">
      <c r="B6685" s="197">
        <v>18.099789986015182</v>
      </c>
    </row>
    <row r="6686" spans="2:2" ht="15.6">
      <c r="B6686" s="197">
        <v>18.503868868771065</v>
      </c>
    </row>
    <row r="6687" spans="2:2" ht="15.6">
      <c r="B6687" s="197">
        <v>18.270190293045829</v>
      </c>
    </row>
    <row r="6688" spans="2:2" ht="15.6">
      <c r="B6688" s="197">
        <v>17.989775651253975</v>
      </c>
    </row>
    <row r="6689" spans="2:2" ht="15.6">
      <c r="B6689" s="197">
        <v>18.226652035611881</v>
      </c>
    </row>
    <row r="6690" spans="2:2" ht="15.6">
      <c r="B6690" s="197">
        <v>17.931965164326801</v>
      </c>
    </row>
    <row r="6691" spans="2:2" ht="15.6">
      <c r="B6691" s="197">
        <v>18.194666577286881</v>
      </c>
    </row>
    <row r="6692" spans="2:2" ht="15.6">
      <c r="B6692" s="197">
        <v>17.742957622527022</v>
      </c>
    </row>
    <row r="6693" spans="2:2" ht="15.6">
      <c r="B6693" s="197">
        <v>17.890771541499031</v>
      </c>
    </row>
    <row r="6694" spans="2:2" ht="15.6">
      <c r="B6694" s="197">
        <v>18.273038835754345</v>
      </c>
    </row>
    <row r="6695" spans="2:2" ht="15.6">
      <c r="B6695" s="197">
        <v>17.966507016136276</v>
      </c>
    </row>
    <row r="6696" spans="2:2" ht="15.6">
      <c r="B6696" s="197">
        <v>18.025406043519244</v>
      </c>
    </row>
    <row r="6697" spans="2:2" ht="15.6">
      <c r="B6697" s="197">
        <v>18.415806236814475</v>
      </c>
    </row>
    <row r="6698" spans="2:2" ht="15.6">
      <c r="B6698" s="197">
        <v>18.548172555418798</v>
      </c>
    </row>
    <row r="6699" spans="2:2" ht="15.6">
      <c r="B6699" s="197">
        <v>18.079578717759713</v>
      </c>
    </row>
    <row r="6700" spans="2:2" ht="15.6">
      <c r="B6700" s="197">
        <v>18.178649773581522</v>
      </c>
    </row>
    <row r="6701" spans="2:2" ht="15.6">
      <c r="B6701" s="197">
        <v>18.337729832653643</v>
      </c>
    </row>
    <row r="6702" spans="2:2" ht="15.6">
      <c r="B6702" s="197">
        <v>17.785829311580422</v>
      </c>
    </row>
    <row r="6703" spans="2:2" ht="15.6">
      <c r="B6703" s="197">
        <v>18.282228434842214</v>
      </c>
    </row>
    <row r="6704" spans="2:2" ht="15.6">
      <c r="B6704" s="197">
        <v>18.12844253527523</v>
      </c>
    </row>
    <row r="6705" spans="2:2" ht="15.6">
      <c r="B6705" s="197">
        <v>18.069034971750092</v>
      </c>
    </row>
    <row r="6706" spans="2:2" ht="15.6">
      <c r="B6706" s="197">
        <v>18.279623088727405</v>
      </c>
    </row>
    <row r="6707" spans="2:2" ht="15.6">
      <c r="B6707" s="197">
        <v>18.081273607859941</v>
      </c>
    </row>
    <row r="6708" spans="2:2" ht="15.6">
      <c r="B6708" s="197">
        <v>17.910270701247772</v>
      </c>
    </row>
    <row r="6709" spans="2:2" ht="15.6">
      <c r="B6709" s="197">
        <v>18.242033699323148</v>
      </c>
    </row>
    <row r="6710" spans="2:2" ht="15.6">
      <c r="B6710" s="197">
        <v>18.03009742287654</v>
      </c>
    </row>
    <row r="6711" spans="2:2" ht="15.6">
      <c r="B6711" s="197">
        <v>17.890788353727256</v>
      </c>
    </row>
    <row r="6712" spans="2:2" ht="15.6">
      <c r="B6712" s="197">
        <v>18.068784566695168</v>
      </c>
    </row>
    <row r="6713" spans="2:2" ht="15.6">
      <c r="B6713" s="197">
        <v>18.211840694591867</v>
      </c>
    </row>
    <row r="6714" spans="2:2" ht="15.6">
      <c r="B6714" s="197">
        <v>18.274138524372429</v>
      </c>
    </row>
    <row r="6715" spans="2:2" ht="15.6">
      <c r="B6715" s="197">
        <v>17.984898066110777</v>
      </c>
    </row>
    <row r="6716" spans="2:2" ht="15.6">
      <c r="B6716" s="197">
        <v>18.141210749515018</v>
      </c>
    </row>
    <row r="6717" spans="2:2" ht="15.6">
      <c r="B6717" s="197">
        <v>18.100268847958596</v>
      </c>
    </row>
    <row r="6718" spans="2:2" ht="15.6">
      <c r="B6718" s="197">
        <v>18.206947849478933</v>
      </c>
    </row>
    <row r="6719" spans="2:2" ht="15.6">
      <c r="B6719" s="197">
        <v>18.388681031701484</v>
      </c>
    </row>
    <row r="6720" spans="2:2" ht="15.6">
      <c r="B6720" s="197">
        <v>18.567357696721093</v>
      </c>
    </row>
    <row r="6721" spans="2:2" ht="15.6">
      <c r="B6721" s="197">
        <v>17.963742281732785</v>
      </c>
    </row>
    <row r="6722" spans="2:2" ht="15.6">
      <c r="B6722" s="197">
        <v>18.341061578182437</v>
      </c>
    </row>
    <row r="6723" spans="2:2" ht="15.6">
      <c r="B6723" s="197">
        <v>18.31018363481229</v>
      </c>
    </row>
    <row r="6724" spans="2:2" ht="15.6">
      <c r="B6724" s="197">
        <v>18.239369925775929</v>
      </c>
    </row>
    <row r="6725" spans="2:2" ht="15.6">
      <c r="B6725" s="197">
        <v>18.372986590297561</v>
      </c>
    </row>
    <row r="6726" spans="2:2" ht="15.6">
      <c r="B6726" s="197">
        <v>18.681096606992597</v>
      </c>
    </row>
    <row r="6727" spans="2:2" ht="15.6">
      <c r="B6727" s="197">
        <v>17.902877329426175</v>
      </c>
    </row>
    <row r="6728" spans="2:2" ht="15.6">
      <c r="B6728" s="197">
        <v>18.008294681210334</v>
      </c>
    </row>
    <row r="6729" spans="2:2" ht="15.6">
      <c r="B6729" s="197">
        <v>18.178426646852056</v>
      </c>
    </row>
    <row r="6730" spans="2:2" ht="15.6">
      <c r="B6730" s="197">
        <v>17.682487212925029</v>
      </c>
    </row>
    <row r="6731" spans="2:2" ht="15.6">
      <c r="B6731" s="197">
        <v>18.083883907986195</v>
      </c>
    </row>
    <row r="6732" spans="2:2" ht="15.6">
      <c r="B6732" s="197">
        <v>18.138860830866943</v>
      </c>
    </row>
    <row r="6733" spans="2:2" ht="15.6">
      <c r="B6733" s="197">
        <v>17.858992041394654</v>
      </c>
    </row>
    <row r="6734" spans="2:2" ht="15.6">
      <c r="B6734" s="197">
        <v>18.207137798882808</v>
      </c>
    </row>
    <row r="6735" spans="2:2" ht="15.6">
      <c r="B6735" s="197">
        <v>18.05387127114949</v>
      </c>
    </row>
    <row r="6736" spans="2:2" ht="15.6">
      <c r="B6736" s="197">
        <v>18.070919323117881</v>
      </c>
    </row>
    <row r="6737" spans="2:2" ht="15.6">
      <c r="B6737" s="197">
        <v>18.137758340642364</v>
      </c>
    </row>
    <row r="6738" spans="2:2" ht="15.6">
      <c r="B6738" s="197">
        <v>18.111615156995505</v>
      </c>
    </row>
    <row r="6739" spans="2:2" ht="15.6">
      <c r="B6739" s="197">
        <v>18.524168100757134</v>
      </c>
    </row>
    <row r="6740" spans="2:2" ht="15.6">
      <c r="B6740" s="197">
        <v>18.566715693678166</v>
      </c>
    </row>
    <row r="6741" spans="2:2" ht="15.6">
      <c r="B6741" s="197">
        <v>17.819319268904966</v>
      </c>
    </row>
    <row r="6742" spans="2:2" ht="15.6">
      <c r="B6742" s="197">
        <v>17.934127819965273</v>
      </c>
    </row>
    <row r="6743" spans="2:2" ht="15.6">
      <c r="B6743" s="197">
        <v>18.105053759597553</v>
      </c>
    </row>
    <row r="6744" spans="2:2" ht="15.6">
      <c r="B6744" s="197">
        <v>17.894307671874415</v>
      </c>
    </row>
    <row r="6745" spans="2:2" ht="15.6">
      <c r="B6745" s="197">
        <v>18.118665217894979</v>
      </c>
    </row>
    <row r="6746" spans="2:2" ht="15.6">
      <c r="B6746" s="197">
        <v>18.070235085864265</v>
      </c>
    </row>
    <row r="6747" spans="2:2" ht="15.6">
      <c r="B6747" s="197">
        <v>17.943992328214367</v>
      </c>
    </row>
    <row r="6748" spans="2:2" ht="15.6">
      <c r="B6748" s="197">
        <v>18.295449953689122</v>
      </c>
    </row>
    <row r="6749" spans="2:2" ht="15.6">
      <c r="B6749" s="197">
        <v>17.894917597892459</v>
      </c>
    </row>
    <row r="6750" spans="2:2" ht="15.6">
      <c r="B6750" s="197">
        <v>17.775418839709165</v>
      </c>
    </row>
    <row r="6751" spans="2:2" ht="15.6">
      <c r="B6751" s="197">
        <v>18.193575372612795</v>
      </c>
    </row>
    <row r="6752" spans="2:2" ht="15.6">
      <c r="B6752" s="197">
        <v>18.062283482924997</v>
      </c>
    </row>
    <row r="6753" spans="2:2" ht="15.6">
      <c r="B6753" s="197">
        <v>18.029242377763669</v>
      </c>
    </row>
    <row r="6754" spans="2:2" ht="15.6">
      <c r="B6754" s="197">
        <v>17.676813533359816</v>
      </c>
    </row>
    <row r="6755" spans="2:2" ht="15.6">
      <c r="B6755" s="197">
        <v>18.267325845065251</v>
      </c>
    </row>
    <row r="6756" spans="2:2" ht="15.6">
      <c r="B6756" s="197">
        <v>18.599198956035053</v>
      </c>
    </row>
    <row r="6757" spans="2:2" ht="15.6">
      <c r="B6757" s="197">
        <v>18.104668784176098</v>
      </c>
    </row>
    <row r="6758" spans="2:2" ht="15.6">
      <c r="B6758" s="197">
        <v>18.530213770410715</v>
      </c>
    </row>
    <row r="6759" spans="2:2" ht="15.6">
      <c r="B6759" s="197">
        <v>18.259850965191074</v>
      </c>
    </row>
    <row r="6760" spans="2:2" ht="15.6">
      <c r="B6760" s="197">
        <v>18.139423436031375</v>
      </c>
    </row>
    <row r="6761" spans="2:2" ht="15.6">
      <c r="B6761" s="197">
        <v>17.875247505806428</v>
      </c>
    </row>
    <row r="6762" spans="2:2" ht="15.6">
      <c r="B6762" s="197">
        <v>17.966181453116246</v>
      </c>
    </row>
    <row r="6763" spans="2:2" ht="15.6">
      <c r="B6763" s="197">
        <v>18.423901610521035</v>
      </c>
    </row>
    <row r="6764" spans="2:2" ht="15.6">
      <c r="B6764" s="197">
        <v>18.364135753842767</v>
      </c>
    </row>
    <row r="6765" spans="2:2" ht="15.6">
      <c r="B6765" s="197">
        <v>17.721242506541262</v>
      </c>
    </row>
    <row r="6766" spans="2:2" ht="15.6">
      <c r="B6766" s="197">
        <v>18.227571759001073</v>
      </c>
    </row>
    <row r="6767" spans="2:2" ht="15.6">
      <c r="B6767" s="197">
        <v>18.561014283459912</v>
      </c>
    </row>
    <row r="6768" spans="2:2" ht="15.6">
      <c r="B6768" s="197">
        <v>17.919611801428996</v>
      </c>
    </row>
    <row r="6769" spans="2:2" ht="15.6">
      <c r="B6769" s="197">
        <v>18.496190413991762</v>
      </c>
    </row>
    <row r="6770" spans="2:2" ht="15.6">
      <c r="B6770" s="197">
        <v>18.193874096664235</v>
      </c>
    </row>
    <row r="6771" spans="2:2" ht="15.6">
      <c r="B6771" s="197">
        <v>18.018396268853184</v>
      </c>
    </row>
    <row r="6772" spans="2:2" ht="15.6">
      <c r="B6772" s="197">
        <v>18.036383797931563</v>
      </c>
    </row>
    <row r="6773" spans="2:2" ht="15.6">
      <c r="B6773" s="197">
        <v>17.948653195483203</v>
      </c>
    </row>
    <row r="6774" spans="2:2" ht="15.6">
      <c r="B6774" s="197">
        <v>18.466073584124562</v>
      </c>
    </row>
    <row r="6775" spans="2:2" ht="15.6">
      <c r="B6775" s="197">
        <v>18.063188754381848</v>
      </c>
    </row>
    <row r="6776" spans="2:2" ht="15.6">
      <c r="B6776" s="197">
        <v>18.385417056179318</v>
      </c>
    </row>
    <row r="6777" spans="2:2" ht="15.6">
      <c r="B6777" s="197">
        <v>18.166113511353277</v>
      </c>
    </row>
    <row r="6778" spans="2:2" ht="15.6">
      <c r="B6778" s="197">
        <v>18.373943004815739</v>
      </c>
    </row>
    <row r="6779" spans="2:2" ht="15.6">
      <c r="B6779" s="197">
        <v>17.791334976753269</v>
      </c>
    </row>
    <row r="6780" spans="2:2" ht="15.6">
      <c r="B6780" s="197">
        <v>18.182794448767257</v>
      </c>
    </row>
    <row r="6781" spans="2:2" ht="15.6">
      <c r="B6781" s="197">
        <v>18.14233165221124</v>
      </c>
    </row>
    <row r="6782" spans="2:2" ht="15.6">
      <c r="B6782" s="197">
        <v>18.099507775821564</v>
      </c>
    </row>
    <row r="6783" spans="2:2" ht="15.6">
      <c r="B6783" s="197">
        <v>18.24561284381323</v>
      </c>
    </row>
    <row r="6784" spans="2:2" ht="15.6">
      <c r="B6784" s="197">
        <v>18.034358583495809</v>
      </c>
    </row>
    <row r="6785" spans="2:2" ht="15.6">
      <c r="B6785" s="197">
        <v>18.212053475329782</v>
      </c>
    </row>
    <row r="6786" spans="2:2" ht="15.6">
      <c r="B6786" s="197">
        <v>18.279888690209649</v>
      </c>
    </row>
    <row r="6787" spans="2:2" ht="15.6">
      <c r="B6787" s="197">
        <v>18.407036925617422</v>
      </c>
    </row>
    <row r="6788" spans="2:2" ht="15.6">
      <c r="B6788" s="197">
        <v>17.776219612563349</v>
      </c>
    </row>
    <row r="6789" spans="2:2" ht="15.6">
      <c r="B6789" s="197">
        <v>18.091881966667923</v>
      </c>
    </row>
    <row r="6790" spans="2:2" ht="15.6">
      <c r="B6790" s="197">
        <v>18.044654000652251</v>
      </c>
    </row>
    <row r="6791" spans="2:2" ht="15.6">
      <c r="B6791" s="197">
        <v>18.0413843633849</v>
      </c>
    </row>
    <row r="6792" spans="2:2" ht="15.6">
      <c r="B6792" s="197">
        <v>17.900474411568577</v>
      </c>
    </row>
    <row r="6793" spans="2:2" ht="15.6">
      <c r="B6793" s="197">
        <v>18.282274048961568</v>
      </c>
    </row>
    <row r="6794" spans="2:2" ht="15.6">
      <c r="B6794" s="197">
        <v>17.811453055954718</v>
      </c>
    </row>
    <row r="6795" spans="2:2" ht="15.6">
      <c r="B6795" s="197">
        <v>17.82944275689804</v>
      </c>
    </row>
    <row r="6796" spans="2:2" ht="15.6">
      <c r="B6796" s="197">
        <v>17.936432812854498</v>
      </c>
    </row>
    <row r="6797" spans="2:2" ht="15.6">
      <c r="B6797" s="197">
        <v>18.328560442229367</v>
      </c>
    </row>
    <row r="6798" spans="2:2" ht="15.6">
      <c r="B6798" s="197">
        <v>18.190299505840041</v>
      </c>
    </row>
    <row r="6799" spans="2:2" ht="15.6">
      <c r="B6799" s="197">
        <v>17.94149693220152</v>
      </c>
    </row>
    <row r="6800" spans="2:2" ht="15.6">
      <c r="B6800" s="197">
        <v>18.042122117664963</v>
      </c>
    </row>
    <row r="6801" spans="2:2" ht="15.6">
      <c r="B6801" s="197">
        <v>18.545785804870917</v>
      </c>
    </row>
    <row r="6802" spans="2:2" ht="15.6">
      <c r="B6802" s="197">
        <v>18.071092866553641</v>
      </c>
    </row>
    <row r="6803" spans="2:2" ht="15.6">
      <c r="B6803" s="197">
        <v>18.324571577244573</v>
      </c>
    </row>
    <row r="6804" spans="2:2" ht="15.6">
      <c r="B6804" s="197">
        <v>18.264196301715536</v>
      </c>
    </row>
    <row r="6805" spans="2:2" ht="15.6">
      <c r="B6805" s="197">
        <v>18.078262449241446</v>
      </c>
    </row>
    <row r="6806" spans="2:2" ht="15.6">
      <c r="B6806" s="197">
        <v>18.457907486704659</v>
      </c>
    </row>
    <row r="6807" spans="2:2" ht="15.6">
      <c r="B6807" s="197">
        <v>18.146610841674313</v>
      </c>
    </row>
    <row r="6808" spans="2:2" ht="15.6">
      <c r="B6808" s="197">
        <v>18.060493346432505</v>
      </c>
    </row>
    <row r="6809" spans="2:2" ht="15.6">
      <c r="B6809" s="197">
        <v>18.297381132336728</v>
      </c>
    </row>
    <row r="6810" spans="2:2" ht="15.6">
      <c r="B6810" s="197">
        <v>18.345251815548799</v>
      </c>
    </row>
    <row r="6811" spans="2:2" ht="15.6">
      <c r="B6811" s="197">
        <v>18.49190406112151</v>
      </c>
    </row>
    <row r="6812" spans="2:2" ht="15.6">
      <c r="B6812" s="197">
        <v>18.387726909245082</v>
      </c>
    </row>
    <row r="6813" spans="2:2" ht="15.6">
      <c r="B6813" s="197">
        <v>18.304782485610129</v>
      </c>
    </row>
    <row r="6814" spans="2:2" ht="15.6">
      <c r="B6814" s="197">
        <v>18.042672645120643</v>
      </c>
    </row>
    <row r="6815" spans="2:2" ht="15.6">
      <c r="B6815" s="197">
        <v>18.233493669398619</v>
      </c>
    </row>
    <row r="6816" spans="2:2" ht="15.6">
      <c r="B6816" s="197">
        <v>18.189743449697133</v>
      </c>
    </row>
    <row r="6817" spans="2:2" ht="15.6">
      <c r="B6817" s="197">
        <v>17.974162593000258</v>
      </c>
    </row>
    <row r="6818" spans="2:2" ht="15.6">
      <c r="B6818" s="197">
        <v>18.240172189773045</v>
      </c>
    </row>
    <row r="6819" spans="2:2" ht="15.6">
      <c r="B6819" s="197">
        <v>18.147401227388396</v>
      </c>
    </row>
    <row r="6820" spans="2:2" ht="15.6">
      <c r="B6820" s="197">
        <v>18.289768415678132</v>
      </c>
    </row>
    <row r="6821" spans="2:2" ht="15.6">
      <c r="B6821" s="197">
        <v>18.183976250497114</v>
      </c>
    </row>
    <row r="6822" spans="2:2" ht="15.6">
      <c r="B6822" s="197">
        <v>17.538142097816536</v>
      </c>
    </row>
    <row r="6823" spans="2:2" ht="15.6">
      <c r="B6823" s="197">
        <v>18.393000393206872</v>
      </c>
    </row>
    <row r="6824" spans="2:2" ht="15.6">
      <c r="B6824" s="197">
        <v>18.116404088180836</v>
      </c>
    </row>
    <row r="6825" spans="2:2" ht="15.6">
      <c r="B6825" s="197">
        <v>18.060952388815366</v>
      </c>
    </row>
    <row r="6826" spans="2:2" ht="15.6">
      <c r="B6826" s="197">
        <v>18.428272321330386</v>
      </c>
    </row>
    <row r="6827" spans="2:2" ht="15.6">
      <c r="B6827" s="197">
        <v>18.104188653279653</v>
      </c>
    </row>
    <row r="6828" spans="2:2" ht="15.6">
      <c r="B6828" s="197">
        <v>18.33096198206276</v>
      </c>
    </row>
    <row r="6829" spans="2:2" ht="15.6">
      <c r="B6829" s="197">
        <v>18.356104921303274</v>
      </c>
    </row>
    <row r="6830" spans="2:2" ht="15.6">
      <c r="B6830" s="197">
        <v>18.171422655030586</v>
      </c>
    </row>
    <row r="6831" spans="2:2" ht="15.6">
      <c r="B6831" s="197">
        <v>17.798927857085424</v>
      </c>
    </row>
    <row r="6832" spans="2:2" ht="15.6">
      <c r="B6832" s="197">
        <v>18.204859404068102</v>
      </c>
    </row>
    <row r="6833" spans="2:2" ht="15.6">
      <c r="B6833" s="197">
        <v>18.423468197705322</v>
      </c>
    </row>
    <row r="6834" spans="2:2" ht="15.6">
      <c r="B6834" s="197">
        <v>18.201148702950011</v>
      </c>
    </row>
    <row r="6835" spans="2:2" ht="15.6">
      <c r="B6835" s="197">
        <v>18.163455694123371</v>
      </c>
    </row>
    <row r="6836" spans="2:2" ht="15.6">
      <c r="B6836" s="197">
        <v>17.991760165538061</v>
      </c>
    </row>
    <row r="6837" spans="2:2" ht="15.6">
      <c r="B6837" s="197">
        <v>18.457708057940344</v>
      </c>
    </row>
    <row r="6838" spans="2:2" ht="15.6">
      <c r="B6838" s="197">
        <v>18.252955573174567</v>
      </c>
    </row>
    <row r="6839" spans="2:2" ht="15.6">
      <c r="B6839" s="197">
        <v>18.145581402763021</v>
      </c>
    </row>
    <row r="6840" spans="2:2" ht="15.6">
      <c r="B6840" s="197">
        <v>18.108173576951021</v>
      </c>
    </row>
    <row r="6841" spans="2:2" ht="15.6">
      <c r="B6841" s="197">
        <v>17.990682095366761</v>
      </c>
    </row>
    <row r="6842" spans="2:2" ht="15.6">
      <c r="B6842" s="197">
        <v>18.501266319320283</v>
      </c>
    </row>
    <row r="6843" spans="2:2" ht="15.6">
      <c r="B6843" s="197">
        <v>18.040784147284501</v>
      </c>
    </row>
    <row r="6844" spans="2:2" ht="15.6">
      <c r="B6844" s="197">
        <v>18.271561305069177</v>
      </c>
    </row>
    <row r="6845" spans="2:2" ht="15.6">
      <c r="B6845" s="197">
        <v>18.242184039160037</v>
      </c>
    </row>
    <row r="6846" spans="2:2" ht="15.6">
      <c r="B6846" s="197">
        <v>18.214192557617132</v>
      </c>
    </row>
    <row r="6847" spans="2:2" ht="15.6">
      <c r="B6847" s="197">
        <v>18.416200603723684</v>
      </c>
    </row>
    <row r="6848" spans="2:2" ht="15.6">
      <c r="B6848" s="197">
        <v>18.118759715754528</v>
      </c>
    </row>
    <row r="6849" spans="2:2" ht="15.6">
      <c r="B6849" s="197">
        <v>18.225736379553904</v>
      </c>
    </row>
    <row r="6850" spans="2:2" ht="15.6">
      <c r="B6850" s="197">
        <v>18.175428059376195</v>
      </c>
    </row>
    <row r="6851" spans="2:2" ht="15.6">
      <c r="B6851" s="197">
        <v>18.20248892326342</v>
      </c>
    </row>
    <row r="6852" spans="2:2" ht="15.6">
      <c r="B6852" s="197">
        <v>17.882516595298657</v>
      </c>
    </row>
    <row r="6853" spans="2:2" ht="15.6">
      <c r="B6853" s="197">
        <v>18.130516729558284</v>
      </c>
    </row>
    <row r="6854" spans="2:2" ht="15.6">
      <c r="B6854" s="197">
        <v>18.207465089513242</v>
      </c>
    </row>
    <row r="6855" spans="2:2" ht="15.6">
      <c r="B6855" s="197">
        <v>18.121928442364233</v>
      </c>
    </row>
    <row r="6856" spans="2:2" ht="15.6">
      <c r="B6856" s="197">
        <v>18.311119493124277</v>
      </c>
    </row>
    <row r="6857" spans="2:2" ht="15.6">
      <c r="B6857" s="197">
        <v>17.817485107769272</v>
      </c>
    </row>
    <row r="6858" spans="2:2" ht="15.6">
      <c r="B6858" s="197">
        <v>17.68020739402283</v>
      </c>
    </row>
    <row r="6859" spans="2:2" ht="15.6">
      <c r="B6859" s="197">
        <v>17.985118728260201</v>
      </c>
    </row>
    <row r="6860" spans="2:2" ht="15.6">
      <c r="B6860" s="197">
        <v>17.873196106210361</v>
      </c>
    </row>
    <row r="6861" spans="2:2" ht="15.6">
      <c r="B6861" s="197">
        <v>18.220726673955809</v>
      </c>
    </row>
    <row r="6862" spans="2:2" ht="15.6">
      <c r="B6862" s="197">
        <v>18.130119698228484</v>
      </c>
    </row>
    <row r="6863" spans="2:2" ht="15.6">
      <c r="B6863" s="197">
        <v>18.295147609519834</v>
      </c>
    </row>
    <row r="6864" spans="2:2" ht="15.6">
      <c r="B6864" s="197">
        <v>18.032749059609795</v>
      </c>
    </row>
    <row r="6865" spans="2:2" ht="15.6">
      <c r="B6865" s="197">
        <v>18.57834555541519</v>
      </c>
    </row>
    <row r="6866" spans="2:2" ht="15.6">
      <c r="B6866" s="197">
        <v>18.147004500760254</v>
      </c>
    </row>
    <row r="6867" spans="2:2" ht="15.6">
      <c r="B6867" s="197">
        <v>18.555799306634317</v>
      </c>
    </row>
    <row r="6868" spans="2:2" ht="15.6">
      <c r="B6868" s="197">
        <v>18.208346482586666</v>
      </c>
    </row>
    <row r="6869" spans="2:2" ht="15.6">
      <c r="B6869" s="197">
        <v>17.887469756912502</v>
      </c>
    </row>
    <row r="6870" spans="2:2" ht="15.6">
      <c r="B6870" s="197">
        <v>18.001454584493235</v>
      </c>
    </row>
    <row r="6871" spans="2:2" ht="15.6">
      <c r="B6871" s="197">
        <v>18.541298856942515</v>
      </c>
    </row>
    <row r="6872" spans="2:2" ht="15.6">
      <c r="B6872" s="197">
        <v>18.232245054437147</v>
      </c>
    </row>
    <row r="6873" spans="2:2" ht="15.6">
      <c r="B6873" s="197">
        <v>18.331500215469394</v>
      </c>
    </row>
    <row r="6874" spans="2:2" ht="15.6">
      <c r="B6874" s="197">
        <v>18.528404231601122</v>
      </c>
    </row>
    <row r="6875" spans="2:2" ht="15.6">
      <c r="B6875" s="197">
        <v>18.047807581102127</v>
      </c>
    </row>
    <row r="6876" spans="2:2" ht="15.6">
      <c r="B6876" s="197">
        <v>17.979100174334626</v>
      </c>
    </row>
    <row r="6877" spans="2:2" ht="15.6">
      <c r="B6877" s="197">
        <v>18.494263140714406</v>
      </c>
    </row>
    <row r="6878" spans="2:2" ht="15.6">
      <c r="B6878" s="197">
        <v>18.35583410088384</v>
      </c>
    </row>
    <row r="6879" spans="2:2" ht="15.6">
      <c r="B6879" s="197">
        <v>18.214983921830079</v>
      </c>
    </row>
    <row r="6880" spans="2:2" ht="15.6">
      <c r="B6880" s="197">
        <v>18.100322518787674</v>
      </c>
    </row>
    <row r="6881" spans="2:2" ht="15.6">
      <c r="B6881" s="197">
        <v>18.138617470844554</v>
      </c>
    </row>
    <row r="6882" spans="2:2" ht="15.6">
      <c r="B6882" s="197">
        <v>17.848507643534202</v>
      </c>
    </row>
    <row r="6883" spans="2:2" ht="15.6">
      <c r="B6883" s="197">
        <v>17.87655319525846</v>
      </c>
    </row>
    <row r="6884" spans="2:2" ht="15.6">
      <c r="B6884" s="197">
        <v>18.176241273349376</v>
      </c>
    </row>
    <row r="6885" spans="2:2" ht="15.6">
      <c r="B6885" s="197">
        <v>18.215176518977465</v>
      </c>
    </row>
    <row r="6886" spans="2:2" ht="15.6">
      <c r="B6886" s="197">
        <v>18.539855205530088</v>
      </c>
    </row>
    <row r="6887" spans="2:2" ht="15.6">
      <c r="B6887" s="197">
        <v>18.467392843788133</v>
      </c>
    </row>
    <row r="6888" spans="2:2" ht="15.6">
      <c r="B6888" s="197">
        <v>18.022919932523074</v>
      </c>
    </row>
    <row r="6889" spans="2:2" ht="15.6">
      <c r="B6889" s="197">
        <v>18.327189741708448</v>
      </c>
    </row>
    <row r="6890" spans="2:2" ht="15.6">
      <c r="B6890" s="197">
        <v>18.035647829793554</v>
      </c>
    </row>
    <row r="6891" spans="2:2" ht="15.6">
      <c r="B6891" s="197">
        <v>17.936006687576377</v>
      </c>
    </row>
    <row r="6892" spans="2:2" ht="15.6">
      <c r="B6892" s="197">
        <v>17.992456242273153</v>
      </c>
    </row>
    <row r="6893" spans="2:2" ht="15.6">
      <c r="B6893" s="197">
        <v>18.336808913027543</v>
      </c>
    </row>
    <row r="6894" spans="2:2" ht="15.6">
      <c r="B6894" s="197">
        <v>18.220303001803767</v>
      </c>
    </row>
    <row r="6895" spans="2:2" ht="15.6">
      <c r="B6895" s="197">
        <v>18.121392887866154</v>
      </c>
    </row>
    <row r="6896" spans="2:2" ht="15.6">
      <c r="B6896" s="197">
        <v>18.007037094289647</v>
      </c>
    </row>
    <row r="6897" spans="2:2" ht="15.6">
      <c r="B6897" s="197">
        <v>18.339779746818433</v>
      </c>
    </row>
    <row r="6898" spans="2:2" ht="15.6">
      <c r="B6898" s="197">
        <v>18.129983089894022</v>
      </c>
    </row>
    <row r="6899" spans="2:2" ht="15.6">
      <c r="B6899" s="197">
        <v>18.229378976419699</v>
      </c>
    </row>
    <row r="6900" spans="2:2" ht="15.6">
      <c r="B6900" s="197">
        <v>18.006542407613367</v>
      </c>
    </row>
    <row r="6901" spans="2:2" ht="15.6">
      <c r="B6901" s="197">
        <v>18.339871886471503</v>
      </c>
    </row>
    <row r="6902" spans="2:2" ht="15.6">
      <c r="B6902" s="197">
        <v>18.219075839692646</v>
      </c>
    </row>
    <row r="6903" spans="2:2" ht="15.6">
      <c r="B6903" s="197">
        <v>18.210945695845457</v>
      </c>
    </row>
    <row r="6904" spans="2:2" ht="15.6">
      <c r="B6904" s="197">
        <v>18.289088130243215</v>
      </c>
    </row>
    <row r="6905" spans="2:2" ht="15.6">
      <c r="B6905" s="197">
        <v>18.280615262139229</v>
      </c>
    </row>
    <row r="6906" spans="2:2" ht="15.6">
      <c r="B6906" s="197">
        <v>18.099467325203953</v>
      </c>
    </row>
    <row r="6907" spans="2:2" ht="15.6">
      <c r="B6907" s="197">
        <v>18.34839951654379</v>
      </c>
    </row>
    <row r="6908" spans="2:2" ht="15.6">
      <c r="B6908" s="197">
        <v>18.199151279322791</v>
      </c>
    </row>
    <row r="6909" spans="2:2" ht="15.6">
      <c r="B6909" s="197">
        <v>17.991457250944148</v>
      </c>
    </row>
    <row r="6910" spans="2:2" ht="15.6">
      <c r="B6910" s="197">
        <v>18.444746801579768</v>
      </c>
    </row>
    <row r="6911" spans="2:2" ht="15.6">
      <c r="B6911" s="197">
        <v>17.886582945457555</v>
      </c>
    </row>
    <row r="6912" spans="2:2" ht="15.6">
      <c r="B6912" s="197">
        <v>18.362089334441873</v>
      </c>
    </row>
    <row r="6913" spans="2:2" ht="15.6">
      <c r="B6913" s="197">
        <v>18.183568986284534</v>
      </c>
    </row>
    <row r="6914" spans="2:2" ht="15.6">
      <c r="B6914" s="197">
        <v>18.087807427504121</v>
      </c>
    </row>
    <row r="6915" spans="2:2" ht="15.6">
      <c r="B6915" s="197">
        <v>18.302871506397697</v>
      </c>
    </row>
    <row r="6916" spans="2:2" ht="15.6">
      <c r="B6916" s="197">
        <v>18.199741697649593</v>
      </c>
    </row>
    <row r="6917" spans="2:2" ht="15.6">
      <c r="B6917" s="197">
        <v>18.215452715390931</v>
      </c>
    </row>
    <row r="6918" spans="2:2" ht="15.6">
      <c r="B6918" s="197">
        <v>17.983742656068721</v>
      </c>
    </row>
    <row r="6919" spans="2:2" ht="15.6">
      <c r="B6919" s="197">
        <v>18.018781738456912</v>
      </c>
    </row>
    <row r="6920" spans="2:2" ht="15.6">
      <c r="B6920" s="197">
        <v>18.00753929916436</v>
      </c>
    </row>
    <row r="6921" spans="2:2" ht="15.6">
      <c r="B6921" s="197">
        <v>18.445073349300213</v>
      </c>
    </row>
    <row r="6922" spans="2:2" ht="15.6">
      <c r="B6922" s="197">
        <v>18.178691199203524</v>
      </c>
    </row>
    <row r="6923" spans="2:2" ht="15.6">
      <c r="B6923" s="197">
        <v>17.852809364288984</v>
      </c>
    </row>
    <row r="6924" spans="2:2" ht="15.6">
      <c r="B6924" s="197">
        <v>17.867059682107492</v>
      </c>
    </row>
    <row r="6925" spans="2:2" ht="15.6">
      <c r="B6925" s="197">
        <v>17.964129673552275</v>
      </c>
    </row>
    <row r="6926" spans="2:2" ht="15.6">
      <c r="B6926" s="197">
        <v>18.208133909307179</v>
      </c>
    </row>
    <row r="6927" spans="2:2" ht="15.6">
      <c r="B6927" s="197">
        <v>18.247913069080266</v>
      </c>
    </row>
    <row r="6928" spans="2:2" ht="15.6">
      <c r="B6928" s="197">
        <v>18.078830050284203</v>
      </c>
    </row>
    <row r="6929" spans="2:2" ht="15.6">
      <c r="B6929" s="197">
        <v>17.867084369294478</v>
      </c>
    </row>
    <row r="6930" spans="2:2" ht="15.6">
      <c r="B6930" s="197">
        <v>17.88270624882276</v>
      </c>
    </row>
    <row r="6931" spans="2:2" ht="15.6">
      <c r="B6931" s="197">
        <v>18.104539952096463</v>
      </c>
    </row>
    <row r="6932" spans="2:2" ht="15.6">
      <c r="B6932" s="197">
        <v>18.218645365552046</v>
      </c>
    </row>
    <row r="6933" spans="2:2" ht="15.6">
      <c r="B6933" s="197">
        <v>18.368969796452639</v>
      </c>
    </row>
    <row r="6934" spans="2:2" ht="15.6">
      <c r="B6934" s="197">
        <v>17.926554458931257</v>
      </c>
    </row>
    <row r="6935" spans="2:2" ht="15.6">
      <c r="B6935" s="197">
        <v>17.87681750680418</v>
      </c>
    </row>
    <row r="6936" spans="2:2" ht="15.6">
      <c r="B6936" s="197">
        <v>18.35729663193678</v>
      </c>
    </row>
    <row r="6937" spans="2:2" ht="15.6">
      <c r="B6937" s="197">
        <v>18.078006907100391</v>
      </c>
    </row>
    <row r="6938" spans="2:2" ht="15.6">
      <c r="B6938" s="197">
        <v>18.607853591918435</v>
      </c>
    </row>
    <row r="6939" spans="2:2" ht="15.6">
      <c r="B6939" s="197">
        <v>18.062707642716472</v>
      </c>
    </row>
    <row r="6940" spans="2:2" ht="15.6">
      <c r="B6940" s="197">
        <v>17.958773025362852</v>
      </c>
    </row>
    <row r="6941" spans="2:2" ht="15.6">
      <c r="B6941" s="197">
        <v>18.166639950080945</v>
      </c>
    </row>
    <row r="6942" spans="2:2" ht="15.6">
      <c r="B6942" s="197">
        <v>18.124860795377728</v>
      </c>
    </row>
    <row r="6943" spans="2:2" ht="15.6">
      <c r="B6943" s="197">
        <v>18.226121576117521</v>
      </c>
    </row>
    <row r="6944" spans="2:2" ht="15.6">
      <c r="B6944" s="197">
        <v>18.326363821787204</v>
      </c>
    </row>
    <row r="6945" spans="2:2" ht="15.6">
      <c r="B6945" s="197">
        <v>18.397324376848868</v>
      </c>
    </row>
    <row r="6946" spans="2:2" ht="15.6">
      <c r="B6946" s="197">
        <v>18.036421053446627</v>
      </c>
    </row>
    <row r="6947" spans="2:2" ht="15.6">
      <c r="B6947" s="197">
        <v>18.574626526923048</v>
      </c>
    </row>
    <row r="6948" spans="2:2" ht="15.6">
      <c r="B6948" s="197">
        <v>18.28572983224495</v>
      </c>
    </row>
    <row r="6949" spans="2:2" ht="15.6">
      <c r="B6949" s="197">
        <v>18.084896437950864</v>
      </c>
    </row>
    <row r="6950" spans="2:2" ht="15.6">
      <c r="B6950" s="197">
        <v>18.059304643366467</v>
      </c>
    </row>
    <row r="6951" spans="2:2" ht="15.6">
      <c r="B6951" s="197">
        <v>18.319340365849811</v>
      </c>
    </row>
    <row r="6952" spans="2:2" ht="15.6">
      <c r="B6952" s="197">
        <v>18.366087352453714</v>
      </c>
    </row>
    <row r="6953" spans="2:2" ht="15.6">
      <c r="B6953" s="197">
        <v>18.229947503790601</v>
      </c>
    </row>
    <row r="6954" spans="2:2" ht="15.6">
      <c r="B6954" s="197">
        <v>18.345479550372392</v>
      </c>
    </row>
    <row r="6955" spans="2:2" ht="15.6">
      <c r="B6955" s="197">
        <v>18.034193678003295</v>
      </c>
    </row>
    <row r="6956" spans="2:2" ht="15.6">
      <c r="B6956" s="197">
        <v>18.279128091453359</v>
      </c>
    </row>
    <row r="6957" spans="2:2" ht="15.6">
      <c r="B6957" s="197">
        <v>18.215336197133809</v>
      </c>
    </row>
    <row r="6958" spans="2:2" ht="15.6">
      <c r="B6958" s="197">
        <v>17.920155761546891</v>
      </c>
    </row>
    <row r="6959" spans="2:2" ht="15.6">
      <c r="B6959" s="197">
        <v>18.182990421921708</v>
      </c>
    </row>
    <row r="6960" spans="2:2" ht="15.6">
      <c r="B6960" s="197">
        <v>18.184413297919125</v>
      </c>
    </row>
    <row r="6961" spans="2:2" ht="15.6">
      <c r="B6961" s="197">
        <v>18.221476532351907</v>
      </c>
    </row>
    <row r="6962" spans="2:2" ht="15.6">
      <c r="B6962" s="197">
        <v>18.248152017122209</v>
      </c>
    </row>
    <row r="6963" spans="2:2" ht="15.6">
      <c r="B6963" s="197">
        <v>18.043170851181209</v>
      </c>
    </row>
    <row r="6964" spans="2:2" ht="15.6">
      <c r="B6964" s="197">
        <v>18.31983778303707</v>
      </c>
    </row>
    <row r="6965" spans="2:2" ht="15.6">
      <c r="B6965" s="197">
        <v>18.026765288597186</v>
      </c>
    </row>
    <row r="6966" spans="2:2" ht="15.6">
      <c r="B6966" s="197">
        <v>18.097741749989513</v>
      </c>
    </row>
    <row r="6967" spans="2:2" ht="15.6">
      <c r="B6967" s="197">
        <v>18.122209548213618</v>
      </c>
    </row>
    <row r="6968" spans="2:2" ht="15.6">
      <c r="B6968" s="197">
        <v>18.366143035445702</v>
      </c>
    </row>
    <row r="6969" spans="2:2" ht="15.6">
      <c r="B6969" s="197">
        <v>17.736581591148642</v>
      </c>
    </row>
    <row r="6970" spans="2:2" ht="15.6">
      <c r="B6970" s="197">
        <v>18.341172796396503</v>
      </c>
    </row>
    <row r="6971" spans="2:2" ht="15.6">
      <c r="B6971" s="197">
        <v>18.425741223494278</v>
      </c>
    </row>
    <row r="6972" spans="2:2" ht="15.6">
      <c r="B6972" s="197">
        <v>18.165134506809689</v>
      </c>
    </row>
    <row r="6973" spans="2:2" ht="15.6">
      <c r="B6973" s="197">
        <v>18.058761522143609</v>
      </c>
    </row>
    <row r="6974" spans="2:2" ht="15.6">
      <c r="B6974" s="197">
        <v>18.228072374955502</v>
      </c>
    </row>
    <row r="6975" spans="2:2" ht="15.6">
      <c r="B6975" s="197">
        <v>18.223167933533144</v>
      </c>
    </row>
    <row r="6976" spans="2:2" ht="15.6">
      <c r="B6976" s="197">
        <v>17.743489844816139</v>
      </c>
    </row>
    <row r="6977" spans="2:2" ht="15.6">
      <c r="B6977" s="197">
        <v>18.016605518068967</v>
      </c>
    </row>
    <row r="6978" spans="2:2" ht="15.6">
      <c r="B6978" s="197">
        <v>18.102566719614064</v>
      </c>
    </row>
    <row r="6979" spans="2:2" ht="15.6">
      <c r="B6979" s="197">
        <v>18.161045147499642</v>
      </c>
    </row>
    <row r="6980" spans="2:2" ht="15.6">
      <c r="B6980" s="197">
        <v>18.094631713744839</v>
      </c>
    </row>
    <row r="6981" spans="2:2" ht="15.6">
      <c r="B6981" s="197">
        <v>18.127259621904287</v>
      </c>
    </row>
    <row r="6982" spans="2:2" ht="15.6">
      <c r="B6982" s="197">
        <v>18.442195238807845</v>
      </c>
    </row>
    <row r="6983" spans="2:2" ht="15.6">
      <c r="B6983" s="197">
        <v>18.269624397290617</v>
      </c>
    </row>
    <row r="6984" spans="2:2" ht="15.6">
      <c r="B6984" s="197">
        <v>18.079559990549075</v>
      </c>
    </row>
    <row r="6985" spans="2:2" ht="15.6">
      <c r="B6985" s="197">
        <v>18.004206621239611</v>
      </c>
    </row>
    <row r="6986" spans="2:2" ht="15.6">
      <c r="B6986" s="197">
        <v>18.502175425409614</v>
      </c>
    </row>
    <row r="6987" spans="2:2" ht="15.6">
      <c r="B6987" s="197">
        <v>18.305642504469908</v>
      </c>
    </row>
    <row r="6988" spans="2:2" ht="15.6">
      <c r="B6988" s="197">
        <v>18.263187110023189</v>
      </c>
    </row>
    <row r="6989" spans="2:2" ht="15.6">
      <c r="B6989" s="197">
        <v>18.100117792467159</v>
      </c>
    </row>
    <row r="6990" spans="2:2" ht="15.6">
      <c r="B6990" s="197">
        <v>17.824941385432396</v>
      </c>
    </row>
    <row r="6991" spans="2:2" ht="15.6">
      <c r="B6991" s="197">
        <v>18.06124365782339</v>
      </c>
    </row>
    <row r="6992" spans="2:2" ht="15.6">
      <c r="B6992" s="197">
        <v>18.212200673497318</v>
      </c>
    </row>
    <row r="6993" spans="2:2" ht="15.6">
      <c r="B6993" s="197">
        <v>17.719292887793323</v>
      </c>
    </row>
    <row r="6994" spans="2:2" ht="15.6">
      <c r="B6994" s="197">
        <v>18.059954496732527</v>
      </c>
    </row>
    <row r="6995" spans="2:2" ht="15.6">
      <c r="B6995" s="197">
        <v>18.095296143922972</v>
      </c>
    </row>
    <row r="6996" spans="2:2" ht="15.6">
      <c r="B6996" s="197">
        <v>17.961791144502321</v>
      </c>
    </row>
    <row r="6997" spans="2:2" ht="15.6">
      <c r="B6997" s="197">
        <v>18.00639930519392</v>
      </c>
    </row>
    <row r="6998" spans="2:2" ht="15.6">
      <c r="B6998" s="197">
        <v>17.957363724888161</v>
      </c>
    </row>
    <row r="6999" spans="2:2" ht="15.6">
      <c r="B6999" s="197">
        <v>18.267109250239805</v>
      </c>
    </row>
    <row r="7000" spans="2:2" ht="15.6">
      <c r="B7000" s="197">
        <v>18.104266795340429</v>
      </c>
    </row>
    <row r="7001" spans="2:2" ht="15.6">
      <c r="B7001" s="197">
        <v>17.961992720707975</v>
      </c>
    </row>
    <row r="7002" spans="2:2" ht="15.6">
      <c r="B7002" s="197">
        <v>17.884129653030456</v>
      </c>
    </row>
    <row r="7003" spans="2:2" ht="15.6">
      <c r="B7003" s="197">
        <v>18.147804290887581</v>
      </c>
    </row>
    <row r="7004" spans="2:2" ht="15.6">
      <c r="B7004" s="197">
        <v>18.085430491576137</v>
      </c>
    </row>
    <row r="7005" spans="2:2" ht="15.6">
      <c r="B7005" s="197">
        <v>17.862582908494563</v>
      </c>
    </row>
    <row r="7006" spans="2:2" ht="15.6">
      <c r="B7006" s="197">
        <v>18.44580061164422</v>
      </c>
    </row>
    <row r="7007" spans="2:2" ht="15.6">
      <c r="B7007" s="197">
        <v>18.058554793064886</v>
      </c>
    </row>
    <row r="7008" spans="2:2" ht="15.6">
      <c r="B7008" s="197">
        <v>17.8598546401855</v>
      </c>
    </row>
    <row r="7009" spans="2:2" ht="15.6">
      <c r="B7009" s="197">
        <v>18.145081484140707</v>
      </c>
    </row>
    <row r="7010" spans="2:2" ht="15.6">
      <c r="B7010" s="197">
        <v>18.272031836109196</v>
      </c>
    </row>
    <row r="7011" spans="2:2" ht="15.6">
      <c r="B7011" s="197">
        <v>18.16379086460206</v>
      </c>
    </row>
    <row r="7012" spans="2:2" ht="15.6">
      <c r="B7012" s="197">
        <v>18.151791567602579</v>
      </c>
    </row>
    <row r="7013" spans="2:2" ht="15.6">
      <c r="B7013" s="197">
        <v>18.264088089825819</v>
      </c>
    </row>
    <row r="7014" spans="2:2" ht="15.6">
      <c r="B7014" s="197">
        <v>18.151770816162834</v>
      </c>
    </row>
    <row r="7015" spans="2:2" ht="15.6">
      <c r="B7015" s="197">
        <v>18.24034968742377</v>
      </c>
    </row>
    <row r="7016" spans="2:2" ht="15.6">
      <c r="B7016" s="197">
        <v>17.941021579370229</v>
      </c>
    </row>
    <row r="7017" spans="2:2" ht="15.6">
      <c r="B7017" s="197">
        <v>18.578460285407964</v>
      </c>
    </row>
    <row r="7018" spans="2:2" ht="15.6">
      <c r="B7018" s="197">
        <v>18.349026754040807</v>
      </c>
    </row>
    <row r="7019" spans="2:2" ht="15.6">
      <c r="B7019" s="197">
        <v>18.054149597576366</v>
      </c>
    </row>
    <row r="7020" spans="2:2" ht="15.6">
      <c r="B7020" s="197">
        <v>18.230957262707342</v>
      </c>
    </row>
    <row r="7021" spans="2:2" ht="15.6">
      <c r="B7021" s="197">
        <v>18.135884428449256</v>
      </c>
    </row>
    <row r="7022" spans="2:2" ht="15.6">
      <c r="B7022" s="197">
        <v>18.305977035123579</v>
      </c>
    </row>
    <row r="7023" spans="2:2" ht="15.6">
      <c r="B7023" s="197">
        <v>17.78296195309062</v>
      </c>
    </row>
    <row r="7024" spans="2:2" ht="15.6">
      <c r="B7024" s="197">
        <v>18.007444123394418</v>
      </c>
    </row>
    <row r="7025" spans="2:2" ht="15.6">
      <c r="B7025" s="197">
        <v>17.934353123912729</v>
      </c>
    </row>
    <row r="7026" spans="2:2" ht="15.6">
      <c r="B7026" s="197">
        <v>18.346892111417606</v>
      </c>
    </row>
    <row r="7027" spans="2:2" ht="15.6">
      <c r="B7027" s="197">
        <v>18.237351765628667</v>
      </c>
    </row>
    <row r="7028" spans="2:2" ht="15.6">
      <c r="B7028" s="197">
        <v>18.43572349816564</v>
      </c>
    </row>
    <row r="7029" spans="2:2" ht="15.6">
      <c r="B7029" s="197">
        <v>18.569854213527336</v>
      </c>
    </row>
    <row r="7030" spans="2:2" ht="15.6">
      <c r="B7030" s="197">
        <v>18.068781177547045</v>
      </c>
    </row>
    <row r="7031" spans="2:2" ht="15.6">
      <c r="B7031" s="197">
        <v>18.225637675218088</v>
      </c>
    </row>
    <row r="7032" spans="2:2" ht="15.6">
      <c r="B7032" s="197">
        <v>18.28094388893447</v>
      </c>
    </row>
    <row r="7033" spans="2:2" ht="15.6">
      <c r="B7033" s="197">
        <v>18.294182767611009</v>
      </c>
    </row>
    <row r="7034" spans="2:2" ht="15.6">
      <c r="B7034" s="197">
        <v>18.096661932868926</v>
      </c>
    </row>
    <row r="7035" spans="2:2" ht="15.6">
      <c r="B7035" s="197">
        <v>18.326258300405566</v>
      </c>
    </row>
    <row r="7036" spans="2:2" ht="15.6">
      <c r="B7036" s="197">
        <v>17.857874936949759</v>
      </c>
    </row>
    <row r="7037" spans="2:2" ht="15.6">
      <c r="B7037" s="197">
        <v>18.279269114976039</v>
      </c>
    </row>
    <row r="7038" spans="2:2" ht="15.6">
      <c r="B7038" s="197">
        <v>18.296945586388045</v>
      </c>
    </row>
    <row r="7039" spans="2:2" ht="15.6">
      <c r="B7039" s="197">
        <v>18.200805015106621</v>
      </c>
    </row>
    <row r="7040" spans="2:2" ht="15.6">
      <c r="B7040" s="197">
        <v>18.243029848971108</v>
      </c>
    </row>
    <row r="7041" spans="2:2" ht="15.6">
      <c r="B7041" s="197">
        <v>18.146740849186067</v>
      </c>
    </row>
    <row r="7042" spans="2:2" ht="15.6">
      <c r="B7042" s="197">
        <v>18.046137338774567</v>
      </c>
    </row>
    <row r="7043" spans="2:2" ht="15.6">
      <c r="B7043" s="197">
        <v>18.267907917195924</v>
      </c>
    </row>
    <row r="7044" spans="2:2" ht="15.6">
      <c r="B7044" s="197">
        <v>17.881987578716121</v>
      </c>
    </row>
    <row r="7045" spans="2:2" ht="15.6">
      <c r="B7045" s="197">
        <v>17.848778519846785</v>
      </c>
    </row>
    <row r="7046" spans="2:2" ht="15.6">
      <c r="B7046" s="197">
        <v>18.703506785856881</v>
      </c>
    </row>
    <row r="7047" spans="2:2" ht="15.6">
      <c r="B7047" s="197">
        <v>18.176715925871552</v>
      </c>
    </row>
    <row r="7048" spans="2:2" ht="15.6">
      <c r="B7048" s="197">
        <v>18.189076595783948</v>
      </c>
    </row>
    <row r="7049" spans="2:2" ht="15.6">
      <c r="B7049" s="197">
        <v>17.969010402772419</v>
      </c>
    </row>
    <row r="7050" spans="2:2" ht="15.6">
      <c r="B7050" s="197">
        <v>17.753940695855942</v>
      </c>
    </row>
    <row r="7051" spans="2:2" ht="15.6">
      <c r="B7051" s="197">
        <v>17.963316533117123</v>
      </c>
    </row>
    <row r="7052" spans="2:2" ht="15.6">
      <c r="B7052" s="197">
        <v>18.173179684989645</v>
      </c>
    </row>
    <row r="7053" spans="2:2" ht="15.6">
      <c r="B7053" s="197">
        <v>18.256282266170963</v>
      </c>
    </row>
    <row r="7054" spans="2:2" ht="15.6">
      <c r="B7054" s="197">
        <v>18.462950136980385</v>
      </c>
    </row>
    <row r="7055" spans="2:2" ht="15.6">
      <c r="B7055" s="197">
        <v>18.208876336260069</v>
      </c>
    </row>
    <row r="7056" spans="2:2" ht="15.6">
      <c r="B7056" s="197">
        <v>17.881090763222591</v>
      </c>
    </row>
    <row r="7057" spans="2:2" ht="15.6">
      <c r="B7057" s="197">
        <v>18.155061477340013</v>
      </c>
    </row>
    <row r="7058" spans="2:2" ht="15.6">
      <c r="B7058" s="197">
        <v>18.305309197172143</v>
      </c>
    </row>
    <row r="7059" spans="2:2" ht="15.6">
      <c r="B7059" s="197">
        <v>18.258157586191913</v>
      </c>
    </row>
    <row r="7060" spans="2:2" ht="15.6">
      <c r="B7060" s="197">
        <v>17.857099113880817</v>
      </c>
    </row>
    <row r="7061" spans="2:2" ht="15.6">
      <c r="B7061" s="197">
        <v>17.901089511640425</v>
      </c>
    </row>
    <row r="7062" spans="2:2" ht="15.6">
      <c r="B7062" s="197">
        <v>18.12231788131205</v>
      </c>
    </row>
    <row r="7063" spans="2:2" ht="15.6">
      <c r="B7063" s="197">
        <v>18.094942335209161</v>
      </c>
    </row>
    <row r="7064" spans="2:2" ht="15.6">
      <c r="B7064" s="197">
        <v>18.190407888312173</v>
      </c>
    </row>
    <row r="7065" spans="2:2" ht="15.6">
      <c r="B7065" s="197">
        <v>17.97891910497172</v>
      </c>
    </row>
    <row r="7066" spans="2:2" ht="15.6">
      <c r="B7066" s="197">
        <v>18.198714551903866</v>
      </c>
    </row>
    <row r="7067" spans="2:2" ht="15.6">
      <c r="B7067" s="197">
        <v>18.239910226941326</v>
      </c>
    </row>
    <row r="7068" spans="2:2" ht="15.6">
      <c r="B7068" s="197">
        <v>17.92417723739953</v>
      </c>
    </row>
    <row r="7069" spans="2:2" ht="15.6">
      <c r="B7069" s="197">
        <v>17.942632147953208</v>
      </c>
    </row>
    <row r="7070" spans="2:2" ht="15.6">
      <c r="B7070" s="197">
        <v>18.021418277585493</v>
      </c>
    </row>
    <row r="7071" spans="2:2" ht="15.6">
      <c r="B7071" s="197">
        <v>18.377298828051678</v>
      </c>
    </row>
    <row r="7072" spans="2:2" ht="15.6">
      <c r="B7072" s="197">
        <v>18.409250071717228</v>
      </c>
    </row>
    <row r="7073" spans="2:2" ht="15.6">
      <c r="B7073" s="197">
        <v>17.997766585813732</v>
      </c>
    </row>
    <row r="7074" spans="2:2" ht="15.6">
      <c r="B7074" s="197">
        <v>18.18022747434992</v>
      </c>
    </row>
    <row r="7075" spans="2:2" ht="15.6">
      <c r="B7075" s="197">
        <v>17.9402239463729</v>
      </c>
    </row>
    <row r="7076" spans="2:2" ht="15.6">
      <c r="B7076" s="197">
        <v>18.110372902384508</v>
      </c>
    </row>
    <row r="7077" spans="2:2" ht="15.6">
      <c r="B7077" s="197">
        <v>17.99668281046749</v>
      </c>
    </row>
    <row r="7078" spans="2:2" ht="15.6">
      <c r="B7078" s="197">
        <v>18.205399738616673</v>
      </c>
    </row>
    <row r="7079" spans="2:2" ht="15.6">
      <c r="B7079" s="197">
        <v>18.289266621432361</v>
      </c>
    </row>
    <row r="7080" spans="2:2" ht="15.6">
      <c r="B7080" s="197">
        <v>18.05517920084576</v>
      </c>
    </row>
    <row r="7081" spans="2:2" ht="15.6">
      <c r="B7081" s="197">
        <v>18.169350559235003</v>
      </c>
    </row>
    <row r="7082" spans="2:2" ht="15.6">
      <c r="B7082" s="197">
        <v>18.036939345680267</v>
      </c>
    </row>
    <row r="7083" spans="2:2" ht="15.6">
      <c r="B7083" s="197">
        <v>18.221069433622741</v>
      </c>
    </row>
    <row r="7084" spans="2:2" ht="15.6">
      <c r="B7084" s="197">
        <v>18.049506982153215</v>
      </c>
    </row>
    <row r="7085" spans="2:2" ht="15.6">
      <c r="B7085" s="197">
        <v>18.048837623717404</v>
      </c>
    </row>
    <row r="7086" spans="2:2" ht="15.6">
      <c r="B7086" s="197">
        <v>18.328049214814556</v>
      </c>
    </row>
    <row r="7087" spans="2:2" ht="15.6">
      <c r="B7087" s="197">
        <v>18.200279108352142</v>
      </c>
    </row>
    <row r="7088" spans="2:2" ht="15.6">
      <c r="B7088" s="197">
        <v>18.12843947148199</v>
      </c>
    </row>
    <row r="7089" spans="2:2" ht="15.6">
      <c r="B7089" s="197">
        <v>18.411982817308328</v>
      </c>
    </row>
    <row r="7090" spans="2:2" ht="15.6">
      <c r="B7090" s="197">
        <v>18.330337722268641</v>
      </c>
    </row>
    <row r="7091" spans="2:2" ht="15.6">
      <c r="B7091" s="197">
        <v>18.0987336134095</v>
      </c>
    </row>
    <row r="7092" spans="2:2" ht="15.6">
      <c r="B7092" s="197">
        <v>17.68808514750501</v>
      </c>
    </row>
    <row r="7093" spans="2:2" ht="15.6">
      <c r="B7093" s="197">
        <v>18.328578330912144</v>
      </c>
    </row>
    <row r="7094" spans="2:2" ht="15.6">
      <c r="B7094" s="197">
        <v>18.123923658031128</v>
      </c>
    </row>
    <row r="7095" spans="2:2" ht="15.6">
      <c r="B7095" s="197">
        <v>18.081190414714229</v>
      </c>
    </row>
    <row r="7096" spans="2:2" ht="15.6">
      <c r="B7096" s="197">
        <v>18.087386351774366</v>
      </c>
    </row>
    <row r="7097" spans="2:2" ht="15.6">
      <c r="B7097" s="197">
        <v>18.352041482027044</v>
      </c>
    </row>
    <row r="7098" spans="2:2" ht="15.6">
      <c r="B7098" s="197">
        <v>18.085142485703813</v>
      </c>
    </row>
    <row r="7099" spans="2:2" ht="15.6">
      <c r="B7099" s="197">
        <v>17.968820077090225</v>
      </c>
    </row>
    <row r="7100" spans="2:2" ht="15.6">
      <c r="B7100" s="197">
        <v>17.957418101508896</v>
      </c>
    </row>
    <row r="7101" spans="2:2" ht="15.6">
      <c r="B7101" s="197">
        <v>18.38329322672611</v>
      </c>
    </row>
    <row r="7102" spans="2:2" ht="15.6">
      <c r="B7102" s="197">
        <v>18.262899984161908</v>
      </c>
    </row>
    <row r="7103" spans="2:2" ht="15.6">
      <c r="B7103" s="197">
        <v>18.149298147391594</v>
      </c>
    </row>
    <row r="7104" spans="2:2" ht="15.6">
      <c r="B7104" s="197">
        <v>17.993281997173192</v>
      </c>
    </row>
    <row r="7105" spans="2:2" ht="15.6">
      <c r="B7105" s="197">
        <v>18.405145146517366</v>
      </c>
    </row>
    <row r="7106" spans="2:2" ht="15.6">
      <c r="B7106" s="197">
        <v>18.153875933173474</v>
      </c>
    </row>
    <row r="7107" spans="2:2" ht="15.6">
      <c r="B7107" s="197">
        <v>17.949736523914822</v>
      </c>
    </row>
    <row r="7108" spans="2:2" ht="15.6">
      <c r="B7108" s="197">
        <v>17.955412871415813</v>
      </c>
    </row>
    <row r="7109" spans="2:2" ht="15.6">
      <c r="B7109" s="197">
        <v>17.905081672952448</v>
      </c>
    </row>
    <row r="7110" spans="2:2" ht="15.6">
      <c r="B7110" s="197">
        <v>17.475827900437238</v>
      </c>
    </row>
    <row r="7111" spans="2:2" ht="15.6">
      <c r="B7111" s="197">
        <v>18.091056405383252</v>
      </c>
    </row>
    <row r="7112" spans="2:2" ht="15.6">
      <c r="B7112" s="197">
        <v>18.432496683104723</v>
      </c>
    </row>
    <row r="7113" spans="2:2" ht="15.6">
      <c r="B7113" s="197">
        <v>17.799767904951455</v>
      </c>
    </row>
    <row r="7114" spans="2:2" ht="15.6">
      <c r="B7114" s="197">
        <v>17.808037712356146</v>
      </c>
    </row>
    <row r="7115" spans="2:2" ht="15.6">
      <c r="B7115" s="197">
        <v>18.28832807360293</v>
      </c>
    </row>
    <row r="7116" spans="2:2" ht="15.6">
      <c r="B7116" s="197">
        <v>18.327461103852819</v>
      </c>
    </row>
    <row r="7117" spans="2:2" ht="15.6">
      <c r="B7117" s="197">
        <v>18.475596799498529</v>
      </c>
    </row>
    <row r="7118" spans="2:2" ht="15.6">
      <c r="B7118" s="197">
        <v>18.168916108659278</v>
      </c>
    </row>
    <row r="7119" spans="2:2" ht="15.6">
      <c r="B7119" s="197">
        <v>18.209621385120535</v>
      </c>
    </row>
    <row r="7120" spans="2:2" ht="15.6">
      <c r="B7120" s="197">
        <v>18.296191083979942</v>
      </c>
    </row>
    <row r="7121" spans="2:2" ht="15.6">
      <c r="B7121" s="197">
        <v>18.175859408103317</v>
      </c>
    </row>
    <row r="7122" spans="2:2" ht="15.6">
      <c r="B7122" s="197">
        <v>17.888085267230533</v>
      </c>
    </row>
    <row r="7123" spans="2:2" ht="15.6">
      <c r="B7123" s="197">
        <v>18.163662463767842</v>
      </c>
    </row>
    <row r="7124" spans="2:2" ht="15.6">
      <c r="B7124" s="197">
        <v>18.200679582486909</v>
      </c>
    </row>
    <row r="7125" spans="2:2" ht="15.6">
      <c r="B7125" s="197">
        <v>17.826910722823687</v>
      </c>
    </row>
    <row r="7126" spans="2:2" ht="15.6">
      <c r="B7126" s="197">
        <v>18.402727547960723</v>
      </c>
    </row>
    <row r="7127" spans="2:2" ht="15.6">
      <c r="B7127" s="197">
        <v>18.269952480252851</v>
      </c>
    </row>
    <row r="7128" spans="2:2" ht="15.6">
      <c r="B7128" s="197">
        <v>18.532113771022342</v>
      </c>
    </row>
    <row r="7129" spans="2:2" ht="15.6">
      <c r="B7129" s="197">
        <v>18.079297539838457</v>
      </c>
    </row>
    <row r="7130" spans="2:2" ht="15.6">
      <c r="B7130" s="197">
        <v>18.132058795705653</v>
      </c>
    </row>
    <row r="7131" spans="2:2" ht="15.6">
      <c r="B7131" s="197">
        <v>18.449914114926642</v>
      </c>
    </row>
    <row r="7132" spans="2:2" ht="15.6">
      <c r="B7132" s="197">
        <v>17.907135171578343</v>
      </c>
    </row>
    <row r="7133" spans="2:2" ht="15.6">
      <c r="B7133" s="197">
        <v>18.059156638887771</v>
      </c>
    </row>
    <row r="7134" spans="2:2" ht="15.6">
      <c r="B7134" s="197">
        <v>18.182889449670469</v>
      </c>
    </row>
    <row r="7135" spans="2:2" ht="15.6">
      <c r="B7135" s="197">
        <v>18.44041877133732</v>
      </c>
    </row>
    <row r="7136" spans="2:2" ht="15.6">
      <c r="B7136" s="197">
        <v>18.116010200173005</v>
      </c>
    </row>
    <row r="7137" spans="2:2" ht="15.6">
      <c r="B7137" s="197">
        <v>18.519706335246433</v>
      </c>
    </row>
    <row r="7138" spans="2:2" ht="15.6">
      <c r="B7138" s="197">
        <v>17.775824551256402</v>
      </c>
    </row>
    <row r="7139" spans="2:2" ht="15.6">
      <c r="B7139" s="197">
        <v>18.133371130206754</v>
      </c>
    </row>
    <row r="7140" spans="2:2" ht="15.6">
      <c r="B7140" s="197">
        <v>18.098272706525599</v>
      </c>
    </row>
    <row r="7141" spans="2:2" ht="15.6">
      <c r="B7141" s="197">
        <v>18.060699642418747</v>
      </c>
    </row>
    <row r="7142" spans="2:2" ht="15.6">
      <c r="B7142" s="197">
        <v>18.581108365977823</v>
      </c>
    </row>
    <row r="7143" spans="2:2" ht="15.6">
      <c r="B7143" s="197">
        <v>17.966504266601863</v>
      </c>
    </row>
    <row r="7144" spans="2:2" ht="15.6">
      <c r="B7144" s="197">
        <v>18.108764057952897</v>
      </c>
    </row>
    <row r="7145" spans="2:2" ht="15.6">
      <c r="B7145" s="197">
        <v>18.03884640896181</v>
      </c>
    </row>
    <row r="7146" spans="2:2" ht="15.6">
      <c r="B7146" s="197">
        <v>18.366644426098485</v>
      </c>
    </row>
    <row r="7147" spans="2:2" ht="15.6">
      <c r="B7147" s="197">
        <v>18.17603829527847</v>
      </c>
    </row>
    <row r="7148" spans="2:2" ht="15.6">
      <c r="B7148" s="197">
        <v>18.208186731694155</v>
      </c>
    </row>
    <row r="7149" spans="2:2" ht="15.6">
      <c r="B7149" s="197">
        <v>18.125141193372652</v>
      </c>
    </row>
    <row r="7150" spans="2:2" ht="15.6">
      <c r="B7150" s="197">
        <v>18.357011978796208</v>
      </c>
    </row>
    <row r="7151" spans="2:2" ht="15.6">
      <c r="B7151" s="197">
        <v>18.216237461227902</v>
      </c>
    </row>
    <row r="7152" spans="2:2" ht="15.6">
      <c r="B7152" s="197">
        <v>18.254997580742039</v>
      </c>
    </row>
    <row r="7153" spans="2:2" ht="15.6">
      <c r="B7153" s="197">
        <v>18.071573467693259</v>
      </c>
    </row>
    <row r="7154" spans="2:2" ht="15.6">
      <c r="B7154" s="197">
        <v>18.129955148753638</v>
      </c>
    </row>
    <row r="7155" spans="2:2" ht="15.6">
      <c r="B7155" s="197">
        <v>18.126276368939397</v>
      </c>
    </row>
    <row r="7156" spans="2:2" ht="15.6">
      <c r="B7156" s="197">
        <v>18.183721358108116</v>
      </c>
    </row>
    <row r="7157" spans="2:2" ht="15.6">
      <c r="B7157" s="197">
        <v>18.151267279772433</v>
      </c>
    </row>
    <row r="7158" spans="2:2" ht="15.6">
      <c r="B7158" s="197">
        <v>18.20347370729937</v>
      </c>
    </row>
    <row r="7159" spans="2:2" ht="15.6">
      <c r="B7159" s="197">
        <v>18.087373253059724</v>
      </c>
    </row>
    <row r="7160" spans="2:2" ht="15.6">
      <c r="B7160" s="197">
        <v>18.254297805571888</v>
      </c>
    </row>
    <row r="7161" spans="2:2" ht="15.6">
      <c r="B7161" s="197">
        <v>18.2581614933164</v>
      </c>
    </row>
    <row r="7162" spans="2:2" ht="15.6">
      <c r="B7162" s="197">
        <v>18.053619471639291</v>
      </c>
    </row>
    <row r="7163" spans="2:2" ht="15.6">
      <c r="B7163" s="197">
        <v>17.992502748164867</v>
      </c>
    </row>
    <row r="7164" spans="2:2" ht="15.6">
      <c r="B7164" s="197">
        <v>18.121326388562959</v>
      </c>
    </row>
    <row r="7165" spans="2:2" ht="15.6">
      <c r="B7165" s="197">
        <v>18.053343459658652</v>
      </c>
    </row>
    <row r="7166" spans="2:2" ht="15.6">
      <c r="B7166" s="197">
        <v>18.117551167155906</v>
      </c>
    </row>
    <row r="7167" spans="2:2" ht="15.6">
      <c r="B7167" s="197">
        <v>18.204121758574519</v>
      </c>
    </row>
    <row r="7168" spans="2:2" ht="15.6">
      <c r="B7168" s="197">
        <v>18.091170445317747</v>
      </c>
    </row>
    <row r="7169" spans="2:2" ht="15.6">
      <c r="B7169" s="197">
        <v>17.985293053779895</v>
      </c>
    </row>
    <row r="7170" spans="2:2" ht="15.6">
      <c r="B7170" s="197">
        <v>17.965175594785229</v>
      </c>
    </row>
    <row r="7171" spans="2:2" ht="15.6">
      <c r="B7171" s="197">
        <v>18.343844536267603</v>
      </c>
    </row>
    <row r="7172" spans="2:2" ht="15.6">
      <c r="B7172" s="197">
        <v>18.44756179581799</v>
      </c>
    </row>
    <row r="7173" spans="2:2" ht="15.6">
      <c r="B7173" s="197">
        <v>18.141307190223984</v>
      </c>
    </row>
    <row r="7174" spans="2:2" ht="15.6">
      <c r="B7174" s="197">
        <v>18.242416082590427</v>
      </c>
    </row>
    <row r="7175" spans="2:2" ht="15.6">
      <c r="B7175" s="197">
        <v>18.058085538613103</v>
      </c>
    </row>
    <row r="7176" spans="2:2" ht="15.6">
      <c r="B7176" s="197">
        <v>18.00516995298187</v>
      </c>
    </row>
    <row r="7177" spans="2:2" ht="15.6">
      <c r="B7177" s="197">
        <v>18.542543864548076</v>
      </c>
    </row>
    <row r="7178" spans="2:2" ht="15.6">
      <c r="B7178" s="197">
        <v>17.791832479495397</v>
      </c>
    </row>
    <row r="7179" spans="2:2" ht="15.6">
      <c r="B7179" s="197">
        <v>17.926525481033014</v>
      </c>
    </row>
    <row r="7180" spans="2:2" ht="15.6">
      <c r="B7180" s="197">
        <v>18.065457572125013</v>
      </c>
    </row>
    <row r="7181" spans="2:2" ht="15.6">
      <c r="B7181" s="197">
        <v>18.295259630735323</v>
      </c>
    </row>
    <row r="7182" spans="2:2" ht="15.6">
      <c r="B7182" s="197">
        <v>17.91014248304689</v>
      </c>
    </row>
    <row r="7183" spans="2:2" ht="15.6">
      <c r="B7183" s="197">
        <v>18.016755910425893</v>
      </c>
    </row>
    <row r="7184" spans="2:2" ht="15.6">
      <c r="B7184" s="197">
        <v>18.22620125533966</v>
      </c>
    </row>
    <row r="7185" spans="2:2" ht="15.6">
      <c r="B7185" s="197">
        <v>18.124205261870323</v>
      </c>
    </row>
    <row r="7186" spans="2:2" ht="15.6">
      <c r="B7186" s="197">
        <v>17.937269449539954</v>
      </c>
    </row>
    <row r="7187" spans="2:2" ht="15.6">
      <c r="B7187" s="197">
        <v>17.982594394544293</v>
      </c>
    </row>
    <row r="7188" spans="2:2" ht="15.6">
      <c r="B7188" s="197">
        <v>18.122960476057766</v>
      </c>
    </row>
    <row r="7189" spans="2:2" ht="15.6">
      <c r="B7189" s="197">
        <v>18.068693606066986</v>
      </c>
    </row>
    <row r="7190" spans="2:2" ht="15.6">
      <c r="B7190" s="197">
        <v>18.326974492198918</v>
      </c>
    </row>
    <row r="7191" spans="2:2" ht="15.6">
      <c r="B7191" s="197">
        <v>18.211819240796391</v>
      </c>
    </row>
    <row r="7192" spans="2:2" ht="15.6">
      <c r="B7192" s="197">
        <v>17.866165077701112</v>
      </c>
    </row>
    <row r="7193" spans="2:2" ht="15.6">
      <c r="B7193" s="197">
        <v>18.465922133455724</v>
      </c>
    </row>
    <row r="7194" spans="2:2" ht="15.6">
      <c r="B7194" s="197">
        <v>17.908842729904052</v>
      </c>
    </row>
    <row r="7195" spans="2:2" ht="15.6">
      <c r="B7195" s="197">
        <v>18.085704506860949</v>
      </c>
    </row>
    <row r="7196" spans="2:2" ht="15.6">
      <c r="B7196" s="197">
        <v>18.248909311169115</v>
      </c>
    </row>
    <row r="7197" spans="2:2" ht="15.6">
      <c r="B7197" s="197">
        <v>18.228737282745108</v>
      </c>
    </row>
    <row r="7198" spans="2:2" ht="15.6">
      <c r="B7198" s="197">
        <v>17.871997507382812</v>
      </c>
    </row>
    <row r="7199" spans="2:2" ht="15.6">
      <c r="B7199" s="197">
        <v>17.905402433631426</v>
      </c>
    </row>
    <row r="7200" spans="2:2" ht="15.6">
      <c r="B7200" s="197">
        <v>18.115862448059985</v>
      </c>
    </row>
    <row r="7201" spans="2:2" ht="15.6">
      <c r="B7201" s="197">
        <v>18.190433262639285</v>
      </c>
    </row>
    <row r="7202" spans="2:2" ht="15.6">
      <c r="B7202" s="197">
        <v>17.718420805078008</v>
      </c>
    </row>
    <row r="7203" spans="2:2" ht="15.6">
      <c r="B7203" s="197">
        <v>18.019775701228895</v>
      </c>
    </row>
    <row r="7204" spans="2:2" ht="15.6">
      <c r="B7204" s="197">
        <v>18.16998347264807</v>
      </c>
    </row>
    <row r="7205" spans="2:2" ht="15.6">
      <c r="B7205" s="197">
        <v>17.657880921661086</v>
      </c>
    </row>
    <row r="7206" spans="2:2" ht="15.6">
      <c r="B7206" s="197">
        <v>17.814200980648902</v>
      </c>
    </row>
    <row r="7207" spans="2:2" ht="15.6">
      <c r="B7207" s="197">
        <v>18.161507439023122</v>
      </c>
    </row>
    <row r="7208" spans="2:2" ht="15.6">
      <c r="B7208" s="197">
        <v>18.016459803434703</v>
      </c>
    </row>
    <row r="7209" spans="2:2" ht="15.6">
      <c r="B7209" s="197">
        <v>18.276673119837305</v>
      </c>
    </row>
    <row r="7210" spans="2:2" ht="15.6">
      <c r="B7210" s="197">
        <v>18.283534658892499</v>
      </c>
    </row>
    <row r="7211" spans="2:2" ht="15.6">
      <c r="B7211" s="197">
        <v>18.171391940232496</v>
      </c>
    </row>
    <row r="7212" spans="2:2" ht="15.6">
      <c r="B7212" s="197">
        <v>17.875868496310989</v>
      </c>
    </row>
    <row r="7213" spans="2:2" ht="15.6">
      <c r="B7213" s="197">
        <v>18.25186021567043</v>
      </c>
    </row>
    <row r="7214" spans="2:2" ht="15.6">
      <c r="B7214" s="197">
        <v>18.117964956769494</v>
      </c>
    </row>
    <row r="7215" spans="2:2" ht="15.6">
      <c r="B7215" s="197">
        <v>18.179506319647508</v>
      </c>
    </row>
    <row r="7216" spans="2:2" ht="15.6">
      <c r="B7216" s="197">
        <v>18.310079227033228</v>
      </c>
    </row>
    <row r="7217" spans="2:2" ht="15.6">
      <c r="B7217" s="197">
        <v>18.016440500387009</v>
      </c>
    </row>
    <row r="7218" spans="2:2" ht="15.6">
      <c r="B7218" s="197">
        <v>18.282659112944334</v>
      </c>
    </row>
    <row r="7219" spans="2:2" ht="15.6">
      <c r="B7219" s="197">
        <v>18.58053480249977</v>
      </c>
    </row>
    <row r="7220" spans="2:2" ht="15.6">
      <c r="B7220" s="197">
        <v>18.397629498399706</v>
      </c>
    </row>
    <row r="7221" spans="2:2" ht="15.6">
      <c r="B7221" s="197">
        <v>18.123873462303123</v>
      </c>
    </row>
    <row r="7222" spans="2:2" ht="15.6">
      <c r="B7222" s="197">
        <v>17.998844224022985</v>
      </c>
    </row>
    <row r="7223" spans="2:2" ht="15.6">
      <c r="B7223" s="197">
        <v>18.653195109729694</v>
      </c>
    </row>
    <row r="7224" spans="2:2" ht="15.6">
      <c r="B7224" s="197">
        <v>18.225940320025039</v>
      </c>
    </row>
    <row r="7225" spans="2:2" ht="15.6">
      <c r="B7225" s="197">
        <v>17.771658500034167</v>
      </c>
    </row>
    <row r="7226" spans="2:2" ht="15.6">
      <c r="B7226" s="197">
        <v>17.975563311414557</v>
      </c>
    </row>
    <row r="7227" spans="2:2" ht="15.6">
      <c r="B7227" s="197">
        <v>18.059253767480577</v>
      </c>
    </row>
    <row r="7228" spans="2:2" ht="15.6">
      <c r="B7228" s="197">
        <v>18.169085607553939</v>
      </c>
    </row>
    <row r="7229" spans="2:2" ht="15.6">
      <c r="B7229" s="197">
        <v>18.275360802214387</v>
      </c>
    </row>
    <row r="7230" spans="2:2" ht="15.6">
      <c r="B7230" s="197">
        <v>17.844728328299496</v>
      </c>
    </row>
    <row r="7231" spans="2:2" ht="15.6">
      <c r="B7231" s="197">
        <v>18.13413685349958</v>
      </c>
    </row>
    <row r="7232" spans="2:2" ht="15.6">
      <c r="B7232" s="197">
        <v>18.487233743838594</v>
      </c>
    </row>
    <row r="7233" spans="2:2" ht="15.6">
      <c r="B7233" s="197">
        <v>18.188189245354778</v>
      </c>
    </row>
    <row r="7234" spans="2:2" ht="15.6">
      <c r="B7234" s="197">
        <v>18.309422085685235</v>
      </c>
    </row>
    <row r="7235" spans="2:2" ht="15.6">
      <c r="B7235" s="197">
        <v>18.247389298242943</v>
      </c>
    </row>
    <row r="7236" spans="2:2" ht="15.6">
      <c r="B7236" s="197">
        <v>18.401027582596942</v>
      </c>
    </row>
    <row r="7237" spans="2:2" ht="15.6">
      <c r="B7237" s="197">
        <v>17.881106609452704</v>
      </c>
    </row>
    <row r="7238" spans="2:2" ht="15.6">
      <c r="B7238" s="197">
        <v>18.281309578261858</v>
      </c>
    </row>
    <row r="7239" spans="2:2" ht="15.6">
      <c r="B7239" s="197">
        <v>18.32100636283624</v>
      </c>
    </row>
    <row r="7240" spans="2:2" ht="15.6">
      <c r="B7240" s="197">
        <v>18.29202878980966</v>
      </c>
    </row>
    <row r="7241" spans="2:2" ht="15.6">
      <c r="B7241" s="197">
        <v>17.988069469759115</v>
      </c>
    </row>
    <row r="7242" spans="2:2" ht="15.6">
      <c r="B7242" s="197">
        <v>18.467731836346662</v>
      </c>
    </row>
    <row r="7243" spans="2:2" ht="15.6">
      <c r="B7243" s="197">
        <v>18.416815218793257</v>
      </c>
    </row>
    <row r="7244" spans="2:2" ht="15.6">
      <c r="B7244" s="197">
        <v>18.20286227904122</v>
      </c>
    </row>
    <row r="7245" spans="2:2" ht="15.6">
      <c r="B7245" s="197">
        <v>18.298661681175741</v>
      </c>
    </row>
    <row r="7246" spans="2:2" ht="15.6">
      <c r="B7246" s="197">
        <v>17.798229151793766</v>
      </c>
    </row>
    <row r="7247" spans="2:2" ht="15.6">
      <c r="B7247" s="197">
        <v>18.328500718007763</v>
      </c>
    </row>
    <row r="7248" spans="2:2" ht="15.6">
      <c r="B7248" s="197">
        <v>18.15659409971181</v>
      </c>
    </row>
    <row r="7249" spans="2:2" ht="15.6">
      <c r="B7249" s="197">
        <v>17.883437089534446</v>
      </c>
    </row>
    <row r="7250" spans="2:2" ht="15.6">
      <c r="B7250" s="197">
        <v>17.807855045771515</v>
      </c>
    </row>
    <row r="7251" spans="2:2" ht="15.6">
      <c r="B7251" s="197">
        <v>18.378748847002729</v>
      </c>
    </row>
    <row r="7252" spans="2:2" ht="15.6">
      <c r="B7252" s="197">
        <v>18.187960464055969</v>
      </c>
    </row>
    <row r="7253" spans="2:2" ht="15.6">
      <c r="B7253" s="197">
        <v>18.11552158485528</v>
      </c>
    </row>
    <row r="7254" spans="2:2" ht="15.6">
      <c r="B7254" s="197">
        <v>18.162598892479192</v>
      </c>
    </row>
    <row r="7255" spans="2:2" ht="15.6">
      <c r="B7255" s="197">
        <v>18.203061570104307</v>
      </c>
    </row>
    <row r="7256" spans="2:2" ht="15.6">
      <c r="B7256" s="197">
        <v>18.148954151961767</v>
      </c>
    </row>
    <row r="7257" spans="2:2" ht="15.6">
      <c r="B7257" s="197">
        <v>18.024792893578816</v>
      </c>
    </row>
    <row r="7258" spans="2:2" ht="15.6">
      <c r="B7258" s="197">
        <v>18.430857018216194</v>
      </c>
    </row>
    <row r="7259" spans="2:2" ht="15.6">
      <c r="B7259" s="197">
        <v>18.278438166959027</v>
      </c>
    </row>
    <row r="7260" spans="2:2" ht="15.6">
      <c r="B7260" s="197">
        <v>18.364315099680159</v>
      </c>
    </row>
    <row r="7261" spans="2:2" ht="15.6">
      <c r="B7261" s="197">
        <v>18.148675774647195</v>
      </c>
    </row>
    <row r="7262" spans="2:2" ht="15.6">
      <c r="B7262" s="197">
        <v>17.995150605209563</v>
      </c>
    </row>
    <row r="7263" spans="2:2" ht="15.6">
      <c r="B7263" s="197">
        <v>17.940229847524009</v>
      </c>
    </row>
    <row r="7264" spans="2:2" ht="15.6">
      <c r="B7264" s="197">
        <v>18.023369646922234</v>
      </c>
    </row>
    <row r="7265" spans="2:2" ht="15.6">
      <c r="B7265" s="197">
        <v>18.388395909804633</v>
      </c>
    </row>
    <row r="7266" spans="2:2" ht="15.6">
      <c r="B7266" s="197">
        <v>18.104518949500445</v>
      </c>
    </row>
    <row r="7267" spans="2:2" ht="15.6">
      <c r="B7267" s="197">
        <v>17.928502719597351</v>
      </c>
    </row>
    <row r="7268" spans="2:2" ht="15.6">
      <c r="B7268" s="197">
        <v>18.055005497385761</v>
      </c>
    </row>
    <row r="7269" spans="2:2" ht="15.6">
      <c r="B7269" s="197">
        <v>18.358813740988449</v>
      </c>
    </row>
    <row r="7270" spans="2:2" ht="15.6">
      <c r="B7270" s="197">
        <v>18.36030911369448</v>
      </c>
    </row>
    <row r="7271" spans="2:2" ht="15.6">
      <c r="B7271" s="197">
        <v>18.185769570846372</v>
      </c>
    </row>
    <row r="7272" spans="2:2" ht="15.6">
      <c r="B7272" s="197">
        <v>18.317603513665684</v>
      </c>
    </row>
    <row r="7273" spans="2:2" ht="15.6">
      <c r="B7273" s="197">
        <v>17.843461629803542</v>
      </c>
    </row>
    <row r="7274" spans="2:2" ht="15.6">
      <c r="B7274" s="197">
        <v>18.276884629091622</v>
      </c>
    </row>
    <row r="7275" spans="2:2" ht="15.6">
      <c r="B7275" s="197">
        <v>18.332139145737681</v>
      </c>
    </row>
    <row r="7276" spans="2:2" ht="15.6">
      <c r="B7276" s="197">
        <v>18.272064838572668</v>
      </c>
    </row>
    <row r="7277" spans="2:2" ht="15.6">
      <c r="B7277" s="197">
        <v>18.171144338507549</v>
      </c>
    </row>
    <row r="7278" spans="2:2" ht="15.6">
      <c r="B7278" s="197">
        <v>18.156573393995799</v>
      </c>
    </row>
    <row r="7279" spans="2:2" ht="15.6">
      <c r="B7279" s="197">
        <v>17.94738357327515</v>
      </c>
    </row>
    <row r="7280" spans="2:2" ht="15.6">
      <c r="B7280" s="197">
        <v>18.106191027257157</v>
      </c>
    </row>
    <row r="7281" spans="2:2" ht="15.6">
      <c r="B7281" s="197">
        <v>18.261940202771978</v>
      </c>
    </row>
    <row r="7282" spans="2:2" ht="15.6">
      <c r="B7282" s="197">
        <v>17.930188966459408</v>
      </c>
    </row>
    <row r="7283" spans="2:2" ht="15.6">
      <c r="B7283" s="197">
        <v>17.769231321769659</v>
      </c>
    </row>
    <row r="7284" spans="2:2" ht="15.6">
      <c r="B7284" s="197">
        <v>18.139734637054211</v>
      </c>
    </row>
    <row r="7285" spans="2:2" ht="15.6">
      <c r="B7285" s="197">
        <v>18.419879879592134</v>
      </c>
    </row>
    <row r="7286" spans="2:2" ht="15.6">
      <c r="B7286" s="197">
        <v>18.075260399220852</v>
      </c>
    </row>
    <row r="7287" spans="2:2" ht="15.6">
      <c r="B7287" s="197">
        <v>18.172375474842799</v>
      </c>
    </row>
    <row r="7288" spans="2:2" ht="15.6">
      <c r="B7288" s="197">
        <v>17.937562709938252</v>
      </c>
    </row>
    <row r="7289" spans="2:2" ht="15.6">
      <c r="B7289" s="197">
        <v>18.276201325806145</v>
      </c>
    </row>
    <row r="7290" spans="2:2" ht="15.6">
      <c r="B7290" s="197">
        <v>17.812533397200415</v>
      </c>
    </row>
    <row r="7291" spans="2:2" ht="15.6">
      <c r="B7291" s="197">
        <v>18.056018231212406</v>
      </c>
    </row>
    <row r="7292" spans="2:2" ht="15.6">
      <c r="B7292" s="197">
        <v>18.139662317812718</v>
      </c>
    </row>
    <row r="7293" spans="2:2" ht="15.6">
      <c r="B7293" s="197">
        <v>18.114458600705664</v>
      </c>
    </row>
    <row r="7294" spans="2:2" ht="15.6">
      <c r="B7294" s="197">
        <v>17.989935845364414</v>
      </c>
    </row>
    <row r="7295" spans="2:2" ht="15.6">
      <c r="B7295" s="197">
        <v>17.866974447057014</v>
      </c>
    </row>
    <row r="7296" spans="2:2" ht="15.6">
      <c r="B7296" s="197">
        <v>17.971409471315088</v>
      </c>
    </row>
    <row r="7297" spans="2:2" ht="15.6">
      <c r="B7297" s="197">
        <v>18.419842704523543</v>
      </c>
    </row>
    <row r="7298" spans="2:2" ht="15.6">
      <c r="B7298" s="197">
        <v>18.014609570818525</v>
      </c>
    </row>
    <row r="7299" spans="2:2" ht="15.6">
      <c r="B7299" s="197">
        <v>18.080269307866914</v>
      </c>
    </row>
    <row r="7300" spans="2:2" ht="15.6">
      <c r="B7300" s="197">
        <v>18.11244820160892</v>
      </c>
    </row>
    <row r="7301" spans="2:2" ht="15.6">
      <c r="B7301" s="197">
        <v>17.862128831178847</v>
      </c>
    </row>
    <row r="7302" spans="2:2" ht="15.6">
      <c r="B7302" s="197">
        <v>18.051728100189823</v>
      </c>
    </row>
    <row r="7303" spans="2:2" ht="15.6">
      <c r="B7303" s="197">
        <v>17.990213119979657</v>
      </c>
    </row>
    <row r="7304" spans="2:2" ht="15.6">
      <c r="B7304" s="197">
        <v>17.983788297164747</v>
      </c>
    </row>
    <row r="7305" spans="2:2" ht="15.6">
      <c r="B7305" s="197">
        <v>18.277647070183292</v>
      </c>
    </row>
    <row r="7306" spans="2:2" ht="15.6">
      <c r="B7306" s="197">
        <v>17.960008427013495</v>
      </c>
    </row>
    <row r="7307" spans="2:2" ht="15.6">
      <c r="B7307" s="197">
        <v>18.166983235892808</v>
      </c>
    </row>
    <row r="7308" spans="2:2" ht="15.6">
      <c r="B7308" s="197">
        <v>17.949469146759974</v>
      </c>
    </row>
    <row r="7309" spans="2:2" ht="15.6">
      <c r="B7309" s="197">
        <v>18.133066024983059</v>
      </c>
    </row>
    <row r="7310" spans="2:2" ht="15.6">
      <c r="B7310" s="197">
        <v>18.530460140194361</v>
      </c>
    </row>
    <row r="7311" spans="2:2" ht="15.6">
      <c r="B7311" s="197">
        <v>18.57111425652225</v>
      </c>
    </row>
    <row r="7312" spans="2:2" ht="15.6">
      <c r="B7312" s="197">
        <v>18.168523703355479</v>
      </c>
    </row>
    <row r="7313" spans="2:2" ht="15.6">
      <c r="B7313" s="197">
        <v>18.161489910261789</v>
      </c>
    </row>
    <row r="7314" spans="2:2" ht="15.6">
      <c r="B7314" s="197">
        <v>18.107553245000883</v>
      </c>
    </row>
    <row r="7315" spans="2:2" ht="15.6">
      <c r="B7315" s="197">
        <v>18.294538880372325</v>
      </c>
    </row>
    <row r="7316" spans="2:2" ht="15.6">
      <c r="B7316" s="197">
        <v>18.392174002235105</v>
      </c>
    </row>
    <row r="7317" spans="2:2" ht="15.6">
      <c r="B7317" s="197">
        <v>18.07087930753271</v>
      </c>
    </row>
    <row r="7318" spans="2:2" ht="15.6">
      <c r="B7318" s="197">
        <v>18.203373814506648</v>
      </c>
    </row>
    <row r="7319" spans="2:2" ht="15.6">
      <c r="B7319" s="197">
        <v>17.990021498000285</v>
      </c>
    </row>
    <row r="7320" spans="2:2" ht="15.6">
      <c r="B7320" s="197">
        <v>18.103443069682893</v>
      </c>
    </row>
    <row r="7321" spans="2:2" ht="15.6">
      <c r="B7321" s="197">
        <v>18.235750226475922</v>
      </c>
    </row>
    <row r="7322" spans="2:2" ht="15.6">
      <c r="B7322" s="197">
        <v>18.363606021391853</v>
      </c>
    </row>
    <row r="7323" spans="2:2" ht="15.6">
      <c r="B7323" s="197">
        <v>18.351942505550657</v>
      </c>
    </row>
    <row r="7324" spans="2:2" ht="15.6">
      <c r="B7324" s="197">
        <v>18.053386787690165</v>
      </c>
    </row>
    <row r="7325" spans="2:2" ht="15.6">
      <c r="B7325" s="197">
        <v>17.973513062411893</v>
      </c>
    </row>
    <row r="7326" spans="2:2" ht="15.6">
      <c r="B7326" s="197">
        <v>18.176464744918597</v>
      </c>
    </row>
    <row r="7327" spans="2:2" ht="15.6">
      <c r="B7327" s="197">
        <v>18.28306132273396</v>
      </c>
    </row>
    <row r="7328" spans="2:2" ht="15.6">
      <c r="B7328" s="197">
        <v>17.97306952396141</v>
      </c>
    </row>
    <row r="7329" spans="2:2" ht="15.6">
      <c r="B7329" s="197">
        <v>18.040928076488136</v>
      </c>
    </row>
    <row r="7330" spans="2:2" ht="15.6">
      <c r="B7330" s="197">
        <v>18.003036989421116</v>
      </c>
    </row>
    <row r="7331" spans="2:2" ht="15.6">
      <c r="B7331" s="197">
        <v>18.313852694362556</v>
      </c>
    </row>
    <row r="7332" spans="2:2" ht="15.6">
      <c r="B7332" s="197">
        <v>18.394565403427919</v>
      </c>
    </row>
    <row r="7333" spans="2:2" ht="15.6">
      <c r="B7333" s="197">
        <v>18.224834711137046</v>
      </c>
    </row>
    <row r="7334" spans="2:2" ht="15.6">
      <c r="B7334" s="197">
        <v>18.198495349656227</v>
      </c>
    </row>
    <row r="7335" spans="2:2" ht="15.6">
      <c r="B7335" s="197">
        <v>17.939049924747447</v>
      </c>
    </row>
    <row r="7336" spans="2:2" ht="15.6">
      <c r="B7336" s="197">
        <v>17.895165642766468</v>
      </c>
    </row>
    <row r="7337" spans="2:2" ht="15.6">
      <c r="B7337" s="197">
        <v>18.425641052406363</v>
      </c>
    </row>
    <row r="7338" spans="2:2" ht="15.6">
      <c r="B7338" s="197">
        <v>18.213611991272249</v>
      </c>
    </row>
    <row r="7339" spans="2:2" ht="15.6">
      <c r="B7339" s="197">
        <v>18.052503671966093</v>
      </c>
    </row>
    <row r="7340" spans="2:2" ht="15.6">
      <c r="B7340" s="197">
        <v>18.280569504491176</v>
      </c>
    </row>
    <row r="7341" spans="2:2" ht="15.6">
      <c r="B7341" s="197">
        <v>17.968004726429033</v>
      </c>
    </row>
    <row r="7342" spans="2:2" ht="15.6">
      <c r="B7342" s="197">
        <v>18.126940983892261</v>
      </c>
    </row>
    <row r="7343" spans="2:2" ht="15.6">
      <c r="B7343" s="197">
        <v>18.128755140985607</v>
      </c>
    </row>
    <row r="7344" spans="2:2" ht="15.6">
      <c r="B7344" s="197">
        <v>18.148058254368589</v>
      </c>
    </row>
    <row r="7345" spans="2:2" ht="15.6">
      <c r="B7345" s="197">
        <v>18.374928035600654</v>
      </c>
    </row>
    <row r="7346" spans="2:2" ht="15.6">
      <c r="B7346" s="197">
        <v>18.21120553011313</v>
      </c>
    </row>
    <row r="7347" spans="2:2" ht="15.6">
      <c r="B7347" s="197">
        <v>18.398869249791026</v>
      </c>
    </row>
    <row r="7348" spans="2:2" ht="15.6">
      <c r="B7348" s="197">
        <v>18.257045503712806</v>
      </c>
    </row>
    <row r="7349" spans="2:2" ht="15.6">
      <c r="B7349" s="197">
        <v>18.110156554590841</v>
      </c>
    </row>
    <row r="7350" spans="2:2" ht="15.6">
      <c r="B7350" s="197">
        <v>18.168204282088666</v>
      </c>
    </row>
    <row r="7351" spans="2:2" ht="15.6">
      <c r="B7351" s="197">
        <v>18.099213643210831</v>
      </c>
    </row>
    <row r="7352" spans="2:2" ht="15.6">
      <c r="B7352" s="197">
        <v>18.164557773964098</v>
      </c>
    </row>
    <row r="7353" spans="2:2" ht="15.6">
      <c r="B7353" s="197">
        <v>18.25223548299665</v>
      </c>
    </row>
    <row r="7354" spans="2:2" ht="15.6">
      <c r="B7354" s="197">
        <v>18.008734645760097</v>
      </c>
    </row>
    <row r="7355" spans="2:2" ht="15.6">
      <c r="B7355" s="197">
        <v>17.825772905548433</v>
      </c>
    </row>
    <row r="7356" spans="2:2" ht="15.6">
      <c r="B7356" s="197">
        <v>18.265707944623934</v>
      </c>
    </row>
    <row r="7357" spans="2:2" ht="15.6">
      <c r="B7357" s="197">
        <v>18.047186813900474</v>
      </c>
    </row>
    <row r="7358" spans="2:2" ht="15.6">
      <c r="B7358" s="197">
        <v>17.779561342802687</v>
      </c>
    </row>
    <row r="7359" spans="2:2" ht="15.6">
      <c r="B7359" s="197">
        <v>18.039769196653857</v>
      </c>
    </row>
    <row r="7360" spans="2:2" ht="15.6">
      <c r="B7360" s="197">
        <v>18.020965489284144</v>
      </c>
    </row>
    <row r="7361" spans="2:2" ht="15.6">
      <c r="B7361" s="197">
        <v>18.124044680885845</v>
      </c>
    </row>
    <row r="7362" spans="2:2" ht="15.6">
      <c r="B7362" s="197">
        <v>18.435157050536116</v>
      </c>
    </row>
    <row r="7363" spans="2:2" ht="15.6">
      <c r="B7363" s="197">
        <v>18.16588391264013</v>
      </c>
    </row>
    <row r="7364" spans="2:2" ht="15.6">
      <c r="B7364" s="197">
        <v>18.081345571096993</v>
      </c>
    </row>
    <row r="7365" spans="2:2" ht="15.6">
      <c r="B7365" s="197">
        <v>18.524634712620731</v>
      </c>
    </row>
    <row r="7366" spans="2:2" ht="15.6">
      <c r="B7366" s="197">
        <v>18.116437870113995</v>
      </c>
    </row>
    <row r="7367" spans="2:2" ht="15.6">
      <c r="B7367" s="197">
        <v>17.913964501475615</v>
      </c>
    </row>
    <row r="7368" spans="2:2" ht="15.6">
      <c r="B7368" s="197">
        <v>18.952945282230857</v>
      </c>
    </row>
    <row r="7369" spans="2:2" ht="15.6">
      <c r="B7369" s="197">
        <v>18.103172367461006</v>
      </c>
    </row>
    <row r="7370" spans="2:2" ht="15.6">
      <c r="B7370" s="197">
        <v>18.259976501452108</v>
      </c>
    </row>
    <row r="7371" spans="2:2" ht="15.6">
      <c r="B7371" s="197">
        <v>17.874712986957803</v>
      </c>
    </row>
    <row r="7372" spans="2:2" ht="15.6">
      <c r="B7372" s="197">
        <v>18.209513722685855</v>
      </c>
    </row>
    <row r="7373" spans="2:2" ht="15.6">
      <c r="B7373" s="197">
        <v>18.157216305831987</v>
      </c>
    </row>
    <row r="7374" spans="2:2" ht="15.6">
      <c r="B7374" s="197">
        <v>18.192064497719414</v>
      </c>
    </row>
    <row r="7375" spans="2:2" ht="15.6">
      <c r="B7375" s="197">
        <v>18.090644740339226</v>
      </c>
    </row>
    <row r="7376" spans="2:2" ht="15.6">
      <c r="B7376" s="197">
        <v>18.291129752921332</v>
      </c>
    </row>
    <row r="7377" spans="2:2" ht="15.6">
      <c r="B7377" s="197">
        <v>18.212068959225302</v>
      </c>
    </row>
    <row r="7378" spans="2:2" ht="15.6">
      <c r="B7378" s="197">
        <v>17.784770839189331</v>
      </c>
    </row>
    <row r="7379" spans="2:2" ht="15.6">
      <c r="B7379" s="197">
        <v>18.017571778536524</v>
      </c>
    </row>
    <row r="7380" spans="2:2" ht="15.6">
      <c r="B7380" s="197">
        <v>18.127637719223561</v>
      </c>
    </row>
    <row r="7381" spans="2:2" ht="15.6">
      <c r="B7381" s="197">
        <v>18.224058752628977</v>
      </c>
    </row>
    <row r="7382" spans="2:2" ht="15.6">
      <c r="B7382" s="197">
        <v>18.035187323678802</v>
      </c>
    </row>
    <row r="7383" spans="2:2" ht="15.6">
      <c r="B7383" s="197">
        <v>18.428924866561196</v>
      </c>
    </row>
    <row r="7384" spans="2:2" ht="15.6">
      <c r="B7384" s="197">
        <v>17.955238145137312</v>
      </c>
    </row>
    <row r="7385" spans="2:2" ht="15.6">
      <c r="B7385" s="197">
        <v>18.251779447681489</v>
      </c>
    </row>
    <row r="7386" spans="2:2" ht="15.6">
      <c r="B7386" s="197">
        <v>18.243648159465323</v>
      </c>
    </row>
    <row r="7387" spans="2:2" ht="15.6">
      <c r="B7387" s="197">
        <v>18.270419831780504</v>
      </c>
    </row>
    <row r="7388" spans="2:2" ht="15.6">
      <c r="B7388" s="197">
        <v>17.997094186098487</v>
      </c>
    </row>
    <row r="7389" spans="2:2" ht="15.6">
      <c r="B7389" s="197">
        <v>18.542005382206451</v>
      </c>
    </row>
    <row r="7390" spans="2:2" ht="15.6">
      <c r="B7390" s="197">
        <v>18.251973851996389</v>
      </c>
    </row>
    <row r="7391" spans="2:2" ht="15.6">
      <c r="B7391" s="197">
        <v>18.008905666495998</v>
      </c>
    </row>
    <row r="7392" spans="2:2" ht="15.6">
      <c r="B7392" s="197">
        <v>18.601588831544618</v>
      </c>
    </row>
    <row r="7393" spans="2:2" ht="15.6">
      <c r="B7393" s="197">
        <v>18.185157972771769</v>
      </c>
    </row>
    <row r="7394" spans="2:2" ht="15.6">
      <c r="B7394" s="197">
        <v>18.037649127921881</v>
      </c>
    </row>
    <row r="7395" spans="2:2" ht="15.6">
      <c r="B7395" s="197">
        <v>17.921632309183678</v>
      </c>
    </row>
    <row r="7396" spans="2:2" ht="15.6">
      <c r="B7396" s="197">
        <v>18.495944695815119</v>
      </c>
    </row>
    <row r="7397" spans="2:2" ht="15.6">
      <c r="B7397" s="197">
        <v>18.39429073217137</v>
      </c>
    </row>
    <row r="7398" spans="2:2" ht="15.6">
      <c r="B7398" s="197">
        <v>18.4203694082167</v>
      </c>
    </row>
    <row r="7399" spans="2:2" ht="15.6">
      <c r="B7399" s="197">
        <v>18.335276499261685</v>
      </c>
    </row>
    <row r="7400" spans="2:2" ht="15.6">
      <c r="B7400" s="197">
        <v>18.104300828174132</v>
      </c>
    </row>
    <row r="7401" spans="2:2" ht="15.6">
      <c r="B7401" s="197">
        <v>18.223567393612935</v>
      </c>
    </row>
    <row r="7402" spans="2:2" ht="15.6">
      <c r="B7402" s="197">
        <v>18.007485494170886</v>
      </c>
    </row>
    <row r="7403" spans="2:2" ht="15.6">
      <c r="B7403" s="197">
        <v>18.219397459982481</v>
      </c>
    </row>
    <row r="7404" spans="2:2" ht="15.6">
      <c r="B7404" s="197">
        <v>18.121321452761094</v>
      </c>
    </row>
    <row r="7405" spans="2:2" ht="15.6">
      <c r="B7405" s="197">
        <v>17.966845749611242</v>
      </c>
    </row>
    <row r="7406" spans="2:2" ht="15.6">
      <c r="B7406" s="197">
        <v>18.130472154806512</v>
      </c>
    </row>
    <row r="7407" spans="2:2" ht="15.6">
      <c r="B7407" s="197">
        <v>17.948581932874394</v>
      </c>
    </row>
    <row r="7408" spans="2:2" ht="15.6">
      <c r="B7408" s="197">
        <v>17.761996502302182</v>
      </c>
    </row>
    <row r="7409" spans="2:2" ht="15.6">
      <c r="B7409" s="197">
        <v>17.95042281661447</v>
      </c>
    </row>
    <row r="7410" spans="2:2" ht="15.6">
      <c r="B7410" s="197">
        <v>18.158617324422305</v>
      </c>
    </row>
    <row r="7411" spans="2:2" ht="15.6">
      <c r="B7411" s="197">
        <v>18.14531406792954</v>
      </c>
    </row>
    <row r="7412" spans="2:2" ht="15.6">
      <c r="B7412" s="197">
        <v>17.89326530760502</v>
      </c>
    </row>
    <row r="7413" spans="2:2" ht="15.6">
      <c r="B7413" s="197">
        <v>18.121301125474854</v>
      </c>
    </row>
    <row r="7414" spans="2:2" ht="15.6">
      <c r="B7414" s="197">
        <v>17.873270562247434</v>
      </c>
    </row>
    <row r="7415" spans="2:2" ht="15.6">
      <c r="B7415" s="197">
        <v>18.292894965073437</v>
      </c>
    </row>
    <row r="7416" spans="2:2" ht="15.6">
      <c r="B7416" s="197">
        <v>18.492809949997739</v>
      </c>
    </row>
    <row r="7417" spans="2:2" ht="15.6">
      <c r="B7417" s="197">
        <v>18.34708293751719</v>
      </c>
    </row>
    <row r="7418" spans="2:2" ht="15.6">
      <c r="B7418" s="197">
        <v>18.162762391017061</v>
      </c>
    </row>
    <row r="7419" spans="2:2" ht="15.6">
      <c r="B7419" s="197">
        <v>18.218478221069041</v>
      </c>
    </row>
    <row r="7420" spans="2:2" ht="15.6">
      <c r="B7420" s="197">
        <v>18.147848276229279</v>
      </c>
    </row>
    <row r="7421" spans="2:2" ht="15.6">
      <c r="B7421" s="197">
        <v>18.286905363155949</v>
      </c>
    </row>
    <row r="7422" spans="2:2" ht="15.6">
      <c r="B7422" s="197">
        <v>18.029131756946789</v>
      </c>
    </row>
    <row r="7423" spans="2:2" ht="15.6">
      <c r="B7423" s="197">
        <v>18.466531324606319</v>
      </c>
    </row>
    <row r="7424" spans="2:2" ht="15.6">
      <c r="B7424" s="197">
        <v>18.193033965545805</v>
      </c>
    </row>
    <row r="7425" spans="2:2" ht="15.6">
      <c r="B7425" s="197">
        <v>18.233885344496489</v>
      </c>
    </row>
    <row r="7426" spans="2:2" ht="15.6">
      <c r="B7426" s="197">
        <v>18.206917296212076</v>
      </c>
    </row>
    <row r="7427" spans="2:2" ht="15.6">
      <c r="B7427" s="197">
        <v>18.198291204283873</v>
      </c>
    </row>
    <row r="7428" spans="2:2" ht="15.6">
      <c r="B7428" s="197">
        <v>18.093797772628285</v>
      </c>
    </row>
    <row r="7429" spans="2:2" ht="15.6">
      <c r="B7429" s="197">
        <v>17.961286315230147</v>
      </c>
    </row>
    <row r="7430" spans="2:2" ht="15.6">
      <c r="B7430" s="197">
        <v>18.184901083396962</v>
      </c>
    </row>
    <row r="7431" spans="2:2" ht="15.6">
      <c r="B7431" s="197">
        <v>18.122720722959894</v>
      </c>
    </row>
    <row r="7432" spans="2:2" ht="15.6">
      <c r="B7432" s="197">
        <v>18.025923924608339</v>
      </c>
    </row>
    <row r="7433" spans="2:2" ht="15.6">
      <c r="B7433" s="197">
        <v>17.983583480558924</v>
      </c>
    </row>
    <row r="7434" spans="2:2" ht="15.6">
      <c r="B7434" s="197">
        <v>18.068417671305511</v>
      </c>
    </row>
    <row r="7435" spans="2:2" ht="15.6">
      <c r="B7435" s="197">
        <v>18.312000607777353</v>
      </c>
    </row>
    <row r="7436" spans="2:2" ht="15.6">
      <c r="B7436" s="197">
        <v>18.475325971233548</v>
      </c>
    </row>
    <row r="7437" spans="2:2" ht="15.6">
      <c r="B7437" s="197">
        <v>17.893118501394053</v>
      </c>
    </row>
    <row r="7438" spans="2:2" ht="15.6">
      <c r="B7438" s="197">
        <v>17.857256524759908</v>
      </c>
    </row>
    <row r="7439" spans="2:2" ht="15.6">
      <c r="B7439" s="197">
        <v>18.25686367662977</v>
      </c>
    </row>
    <row r="7440" spans="2:2" ht="15.6">
      <c r="B7440" s="197">
        <v>18.365225119296895</v>
      </c>
    </row>
    <row r="7441" spans="2:2" ht="15.6">
      <c r="B7441" s="197">
        <v>18.113064561603274</v>
      </c>
    </row>
    <row r="7442" spans="2:2" ht="15.6">
      <c r="B7442" s="197">
        <v>18.133305350114338</v>
      </c>
    </row>
    <row r="7443" spans="2:2" ht="15.6">
      <c r="B7443" s="197">
        <v>18.003547357210714</v>
      </c>
    </row>
    <row r="7444" spans="2:2" ht="15.6">
      <c r="B7444" s="197">
        <v>18.460994409457182</v>
      </c>
    </row>
    <row r="7445" spans="2:2" ht="15.6">
      <c r="B7445" s="197">
        <v>18.23416268693034</v>
      </c>
    </row>
    <row r="7446" spans="2:2" ht="15.6">
      <c r="B7446" s="197">
        <v>17.783285701628031</v>
      </c>
    </row>
    <row r="7447" spans="2:2" ht="15.6">
      <c r="B7447" s="197">
        <v>18.261083254055343</v>
      </c>
    </row>
    <row r="7448" spans="2:2" ht="15.6">
      <c r="B7448" s="197">
        <v>18.089919845060503</v>
      </c>
    </row>
    <row r="7449" spans="2:2" ht="15.6">
      <c r="B7449" s="197">
        <v>17.968105858650915</v>
      </c>
    </row>
    <row r="7450" spans="2:2" ht="15.6">
      <c r="B7450" s="197">
        <v>18.346464400573293</v>
      </c>
    </row>
    <row r="7451" spans="2:2" ht="15.6">
      <c r="B7451" s="197">
        <v>17.964195544185976</v>
      </c>
    </row>
    <row r="7452" spans="2:2" ht="15.6">
      <c r="B7452" s="197">
        <v>17.641104311872819</v>
      </c>
    </row>
    <row r="7453" spans="2:2" ht="15.6">
      <c r="B7453" s="197">
        <v>18.368044770193805</v>
      </c>
    </row>
    <row r="7454" spans="2:2" ht="15.6">
      <c r="B7454" s="197">
        <v>17.983478089025219</v>
      </c>
    </row>
    <row r="7455" spans="2:2" ht="15.6">
      <c r="B7455" s="197">
        <v>17.963781659042372</v>
      </c>
    </row>
    <row r="7456" spans="2:2" ht="15.6">
      <c r="B7456" s="197">
        <v>18.237758837021019</v>
      </c>
    </row>
    <row r="7457" spans="2:2" ht="15.6">
      <c r="B7457" s="197">
        <v>17.774875797083904</v>
      </c>
    </row>
    <row r="7458" spans="2:2" ht="15.6">
      <c r="B7458" s="197">
        <v>18.243522474877338</v>
      </c>
    </row>
    <row r="7459" spans="2:2" ht="15.6">
      <c r="B7459" s="197">
        <v>17.590056196018711</v>
      </c>
    </row>
    <row r="7460" spans="2:2" ht="15.6">
      <c r="B7460" s="197">
        <v>17.837561146109852</v>
      </c>
    </row>
    <row r="7461" spans="2:2" ht="15.6">
      <c r="B7461" s="197">
        <v>17.790254306974283</v>
      </c>
    </row>
    <row r="7462" spans="2:2" ht="15.6">
      <c r="B7462" s="197">
        <v>18.247983989220788</v>
      </c>
    </row>
    <row r="7463" spans="2:2" ht="15.6">
      <c r="B7463" s="197">
        <v>18.00432906263152</v>
      </c>
    </row>
    <row r="7464" spans="2:2" ht="15.6">
      <c r="B7464" s="197">
        <v>18.162543431060513</v>
      </c>
    </row>
    <row r="7465" spans="2:2" ht="15.6">
      <c r="B7465" s="197">
        <v>18.228468685244604</v>
      </c>
    </row>
    <row r="7466" spans="2:2" ht="15.6">
      <c r="B7466" s="197">
        <v>18.423106702034936</v>
      </c>
    </row>
    <row r="7467" spans="2:2" ht="15.6">
      <c r="B7467" s="197">
        <v>17.917393700126034</v>
      </c>
    </row>
    <row r="7468" spans="2:2" ht="15.6">
      <c r="B7468" s="197">
        <v>17.948131538648795</v>
      </c>
    </row>
    <row r="7469" spans="2:2" ht="15.6">
      <c r="B7469" s="197">
        <v>18.236663609611846</v>
      </c>
    </row>
    <row r="7470" spans="2:2" ht="15.6">
      <c r="B7470" s="197">
        <v>17.962194270741261</v>
      </c>
    </row>
    <row r="7471" spans="2:2" ht="15.6">
      <c r="B7471" s="197">
        <v>17.934961854413082</v>
      </c>
    </row>
    <row r="7472" spans="2:2" ht="15.6">
      <c r="B7472" s="197">
        <v>18.248339266840684</v>
      </c>
    </row>
    <row r="7473" spans="2:2" ht="15.6">
      <c r="B7473" s="197">
        <v>18.078786049072562</v>
      </c>
    </row>
    <row r="7474" spans="2:2" ht="15.6">
      <c r="B7474" s="197">
        <v>18.168979035097365</v>
      </c>
    </row>
    <row r="7475" spans="2:2" ht="15.6">
      <c r="B7475" s="197">
        <v>17.984767867128415</v>
      </c>
    </row>
    <row r="7476" spans="2:2" ht="15.6">
      <c r="B7476" s="197">
        <v>18.124248531741664</v>
      </c>
    </row>
    <row r="7477" spans="2:2" ht="15.6">
      <c r="B7477" s="197">
        <v>18.110067016732728</v>
      </c>
    </row>
    <row r="7478" spans="2:2" ht="15.6">
      <c r="B7478" s="197">
        <v>17.573810910221763</v>
      </c>
    </row>
    <row r="7479" spans="2:2" ht="15.6">
      <c r="B7479" s="197">
        <v>17.924142093696364</v>
      </c>
    </row>
    <row r="7480" spans="2:2" ht="15.6">
      <c r="B7480" s="197">
        <v>18.155593722408028</v>
      </c>
    </row>
    <row r="7481" spans="2:2" ht="15.6">
      <c r="B7481" s="197">
        <v>18.000981936840251</v>
      </c>
    </row>
    <row r="7482" spans="2:2" ht="15.6">
      <c r="B7482" s="197">
        <v>17.959377008609401</v>
      </c>
    </row>
    <row r="7483" spans="2:2" ht="15.6">
      <c r="B7483" s="197">
        <v>18.195164087116215</v>
      </c>
    </row>
    <row r="7484" spans="2:2" ht="15.6">
      <c r="B7484" s="197">
        <v>18.147036877439142</v>
      </c>
    </row>
    <row r="7485" spans="2:2" ht="15.6">
      <c r="B7485" s="197">
        <v>17.945947702771793</v>
      </c>
    </row>
    <row r="7486" spans="2:2" ht="15.6">
      <c r="B7486" s="197">
        <v>18.439547860314878</v>
      </c>
    </row>
    <row r="7487" spans="2:2" ht="15.6">
      <c r="B7487" s="197">
        <v>18.553038345872356</v>
      </c>
    </row>
    <row r="7488" spans="2:2" ht="15.6">
      <c r="B7488" s="197">
        <v>18.122735021715467</v>
      </c>
    </row>
    <row r="7489" spans="2:2" ht="15.6">
      <c r="B7489" s="197">
        <v>18.435500429028242</v>
      </c>
    </row>
    <row r="7490" spans="2:2" ht="15.6">
      <c r="B7490" s="197">
        <v>18.701567284955047</v>
      </c>
    </row>
    <row r="7491" spans="2:2" ht="15.6">
      <c r="B7491" s="197">
        <v>18.570732345263785</v>
      </c>
    </row>
    <row r="7492" spans="2:2" ht="15.6">
      <c r="B7492" s="197">
        <v>18.383383177433338</v>
      </c>
    </row>
    <row r="7493" spans="2:2" ht="15.6">
      <c r="B7493" s="197">
        <v>18.282479684424509</v>
      </c>
    </row>
    <row r="7494" spans="2:2" ht="15.6">
      <c r="B7494" s="197">
        <v>18.082598853386862</v>
      </c>
    </row>
    <row r="7495" spans="2:2" ht="15.6">
      <c r="B7495" s="197">
        <v>18.100023378451219</v>
      </c>
    </row>
    <row r="7496" spans="2:2" ht="15.6">
      <c r="B7496" s="197">
        <v>17.732227920867636</v>
      </c>
    </row>
    <row r="7497" spans="2:2" ht="15.6">
      <c r="B7497" s="197">
        <v>18.065016748002826</v>
      </c>
    </row>
    <row r="7498" spans="2:2" ht="15.6">
      <c r="B7498" s="197">
        <v>17.92408550606547</v>
      </c>
    </row>
    <row r="7499" spans="2:2" ht="15.6">
      <c r="B7499" s="197">
        <v>18.083744927974106</v>
      </c>
    </row>
    <row r="7500" spans="2:2" ht="15.6">
      <c r="B7500" s="197">
        <v>18.101111631128138</v>
      </c>
    </row>
    <row r="7501" spans="2:2" ht="15.6">
      <c r="B7501" s="197">
        <v>17.889459032925139</v>
      </c>
    </row>
    <row r="7502" spans="2:2" ht="15.6">
      <c r="B7502" s="197">
        <v>18.077657238378308</v>
      </c>
    </row>
    <row r="7503" spans="2:2" ht="15.6">
      <c r="B7503" s="197">
        <v>18.097634044177738</v>
      </c>
    </row>
    <row r="7504" spans="2:2" ht="15.6">
      <c r="B7504" s="197">
        <v>17.701594359225446</v>
      </c>
    </row>
    <row r="7505" spans="2:2" ht="15.6">
      <c r="B7505" s="197">
        <v>17.872136887623782</v>
      </c>
    </row>
    <row r="7506" spans="2:2" ht="15.6">
      <c r="B7506" s="197">
        <v>18.00027956000821</v>
      </c>
    </row>
    <row r="7507" spans="2:2" ht="15.6">
      <c r="B7507" s="197">
        <v>18.551955824942436</v>
      </c>
    </row>
    <row r="7508" spans="2:2" ht="15.6">
      <c r="B7508" s="197">
        <v>18.146669357017508</v>
      </c>
    </row>
    <row r="7509" spans="2:2" ht="15.6">
      <c r="B7509" s="197">
        <v>17.876001011322089</v>
      </c>
    </row>
    <row r="7510" spans="2:2" ht="15.6">
      <c r="B7510" s="197">
        <v>18.030098684915096</v>
      </c>
    </row>
    <row r="7511" spans="2:2" ht="15.6">
      <c r="B7511" s="197">
        <v>18.58198151718992</v>
      </c>
    </row>
    <row r="7512" spans="2:2" ht="15.6">
      <c r="B7512" s="197">
        <v>18.357543367000325</v>
      </c>
    </row>
    <row r="7513" spans="2:2" ht="15.6">
      <c r="B7513" s="197">
        <v>17.890777528584316</v>
      </c>
    </row>
    <row r="7514" spans="2:2" ht="15.6">
      <c r="B7514" s="197">
        <v>18.016176995126095</v>
      </c>
    </row>
    <row r="7515" spans="2:2" ht="15.6">
      <c r="B7515" s="197">
        <v>18.706994714846445</v>
      </c>
    </row>
    <row r="7516" spans="2:2" ht="15.6">
      <c r="B7516" s="197">
        <v>18.167361356382074</v>
      </c>
    </row>
    <row r="7517" spans="2:2" ht="15.6">
      <c r="B7517" s="197">
        <v>18.504681255363209</v>
      </c>
    </row>
    <row r="7518" spans="2:2" ht="15.6">
      <c r="B7518" s="197">
        <v>17.975290661919068</v>
      </c>
    </row>
    <row r="7519" spans="2:2" ht="15.6">
      <c r="B7519" s="197">
        <v>18.458665760124386</v>
      </c>
    </row>
    <row r="7520" spans="2:2" ht="15.6">
      <c r="B7520" s="197">
        <v>18.061882672347242</v>
      </c>
    </row>
    <row r="7521" spans="2:2" ht="15.6">
      <c r="B7521" s="197">
        <v>17.967935071596809</v>
      </c>
    </row>
    <row r="7522" spans="2:2" ht="15.6">
      <c r="B7522" s="197">
        <v>18.478793543524056</v>
      </c>
    </row>
    <row r="7523" spans="2:2" ht="15.6">
      <c r="B7523" s="197">
        <v>18.051698658630869</v>
      </c>
    </row>
    <row r="7524" spans="2:2" ht="15.6">
      <c r="B7524" s="197">
        <v>17.879492219189572</v>
      </c>
    </row>
    <row r="7525" spans="2:2" ht="15.6">
      <c r="B7525" s="197">
        <v>18.106428055603487</v>
      </c>
    </row>
    <row r="7526" spans="2:2" ht="15.6">
      <c r="B7526" s="197">
        <v>18.38038242486245</v>
      </c>
    </row>
    <row r="7527" spans="2:2" ht="15.6">
      <c r="B7527" s="197">
        <v>18.275476797983615</v>
      </c>
    </row>
    <row r="7528" spans="2:2" ht="15.6">
      <c r="B7528" s="197">
        <v>17.813530660207224</v>
      </c>
    </row>
    <row r="7529" spans="2:2" ht="15.6">
      <c r="B7529" s="197">
        <v>18.387258042759289</v>
      </c>
    </row>
    <row r="7530" spans="2:2" ht="15.6">
      <c r="B7530" s="197">
        <v>18.269884740091992</v>
      </c>
    </row>
    <row r="7531" spans="2:2" ht="15.6">
      <c r="B7531" s="197">
        <v>17.876767320263788</v>
      </c>
    </row>
    <row r="7532" spans="2:2" ht="15.6">
      <c r="B7532" s="197">
        <v>17.966420509310467</v>
      </c>
    </row>
    <row r="7533" spans="2:2" ht="15.6">
      <c r="B7533" s="197">
        <v>18.878638662928594</v>
      </c>
    </row>
    <row r="7534" spans="2:2" ht="15.6">
      <c r="B7534" s="197">
        <v>18.298674576565073</v>
      </c>
    </row>
    <row r="7535" spans="2:2" ht="15.6">
      <c r="B7535" s="197">
        <v>18.334805517958653</v>
      </c>
    </row>
    <row r="7536" spans="2:2" ht="15.6">
      <c r="B7536" s="197">
        <v>17.871762987576254</v>
      </c>
    </row>
    <row r="7537" spans="2:2" ht="15.6">
      <c r="B7537" s="197">
        <v>18.15263534081086</v>
      </c>
    </row>
    <row r="7538" spans="2:2" ht="15.6">
      <c r="B7538" s="197">
        <v>18.338265205651673</v>
      </c>
    </row>
    <row r="7539" spans="2:2" ht="15.6">
      <c r="B7539" s="197">
        <v>17.997592044313841</v>
      </c>
    </row>
    <row r="7540" spans="2:2" ht="15.6">
      <c r="B7540" s="197">
        <v>18.079567292500954</v>
      </c>
    </row>
    <row r="7541" spans="2:2" ht="15.6">
      <c r="B7541" s="197">
        <v>18.257052961932636</v>
      </c>
    </row>
    <row r="7542" spans="2:2" ht="15.6">
      <c r="B7542" s="197">
        <v>18.123808942188372</v>
      </c>
    </row>
    <row r="7543" spans="2:2" ht="15.6">
      <c r="B7543" s="197">
        <v>18.378528425453176</v>
      </c>
    </row>
    <row r="7544" spans="2:2" ht="15.6">
      <c r="B7544" s="197">
        <v>18.016582594531016</v>
      </c>
    </row>
    <row r="7545" spans="2:2" ht="15.6">
      <c r="B7545" s="197">
        <v>18.053471736317142</v>
      </c>
    </row>
    <row r="7546" spans="2:2" ht="15.6">
      <c r="B7546" s="197">
        <v>18.203183374323448</v>
      </c>
    </row>
    <row r="7547" spans="2:2" ht="15.6">
      <c r="B7547" s="197">
        <v>18.378128638626841</v>
      </c>
    </row>
    <row r="7548" spans="2:2" ht="15.6">
      <c r="B7548" s="197">
        <v>18.25403648094224</v>
      </c>
    </row>
    <row r="7549" spans="2:2" ht="15.6">
      <c r="B7549" s="197">
        <v>18.338099133550273</v>
      </c>
    </row>
    <row r="7550" spans="2:2" ht="15.6">
      <c r="B7550" s="197">
        <v>18.144205420951653</v>
      </c>
    </row>
    <row r="7551" spans="2:2" ht="15.6">
      <c r="B7551" s="197">
        <v>18.35400922555533</v>
      </c>
    </row>
    <row r="7552" spans="2:2" ht="15.6">
      <c r="B7552" s="197">
        <v>18.005831121556184</v>
      </c>
    </row>
    <row r="7553" spans="2:2" ht="15.6">
      <c r="B7553" s="197">
        <v>18.235734054400268</v>
      </c>
    </row>
    <row r="7554" spans="2:2" ht="15.6">
      <c r="B7554" s="197">
        <v>17.883173887072331</v>
      </c>
    </row>
    <row r="7555" spans="2:2" ht="15.6">
      <c r="B7555" s="197">
        <v>18.347224181575648</v>
      </c>
    </row>
    <row r="7556" spans="2:2" ht="15.6">
      <c r="B7556" s="197">
        <v>18.117196297055372</v>
      </c>
    </row>
    <row r="7557" spans="2:2" ht="15.6">
      <c r="B7557" s="197">
        <v>18.350358460565385</v>
      </c>
    </row>
    <row r="7558" spans="2:2" ht="15.6">
      <c r="B7558" s="197">
        <v>18.117111715646793</v>
      </c>
    </row>
    <row r="7559" spans="2:2" ht="15.6">
      <c r="B7559" s="197">
        <v>17.582268885146078</v>
      </c>
    </row>
    <row r="7560" spans="2:2" ht="15.6">
      <c r="B7560" s="197">
        <v>18.300248493934337</v>
      </c>
    </row>
    <row r="7561" spans="2:2" ht="15.6">
      <c r="B7561" s="197">
        <v>17.971639920119937</v>
      </c>
    </row>
    <row r="7562" spans="2:2" ht="15.6">
      <c r="B7562" s="197">
        <v>17.82549903173048</v>
      </c>
    </row>
    <row r="7563" spans="2:2" ht="15.6">
      <c r="B7563" s="197">
        <v>18.018480246268201</v>
      </c>
    </row>
    <row r="7564" spans="2:2" ht="15.6">
      <c r="B7564" s="197">
        <v>18.117337415498085</v>
      </c>
    </row>
    <row r="7565" spans="2:2" ht="15.6">
      <c r="B7565" s="197">
        <v>18.480167452122355</v>
      </c>
    </row>
    <row r="7566" spans="2:2" ht="15.6">
      <c r="B7566" s="197">
        <v>18.117064996451933</v>
      </c>
    </row>
    <row r="7567" spans="2:2" ht="15.6">
      <c r="B7567" s="197">
        <v>17.675266100654454</v>
      </c>
    </row>
    <row r="7568" spans="2:2" ht="15.6">
      <c r="B7568" s="197">
        <v>18.328097103063577</v>
      </c>
    </row>
    <row r="7569" spans="2:2" ht="15.6">
      <c r="B7569" s="197">
        <v>18.193391136510243</v>
      </c>
    </row>
    <row r="7570" spans="2:2" ht="15.6">
      <c r="B7570" s="197">
        <v>17.705373805077034</v>
      </c>
    </row>
    <row r="7571" spans="2:2" ht="15.6">
      <c r="B7571" s="197">
        <v>18.208741910398313</v>
      </c>
    </row>
    <row r="7572" spans="2:2" ht="15.6">
      <c r="B7572" s="197">
        <v>18.418515805728951</v>
      </c>
    </row>
    <row r="7573" spans="2:2" ht="15.6">
      <c r="B7573" s="197">
        <v>17.937801916197728</v>
      </c>
    </row>
    <row r="7574" spans="2:2" ht="15.6">
      <c r="B7574" s="197">
        <v>17.936469861145028</v>
      </c>
    </row>
    <row r="7575" spans="2:2" ht="15.6">
      <c r="B7575" s="197">
        <v>18.173444479427953</v>
      </c>
    </row>
    <row r="7576" spans="2:2" ht="15.6">
      <c r="B7576" s="197">
        <v>18.373366770690726</v>
      </c>
    </row>
    <row r="7577" spans="2:2" ht="15.6">
      <c r="B7577" s="197">
        <v>17.75808489205788</v>
      </c>
    </row>
    <row r="7578" spans="2:2" ht="15.6">
      <c r="B7578" s="197">
        <v>17.957315654644432</v>
      </c>
    </row>
    <row r="7579" spans="2:2" ht="15.6">
      <c r="B7579" s="197">
        <v>18.41175655356987</v>
      </c>
    </row>
    <row r="7580" spans="2:2" ht="15.6">
      <c r="B7580" s="197">
        <v>18.263393876711149</v>
      </c>
    </row>
    <row r="7581" spans="2:2" ht="15.6">
      <c r="B7581" s="197">
        <v>17.90956096373009</v>
      </c>
    </row>
    <row r="7582" spans="2:2" ht="15.6">
      <c r="B7582" s="197">
        <v>17.870972125089484</v>
      </c>
    </row>
    <row r="7583" spans="2:2" ht="15.6">
      <c r="B7583" s="197">
        <v>18.306528351542081</v>
      </c>
    </row>
    <row r="7584" spans="2:2" ht="15.6">
      <c r="B7584" s="197">
        <v>18.123591311545077</v>
      </c>
    </row>
    <row r="7585" spans="2:2" ht="15.6">
      <c r="B7585" s="197">
        <v>18.290437318856277</v>
      </c>
    </row>
    <row r="7586" spans="2:2" ht="15.6">
      <c r="B7586" s="197">
        <v>18.319717287900708</v>
      </c>
    </row>
    <row r="7587" spans="2:2" ht="15.6">
      <c r="B7587" s="197">
        <v>18.036842792766635</v>
      </c>
    </row>
    <row r="7588" spans="2:2" ht="15.6">
      <c r="B7588" s="197">
        <v>18.420167845261116</v>
      </c>
    </row>
    <row r="7589" spans="2:2" ht="15.6">
      <c r="B7589" s="197">
        <v>18.228621847920138</v>
      </c>
    </row>
    <row r="7590" spans="2:2" ht="15.6">
      <c r="B7590" s="197">
        <v>17.837880430405768</v>
      </c>
    </row>
    <row r="7591" spans="2:2" ht="15.6">
      <c r="B7591" s="197">
        <v>18.115383264469639</v>
      </c>
    </row>
    <row r="7592" spans="2:2" ht="15.6">
      <c r="B7592" s="197">
        <v>18.284584853699666</v>
      </c>
    </row>
    <row r="7593" spans="2:2" ht="15.6">
      <c r="B7593" s="197">
        <v>17.854024139667484</v>
      </c>
    </row>
    <row r="7594" spans="2:2" ht="15.6">
      <c r="B7594" s="197">
        <v>18.47839506289839</v>
      </c>
    </row>
    <row r="7595" spans="2:2" ht="15.6">
      <c r="B7595" s="197">
        <v>18.032548409666475</v>
      </c>
    </row>
    <row r="7596" spans="2:2" ht="15.6">
      <c r="B7596" s="197">
        <v>18.5503471102612</v>
      </c>
    </row>
    <row r="7597" spans="2:2" ht="15.6">
      <c r="B7597" s="197">
        <v>18.295053861646508</v>
      </c>
    </row>
    <row r="7598" spans="2:2" ht="15.6">
      <c r="B7598" s="197">
        <v>18.141196815776194</v>
      </c>
    </row>
    <row r="7599" spans="2:2" ht="15.6">
      <c r="B7599" s="197">
        <v>18.044688837825216</v>
      </c>
    </row>
    <row r="7600" spans="2:2" ht="15.6">
      <c r="B7600" s="197">
        <v>18.013278325061535</v>
      </c>
    </row>
    <row r="7601" spans="2:2" ht="15.6">
      <c r="B7601" s="197">
        <v>18.34151850252282</v>
      </c>
    </row>
    <row r="7602" spans="2:2" ht="15.6">
      <c r="B7602" s="197">
        <v>18.306878166353474</v>
      </c>
    </row>
    <row r="7603" spans="2:2" ht="15.6">
      <c r="B7603" s="197">
        <v>18.451344368837606</v>
      </c>
    </row>
    <row r="7604" spans="2:2" ht="15.6">
      <c r="B7604" s="197">
        <v>18.199918334801225</v>
      </c>
    </row>
    <row r="7605" spans="2:2" ht="15.6">
      <c r="B7605" s="197">
        <v>17.925268700900414</v>
      </c>
    </row>
    <row r="7606" spans="2:2" ht="15.6">
      <c r="B7606" s="197">
        <v>17.730009908892164</v>
      </c>
    </row>
    <row r="7607" spans="2:2" ht="15.6">
      <c r="B7607" s="197">
        <v>18.272656875306669</v>
      </c>
    </row>
    <row r="7608" spans="2:2" ht="15.6">
      <c r="B7608" s="197">
        <v>18.26687256490273</v>
      </c>
    </row>
    <row r="7609" spans="2:2" ht="15.6">
      <c r="B7609" s="197">
        <v>17.923625119711701</v>
      </c>
    </row>
    <row r="7610" spans="2:2" ht="15.6">
      <c r="B7610" s="197">
        <v>18.206953017963745</v>
      </c>
    </row>
    <row r="7611" spans="2:2" ht="15.6">
      <c r="B7611" s="197">
        <v>18.404241839270565</v>
      </c>
    </row>
    <row r="7612" spans="2:2" ht="15.6">
      <c r="B7612" s="197">
        <v>18.252209462471214</v>
      </c>
    </row>
    <row r="7613" spans="2:2" ht="15.6">
      <c r="B7613" s="197">
        <v>18.373597392179306</v>
      </c>
    </row>
    <row r="7614" spans="2:2" ht="15.6">
      <c r="B7614" s="197">
        <v>17.716093742962475</v>
      </c>
    </row>
    <row r="7615" spans="2:2" ht="15.6">
      <c r="B7615" s="197">
        <v>18.258397796322754</v>
      </c>
    </row>
    <row r="7616" spans="2:2" ht="15.6">
      <c r="B7616" s="197">
        <v>17.889025485440811</v>
      </c>
    </row>
    <row r="7617" spans="2:2" ht="15.6">
      <c r="B7617" s="197">
        <v>17.943372506205936</v>
      </c>
    </row>
    <row r="7618" spans="2:2" ht="15.6">
      <c r="B7618" s="197">
        <v>18.277473163004572</v>
      </c>
    </row>
    <row r="7619" spans="2:2" ht="15.6">
      <c r="B7619" s="197">
        <v>18.124798804142412</v>
      </c>
    </row>
    <row r="7620" spans="2:2" ht="15.6">
      <c r="B7620" s="197">
        <v>17.988290496650293</v>
      </c>
    </row>
    <row r="7621" spans="2:2" ht="15.6">
      <c r="B7621" s="197">
        <v>18.074134010415076</v>
      </c>
    </row>
    <row r="7622" spans="2:2" ht="15.6">
      <c r="B7622" s="197">
        <v>18.341499618917791</v>
      </c>
    </row>
    <row r="7623" spans="2:2" ht="15.6">
      <c r="B7623" s="197">
        <v>18.169961338853817</v>
      </c>
    </row>
    <row r="7624" spans="2:2" ht="15.6">
      <c r="B7624" s="197">
        <v>18.231393765729646</v>
      </c>
    </row>
    <row r="7625" spans="2:2" ht="15.6">
      <c r="B7625" s="197">
        <v>18.071425136139567</v>
      </c>
    </row>
    <row r="7626" spans="2:2" ht="15.6">
      <c r="B7626" s="197">
        <v>17.873709895887608</v>
      </c>
    </row>
    <row r="7627" spans="2:2" ht="15.6">
      <c r="B7627" s="197">
        <v>18.083679766140406</v>
      </c>
    </row>
    <row r="7628" spans="2:2" ht="15.6">
      <c r="B7628" s="197">
        <v>18.341276417572821</v>
      </c>
    </row>
    <row r="7629" spans="2:2" ht="15.6">
      <c r="B7629" s="197">
        <v>18.020401692417412</v>
      </c>
    </row>
    <row r="7630" spans="2:2" ht="15.6">
      <c r="B7630" s="197">
        <v>17.981252944740699</v>
      </c>
    </row>
    <row r="7631" spans="2:2" ht="15.6">
      <c r="B7631" s="197">
        <v>18.124207242521265</v>
      </c>
    </row>
    <row r="7632" spans="2:2" ht="15.6">
      <c r="B7632" s="197">
        <v>18.269848896445165</v>
      </c>
    </row>
    <row r="7633" spans="2:2" ht="15.6">
      <c r="B7633" s="197">
        <v>18.411323078181901</v>
      </c>
    </row>
    <row r="7634" spans="2:2" ht="15.6">
      <c r="B7634" s="197">
        <v>17.948005549316157</v>
      </c>
    </row>
    <row r="7635" spans="2:2" ht="15.6">
      <c r="B7635" s="197">
        <v>17.736858312459781</v>
      </c>
    </row>
    <row r="7636" spans="2:2" ht="15.6">
      <c r="B7636" s="197">
        <v>18.259382641025137</v>
      </c>
    </row>
    <row r="7637" spans="2:2" ht="15.6">
      <c r="B7637" s="197">
        <v>17.959843326809697</v>
      </c>
    </row>
    <row r="7638" spans="2:2" ht="15.6">
      <c r="B7638" s="197">
        <v>17.952949569849078</v>
      </c>
    </row>
    <row r="7639" spans="2:2" ht="15.6">
      <c r="B7639" s="197">
        <v>18.074675539683643</v>
      </c>
    </row>
    <row r="7640" spans="2:2" ht="15.6">
      <c r="B7640" s="197">
        <v>18.213146899544672</v>
      </c>
    </row>
    <row r="7641" spans="2:2" ht="15.6">
      <c r="B7641" s="197">
        <v>18.1758135619156</v>
      </c>
    </row>
    <row r="7642" spans="2:2" ht="15.6">
      <c r="B7642" s="197">
        <v>18.235968563730996</v>
      </c>
    </row>
    <row r="7643" spans="2:2" ht="15.6">
      <c r="B7643" s="197">
        <v>18.345734204775791</v>
      </c>
    </row>
    <row r="7644" spans="2:2" ht="15.6">
      <c r="B7644" s="197">
        <v>18.007006980464322</v>
      </c>
    </row>
    <row r="7645" spans="2:2" ht="15.6">
      <c r="B7645" s="197">
        <v>17.92708993935479</v>
      </c>
    </row>
    <row r="7646" spans="2:2" ht="15.6">
      <c r="B7646" s="197">
        <v>18.023451910737045</v>
      </c>
    </row>
    <row r="7647" spans="2:2" ht="15.6">
      <c r="B7647" s="197">
        <v>18.457994049171276</v>
      </c>
    </row>
    <row r="7648" spans="2:2" ht="15.6">
      <c r="B7648" s="197">
        <v>18.044512933511864</v>
      </c>
    </row>
    <row r="7649" spans="2:2" ht="15.6">
      <c r="B7649" s="197">
        <v>18.009917698779425</v>
      </c>
    </row>
    <row r="7650" spans="2:2" ht="15.6">
      <c r="B7650" s="197">
        <v>17.985827147100615</v>
      </c>
    </row>
    <row r="7651" spans="2:2" ht="15.6">
      <c r="B7651" s="197">
        <v>17.981103972377692</v>
      </c>
    </row>
    <row r="7652" spans="2:2" ht="15.6">
      <c r="B7652" s="197">
        <v>18.028949979744834</v>
      </c>
    </row>
    <row r="7653" spans="2:2" ht="15.6">
      <c r="B7653" s="197">
        <v>18.012065246174021</v>
      </c>
    </row>
    <row r="7654" spans="2:2" ht="15.6">
      <c r="B7654" s="197">
        <v>18.438691147604867</v>
      </c>
    </row>
    <row r="7655" spans="2:2" ht="15.6">
      <c r="B7655" s="197">
        <v>18.48105787165311</v>
      </c>
    </row>
    <row r="7656" spans="2:2" ht="15.6">
      <c r="B7656" s="197">
        <v>18.527900337115749</v>
      </c>
    </row>
    <row r="7657" spans="2:2" ht="15.6">
      <c r="B7657" s="197">
        <v>17.949728074764579</v>
      </c>
    </row>
    <row r="7658" spans="2:2" ht="15.6">
      <c r="B7658" s="197">
        <v>18.060394732831863</v>
      </c>
    </row>
    <row r="7659" spans="2:2" ht="15.6">
      <c r="B7659" s="197">
        <v>17.877661931465678</v>
      </c>
    </row>
    <row r="7660" spans="2:2" ht="15.6">
      <c r="B7660" s="197">
        <v>18.072333835948864</v>
      </c>
    </row>
    <row r="7661" spans="2:2" ht="15.6">
      <c r="B7661" s="197">
        <v>18.189427328051082</v>
      </c>
    </row>
    <row r="7662" spans="2:2" ht="15.6">
      <c r="B7662" s="197">
        <v>18.408050123273014</v>
      </c>
    </row>
    <row r="7663" spans="2:2" ht="15.6">
      <c r="B7663" s="197">
        <v>18.307376385347514</v>
      </c>
    </row>
    <row r="7664" spans="2:2" ht="15.6">
      <c r="B7664" s="197">
        <v>18.582591313679643</v>
      </c>
    </row>
    <row r="7665" spans="2:2" ht="15.6">
      <c r="B7665" s="197">
        <v>18.354330594414506</v>
      </c>
    </row>
    <row r="7666" spans="2:2" ht="15.6">
      <c r="B7666" s="197">
        <v>18.095331303677273</v>
      </c>
    </row>
    <row r="7667" spans="2:2" ht="15.6">
      <c r="B7667" s="197">
        <v>17.955885808055569</v>
      </c>
    </row>
    <row r="7668" spans="2:2" ht="15.6">
      <c r="B7668" s="197">
        <v>18.040806359467645</v>
      </c>
    </row>
    <row r="7669" spans="2:2" ht="15.6">
      <c r="B7669" s="197">
        <v>18.488746956679098</v>
      </c>
    </row>
    <row r="7670" spans="2:2" ht="15.6">
      <c r="B7670" s="197">
        <v>18.316750786180524</v>
      </c>
    </row>
    <row r="7671" spans="2:2" ht="15.6">
      <c r="B7671" s="197">
        <v>18.256078202693331</v>
      </c>
    </row>
    <row r="7672" spans="2:2" ht="15.6">
      <c r="B7672" s="197">
        <v>18.455325943350591</v>
      </c>
    </row>
    <row r="7673" spans="2:2" ht="15.6">
      <c r="B7673" s="197">
        <v>18.039209168201491</v>
      </c>
    </row>
    <row r="7674" spans="2:2" ht="15.6">
      <c r="B7674" s="197">
        <v>17.809943099942522</v>
      </c>
    </row>
    <row r="7675" spans="2:2" ht="15.6">
      <c r="B7675" s="197">
        <v>18.097639680236192</v>
      </c>
    </row>
    <row r="7676" spans="2:2" ht="15.6">
      <c r="B7676" s="197">
        <v>18.264172990444592</v>
      </c>
    </row>
    <row r="7677" spans="2:2" ht="15.6">
      <c r="B7677" s="197">
        <v>18.389440336861817</v>
      </c>
    </row>
    <row r="7678" spans="2:2" ht="15.6">
      <c r="B7678" s="197">
        <v>18.08569422267292</v>
      </c>
    </row>
    <row r="7679" spans="2:2" ht="15.6">
      <c r="B7679" s="197">
        <v>18.054864099991125</v>
      </c>
    </row>
    <row r="7680" spans="2:2" ht="15.6">
      <c r="B7680" s="197">
        <v>17.824919949428228</v>
      </c>
    </row>
    <row r="7681" spans="2:2" ht="15.6">
      <c r="B7681" s="197">
        <v>18.095026042148049</v>
      </c>
    </row>
    <row r="7682" spans="2:2" ht="15.6">
      <c r="B7682" s="197">
        <v>17.916149556974887</v>
      </c>
    </row>
    <row r="7683" spans="2:2" ht="15.6">
      <c r="B7683" s="197">
        <v>18.337669975381189</v>
      </c>
    </row>
    <row r="7684" spans="2:2" ht="15.6">
      <c r="B7684" s="197">
        <v>18.310718068525091</v>
      </c>
    </row>
    <row r="7685" spans="2:2" ht="15.6">
      <c r="B7685" s="197">
        <v>18.032155210835867</v>
      </c>
    </row>
    <row r="7686" spans="2:2" ht="15.6">
      <c r="B7686" s="197">
        <v>18.052943235813174</v>
      </c>
    </row>
    <row r="7687" spans="2:2" ht="15.6">
      <c r="B7687" s="197">
        <v>18.329141524476501</v>
      </c>
    </row>
    <row r="7688" spans="2:2" ht="15.6">
      <c r="B7688" s="197">
        <v>18.209876307606073</v>
      </c>
    </row>
    <row r="7689" spans="2:2" ht="15.6">
      <c r="B7689" s="197">
        <v>18.322412476371635</v>
      </c>
    </row>
    <row r="7690" spans="2:2" ht="15.6">
      <c r="B7690" s="197">
        <v>18.380272420110618</v>
      </c>
    </row>
    <row r="7691" spans="2:2" ht="15.6">
      <c r="B7691" s="197">
        <v>18.365392557690114</v>
      </c>
    </row>
    <row r="7692" spans="2:2" ht="15.6">
      <c r="B7692" s="197">
        <v>17.741936194832316</v>
      </c>
    </row>
    <row r="7693" spans="2:2" ht="15.6">
      <c r="B7693" s="197">
        <v>18.083534700074878</v>
      </c>
    </row>
    <row r="7694" spans="2:2" ht="15.6">
      <c r="B7694" s="197">
        <v>18.334103467003303</v>
      </c>
    </row>
    <row r="7695" spans="2:2" ht="15.6">
      <c r="B7695" s="197">
        <v>18.542600853484252</v>
      </c>
    </row>
    <row r="7696" spans="2:2" ht="15.6">
      <c r="B7696" s="197">
        <v>18.267343599458005</v>
      </c>
    </row>
    <row r="7697" spans="2:2" ht="15.6">
      <c r="B7697" s="197">
        <v>18.266365595244896</v>
      </c>
    </row>
    <row r="7698" spans="2:2" ht="15.6">
      <c r="B7698" s="197">
        <v>18.403440777861192</v>
      </c>
    </row>
    <row r="7699" spans="2:2" ht="15.6">
      <c r="B7699" s="197">
        <v>18.204654166348632</v>
      </c>
    </row>
    <row r="7700" spans="2:2" ht="15.6">
      <c r="B7700" s="197">
        <v>18.0842506276955</v>
      </c>
    </row>
    <row r="7701" spans="2:2" ht="15.6">
      <c r="B7701" s="197">
        <v>18.236446507430177</v>
      </c>
    </row>
    <row r="7702" spans="2:2" ht="15.6">
      <c r="B7702" s="197">
        <v>17.95390278417926</v>
      </c>
    </row>
    <row r="7703" spans="2:2" ht="15.6">
      <c r="B7703" s="197">
        <v>18.200828398579311</v>
      </c>
    </row>
    <row r="7704" spans="2:2" ht="15.6">
      <c r="B7704" s="197">
        <v>18.280470064759882</v>
      </c>
    </row>
    <row r="7705" spans="2:2" ht="15.6">
      <c r="B7705" s="197">
        <v>18.220629192314885</v>
      </c>
    </row>
    <row r="7706" spans="2:2" ht="15.6">
      <c r="B7706" s="197">
        <v>18.181897541692877</v>
      </c>
    </row>
    <row r="7707" spans="2:2" ht="15.6">
      <c r="B7707" s="197">
        <v>18.098341156142066</v>
      </c>
    </row>
    <row r="7708" spans="2:2" ht="15.6">
      <c r="B7708" s="197">
        <v>18.121327173578528</v>
      </c>
    </row>
    <row r="7709" spans="2:2" ht="15.6">
      <c r="B7709" s="197">
        <v>18.049956314152844</v>
      </c>
    </row>
    <row r="7710" spans="2:2" ht="15.6">
      <c r="B7710" s="197">
        <v>18.407396438196091</v>
      </c>
    </row>
    <row r="7711" spans="2:2" ht="15.6">
      <c r="B7711" s="197">
        <v>17.920693861551623</v>
      </c>
    </row>
    <row r="7712" spans="2:2" ht="15.6">
      <c r="B7712" s="197">
        <v>18.412063901042892</v>
      </c>
    </row>
    <row r="7713" spans="2:2" ht="15.6">
      <c r="B7713" s="197">
        <v>18.008954844782686</v>
      </c>
    </row>
    <row r="7714" spans="2:2" ht="15.6">
      <c r="B7714" s="197">
        <v>18.220840117514872</v>
      </c>
    </row>
    <row r="7715" spans="2:2" ht="15.6">
      <c r="B7715" s="197">
        <v>18.1682940964726</v>
      </c>
    </row>
    <row r="7716" spans="2:2" ht="15.6">
      <c r="B7716" s="197">
        <v>18.045572452459869</v>
      </c>
    </row>
    <row r="7717" spans="2:2" ht="15.6">
      <c r="B7717" s="197">
        <v>18.192049844838799</v>
      </c>
    </row>
    <row r="7718" spans="2:2" ht="15.6">
      <c r="B7718" s="197">
        <v>17.859768488174197</v>
      </c>
    </row>
    <row r="7719" spans="2:2" ht="15.6">
      <c r="B7719" s="197">
        <v>18.142813477496542</v>
      </c>
    </row>
    <row r="7720" spans="2:2" ht="15.6">
      <c r="B7720" s="197">
        <v>18.147806079131293</v>
      </c>
    </row>
    <row r="7721" spans="2:2" ht="15.6">
      <c r="B7721" s="197">
        <v>18.232886185795785</v>
      </c>
    </row>
    <row r="7722" spans="2:2" ht="15.6">
      <c r="B7722" s="197">
        <v>18.041359831299413</v>
      </c>
    </row>
    <row r="7723" spans="2:2" ht="15.6">
      <c r="B7723" s="197">
        <v>18.101099345084684</v>
      </c>
    </row>
    <row r="7724" spans="2:2" ht="15.6">
      <c r="B7724" s="197">
        <v>17.961995627965209</v>
      </c>
    </row>
    <row r="7725" spans="2:2" ht="15.6">
      <c r="B7725" s="197">
        <v>17.580713994316472</v>
      </c>
    </row>
    <row r="7726" spans="2:2" ht="15.6">
      <c r="B7726" s="197">
        <v>18.32837186704603</v>
      </c>
    </row>
    <row r="7727" spans="2:2" ht="15.6">
      <c r="B7727" s="197">
        <v>17.900243791078601</v>
      </c>
    </row>
    <row r="7728" spans="2:2" ht="15.6">
      <c r="B7728" s="197">
        <v>18.227071699763126</v>
      </c>
    </row>
    <row r="7729" spans="2:2" ht="15.6">
      <c r="B7729" s="197">
        <v>18.192657087606658</v>
      </c>
    </row>
    <row r="7730" spans="2:2" ht="15.6">
      <c r="B7730" s="197">
        <v>18.256511152555081</v>
      </c>
    </row>
    <row r="7731" spans="2:2" ht="15.6">
      <c r="B7731" s="197">
        <v>18.268661928318402</v>
      </c>
    </row>
    <row r="7732" spans="2:2" ht="15.6">
      <c r="B7732" s="197">
        <v>18.105999443820838</v>
      </c>
    </row>
    <row r="7733" spans="2:2" ht="15.6">
      <c r="B7733" s="197">
        <v>18.27273648347796</v>
      </c>
    </row>
    <row r="7734" spans="2:2" ht="15.6">
      <c r="B7734" s="197">
        <v>18.101717881128152</v>
      </c>
    </row>
    <row r="7735" spans="2:2" ht="15.6">
      <c r="B7735" s="197">
        <v>17.994807198095238</v>
      </c>
    </row>
    <row r="7736" spans="2:2" ht="15.6">
      <c r="B7736" s="197">
        <v>18.17863441177597</v>
      </c>
    </row>
    <row r="7737" spans="2:2" ht="15.6">
      <c r="B7737" s="197">
        <v>17.759905318364947</v>
      </c>
    </row>
    <row r="7738" spans="2:2" ht="15.6">
      <c r="B7738" s="197">
        <v>18.284313853109911</v>
      </c>
    </row>
    <row r="7739" spans="2:2" ht="15.6">
      <c r="B7739" s="197">
        <v>17.932246032435671</v>
      </c>
    </row>
    <row r="7740" spans="2:2" ht="15.6">
      <c r="B7740" s="197">
        <v>18.400721873986178</v>
      </c>
    </row>
    <row r="7741" spans="2:2" ht="15.6">
      <c r="B7741" s="197">
        <v>18.197383613034951</v>
      </c>
    </row>
    <row r="7742" spans="2:2" ht="15.6">
      <c r="B7742" s="197">
        <v>18.174614935422206</v>
      </c>
    </row>
    <row r="7743" spans="2:2" ht="15.6">
      <c r="B7743" s="197">
        <v>18.39705762050178</v>
      </c>
    </row>
    <row r="7744" spans="2:2" ht="15.6">
      <c r="B7744" s="197">
        <v>18.196913618170491</v>
      </c>
    </row>
    <row r="7745" spans="2:2" ht="15.6">
      <c r="B7745" s="197">
        <v>18.231796255225035</v>
      </c>
    </row>
    <row r="7746" spans="2:2" ht="15.6">
      <c r="B7746" s="197">
        <v>18.418432018781203</v>
      </c>
    </row>
    <row r="7747" spans="2:2" ht="15.6">
      <c r="B7747" s="197">
        <v>18.16540419346007</v>
      </c>
    </row>
    <row r="7748" spans="2:2" ht="15.6">
      <c r="B7748" s="197">
        <v>18.327282034966007</v>
      </c>
    </row>
    <row r="7749" spans="2:2" ht="15.6">
      <c r="B7749" s="197">
        <v>18.008509693371455</v>
      </c>
    </row>
    <row r="7750" spans="2:2" ht="15.6">
      <c r="B7750" s="197">
        <v>18.288950311716306</v>
      </c>
    </row>
    <row r="7751" spans="2:2" ht="15.6">
      <c r="B7751" s="197">
        <v>18.078696672900264</v>
      </c>
    </row>
    <row r="7752" spans="2:2" ht="15.6">
      <c r="B7752" s="197">
        <v>18.165651413655375</v>
      </c>
    </row>
    <row r="7753" spans="2:2" ht="15.6">
      <c r="B7753" s="197">
        <v>18.201520594093171</v>
      </c>
    </row>
    <row r="7754" spans="2:2" ht="15.6">
      <c r="B7754" s="197">
        <v>18.342349436872947</v>
      </c>
    </row>
    <row r="7755" spans="2:2" ht="15.6">
      <c r="B7755" s="197">
        <v>18.383682388287873</v>
      </c>
    </row>
    <row r="7756" spans="2:2" ht="15.6">
      <c r="B7756" s="197">
        <v>18.298799756800612</v>
      </c>
    </row>
    <row r="7757" spans="2:2" ht="15.6">
      <c r="B7757" s="197">
        <v>18.023565775294429</v>
      </c>
    </row>
    <row r="7758" spans="2:2" ht="15.6">
      <c r="B7758" s="197">
        <v>18.569842874582221</v>
      </c>
    </row>
    <row r="7759" spans="2:2" ht="15.6">
      <c r="B7759" s="197">
        <v>18.284843267196823</v>
      </c>
    </row>
    <row r="7760" spans="2:2" ht="15.6">
      <c r="B7760" s="197">
        <v>18.368360002303241</v>
      </c>
    </row>
    <row r="7761" spans="2:2" ht="15.6">
      <c r="B7761" s="197">
        <v>18.059261173713001</v>
      </c>
    </row>
    <row r="7762" spans="2:2" ht="15.6">
      <c r="B7762" s="197">
        <v>18.001528942182233</v>
      </c>
    </row>
    <row r="7763" spans="2:2" ht="15.6">
      <c r="B7763" s="197">
        <v>18.051937811108683</v>
      </c>
    </row>
    <row r="7764" spans="2:2" ht="15.6">
      <c r="B7764" s="197">
        <v>17.869586649576885</v>
      </c>
    </row>
    <row r="7765" spans="2:2" ht="15.6">
      <c r="B7765" s="197">
        <v>18.030107760769752</v>
      </c>
    </row>
    <row r="7766" spans="2:2" ht="15.6">
      <c r="B7766" s="197">
        <v>17.931893445660961</v>
      </c>
    </row>
    <row r="7767" spans="2:2" ht="15.6">
      <c r="B7767" s="197">
        <v>18.232383403624869</v>
      </c>
    </row>
    <row r="7768" spans="2:2" ht="15.6">
      <c r="B7768" s="197">
        <v>17.918660709732354</v>
      </c>
    </row>
    <row r="7769" spans="2:2" ht="15.6">
      <c r="B7769" s="197">
        <v>18.317645259406241</v>
      </c>
    </row>
    <row r="7770" spans="2:2" ht="15.6">
      <c r="B7770" s="197">
        <v>18.082230742018421</v>
      </c>
    </row>
    <row r="7771" spans="2:2" ht="15.6">
      <c r="B7771" s="197">
        <v>18.120908125077573</v>
      </c>
    </row>
    <row r="7772" spans="2:2" ht="15.6">
      <c r="B7772" s="197">
        <v>18.241684937366145</v>
      </c>
    </row>
    <row r="7773" spans="2:2" ht="15.6">
      <c r="B7773" s="197">
        <v>18.343580007449923</v>
      </c>
    </row>
    <row r="7774" spans="2:2" ht="15.6">
      <c r="B7774" s="197">
        <v>17.821799087648259</v>
      </c>
    </row>
    <row r="7775" spans="2:2" ht="15.6">
      <c r="B7775" s="197">
        <v>18.159664356768108</v>
      </c>
    </row>
    <row r="7776" spans="2:2" ht="15.6">
      <c r="B7776" s="197">
        <v>17.99663272135215</v>
      </c>
    </row>
    <row r="7777" spans="2:2" ht="15.6">
      <c r="B7777" s="197">
        <v>18.126822712621625</v>
      </c>
    </row>
    <row r="7778" spans="2:2" ht="15.6">
      <c r="B7778" s="197">
        <v>18.232972918922133</v>
      </c>
    </row>
    <row r="7779" spans="2:2" ht="15.6">
      <c r="B7779" s="197">
        <v>18.034329541913369</v>
      </c>
    </row>
    <row r="7780" spans="2:2" ht="15.6">
      <c r="B7780" s="197">
        <v>18.215885828654386</v>
      </c>
    </row>
    <row r="7781" spans="2:2" ht="15.6">
      <c r="B7781" s="197">
        <v>18.095960595416361</v>
      </c>
    </row>
    <row r="7782" spans="2:2" ht="15.6">
      <c r="B7782" s="197">
        <v>18.372374463888068</v>
      </c>
    </row>
    <row r="7783" spans="2:2" ht="15.6">
      <c r="B7783" s="197">
        <v>18.264257257653721</v>
      </c>
    </row>
    <row r="7784" spans="2:2" ht="15.6">
      <c r="B7784" s="197">
        <v>18.455210090911777</v>
      </c>
    </row>
    <row r="7785" spans="2:2" ht="15.6">
      <c r="B7785" s="197">
        <v>18.261312670397871</v>
      </c>
    </row>
    <row r="7786" spans="2:2" ht="15.6">
      <c r="B7786" s="197">
        <v>18.067866941907834</v>
      </c>
    </row>
    <row r="7787" spans="2:2" ht="15.6">
      <c r="B7787" s="197">
        <v>18.048514043652883</v>
      </c>
    </row>
    <row r="7788" spans="2:2" ht="15.6">
      <c r="B7788" s="197">
        <v>18.12162961754753</v>
      </c>
    </row>
    <row r="7789" spans="2:2" ht="15.6">
      <c r="B7789" s="197">
        <v>18.216705778691114</v>
      </c>
    </row>
    <row r="7790" spans="2:2" ht="15.6">
      <c r="B7790" s="197">
        <v>18.289612570132668</v>
      </c>
    </row>
    <row r="7791" spans="2:2" ht="15.6">
      <c r="B7791" s="197">
        <v>17.784587387580462</v>
      </c>
    </row>
    <row r="7792" spans="2:2" ht="15.6">
      <c r="B7792" s="197">
        <v>17.758369060842604</v>
      </c>
    </row>
    <row r="7793" spans="2:2" ht="15.6">
      <c r="B7793" s="197">
        <v>18.274116807622793</v>
      </c>
    </row>
    <row r="7794" spans="2:2" ht="15.6">
      <c r="B7794" s="197">
        <v>18.033993472217798</v>
      </c>
    </row>
    <row r="7795" spans="2:2" ht="15.6">
      <c r="B7795" s="197">
        <v>18.049084736110711</v>
      </c>
    </row>
    <row r="7796" spans="2:2" ht="15.6">
      <c r="B7796" s="197">
        <v>17.996552818145879</v>
      </c>
    </row>
    <row r="7797" spans="2:2" ht="15.6">
      <c r="B7797" s="197">
        <v>18.396325921582935</v>
      </c>
    </row>
    <row r="7798" spans="2:2" ht="15.6">
      <c r="B7798" s="197">
        <v>17.885644555949824</v>
      </c>
    </row>
    <row r="7799" spans="2:2" ht="15.6">
      <c r="B7799" s="197">
        <v>18.445330516678208</v>
      </c>
    </row>
    <row r="7800" spans="2:2" ht="15.6">
      <c r="B7800" s="197">
        <v>17.921350306229591</v>
      </c>
    </row>
    <row r="7801" spans="2:2" ht="15.6">
      <c r="B7801" s="197">
        <v>18.10593515701116</v>
      </c>
    </row>
    <row r="7802" spans="2:2" ht="15.6">
      <c r="B7802" s="197">
        <v>17.816809447858908</v>
      </c>
    </row>
    <row r="7803" spans="2:2" ht="15.6">
      <c r="B7803" s="197">
        <v>18.138056111504078</v>
      </c>
    </row>
    <row r="7804" spans="2:2" ht="15.6">
      <c r="B7804" s="197">
        <v>18.547660923375091</v>
      </c>
    </row>
    <row r="7805" spans="2:2" ht="15.6">
      <c r="B7805" s="197">
        <v>18.099566148510746</v>
      </c>
    </row>
    <row r="7806" spans="2:2" ht="15.6">
      <c r="B7806" s="197">
        <v>18.016207988315731</v>
      </c>
    </row>
    <row r="7807" spans="2:2" ht="15.6">
      <c r="B7807" s="197">
        <v>18.356060044632322</v>
      </c>
    </row>
    <row r="7808" spans="2:2" ht="15.6">
      <c r="B7808" s="197">
        <v>17.94282116380646</v>
      </c>
    </row>
    <row r="7809" spans="2:2" ht="15.6">
      <c r="B7809" s="197">
        <v>17.834340366871569</v>
      </c>
    </row>
    <row r="7810" spans="2:2" ht="15.6">
      <c r="B7810" s="197">
        <v>18.072565861471784</v>
      </c>
    </row>
    <row r="7811" spans="2:2" ht="15.6">
      <c r="B7811" s="197">
        <v>18.309737709671442</v>
      </c>
    </row>
    <row r="7812" spans="2:2" ht="15.6">
      <c r="B7812" s="197">
        <v>18.110998567456427</v>
      </c>
    </row>
    <row r="7813" spans="2:2" ht="15.6">
      <c r="B7813" s="197">
        <v>18.109056389297887</v>
      </c>
    </row>
    <row r="7814" spans="2:2" ht="15.6">
      <c r="B7814" s="197">
        <v>18.543409338179657</v>
      </c>
    </row>
    <row r="7815" spans="2:2" ht="15.6">
      <c r="B7815" s="197">
        <v>18.43155103823042</v>
      </c>
    </row>
    <row r="7816" spans="2:2" ht="15.6">
      <c r="B7816" s="197">
        <v>18.044592844342731</v>
      </c>
    </row>
    <row r="7817" spans="2:2" ht="15.6">
      <c r="B7817" s="197">
        <v>18.036835098442143</v>
      </c>
    </row>
    <row r="7818" spans="2:2" ht="15.6">
      <c r="B7818" s="197">
        <v>18.214820657143402</v>
      </c>
    </row>
    <row r="7819" spans="2:2" ht="15.6">
      <c r="B7819" s="197">
        <v>17.989198644078549</v>
      </c>
    </row>
    <row r="7820" spans="2:2" ht="15.6">
      <c r="B7820" s="197">
        <v>17.894881153869235</v>
      </c>
    </row>
    <row r="7821" spans="2:2" ht="15.6">
      <c r="B7821" s="197">
        <v>18.250672307058945</v>
      </c>
    </row>
    <row r="7822" spans="2:2" ht="15.6">
      <c r="B7822" s="197">
        <v>18.219790291266314</v>
      </c>
    </row>
    <row r="7823" spans="2:2" ht="15.6">
      <c r="B7823" s="197">
        <v>18.141788966500965</v>
      </c>
    </row>
    <row r="7824" spans="2:2" ht="15.6">
      <c r="B7824" s="197">
        <v>17.990604411177589</v>
      </c>
    </row>
    <row r="7825" spans="2:2" ht="15.6">
      <c r="B7825" s="197">
        <v>18.156662660017648</v>
      </c>
    </row>
    <row r="7826" spans="2:2" ht="15.6">
      <c r="B7826" s="197">
        <v>18.053396051262272</v>
      </c>
    </row>
    <row r="7827" spans="2:2" ht="15.6">
      <c r="B7827" s="197">
        <v>17.987031976490993</v>
      </c>
    </row>
    <row r="7828" spans="2:2" ht="15.6">
      <c r="B7828" s="197">
        <v>18.044432728502883</v>
      </c>
    </row>
    <row r="7829" spans="2:2" ht="15.6">
      <c r="B7829" s="197">
        <v>18.246280678595351</v>
      </c>
    </row>
    <row r="7830" spans="2:2" ht="15.6">
      <c r="B7830" s="197">
        <v>18.556466208071672</v>
      </c>
    </row>
    <row r="7831" spans="2:2" ht="15.6">
      <c r="B7831" s="197">
        <v>18.029748362286966</v>
      </c>
    </row>
    <row r="7832" spans="2:2" ht="15.6">
      <c r="B7832" s="197">
        <v>18.302980531160326</v>
      </c>
    </row>
    <row r="7833" spans="2:2" ht="15.6">
      <c r="B7833" s="197">
        <v>18.310839881422105</v>
      </c>
    </row>
    <row r="7834" spans="2:2" ht="15.6">
      <c r="B7834" s="197">
        <v>18.152878994384263</v>
      </c>
    </row>
    <row r="7835" spans="2:2" ht="15.6">
      <c r="B7835" s="197">
        <v>18.057957199561233</v>
      </c>
    </row>
    <row r="7836" spans="2:2" ht="15.6">
      <c r="B7836" s="197">
        <v>17.994825656265899</v>
      </c>
    </row>
    <row r="7837" spans="2:2" ht="15.6">
      <c r="B7837" s="197">
        <v>18.329403284920414</v>
      </c>
    </row>
    <row r="7838" spans="2:2" ht="15.6">
      <c r="B7838" s="197">
        <v>18.285042245850033</v>
      </c>
    </row>
    <row r="7839" spans="2:2" ht="15.6">
      <c r="B7839" s="197">
        <v>18.104471729430134</v>
      </c>
    </row>
    <row r="7840" spans="2:2" ht="15.6">
      <c r="B7840" s="197">
        <v>18.473234388442943</v>
      </c>
    </row>
    <row r="7841" spans="2:2" ht="15.6">
      <c r="B7841" s="197">
        <v>17.962950713410311</v>
      </c>
    </row>
    <row r="7842" spans="2:2" ht="15.6">
      <c r="B7842" s="197">
        <v>18.122541900922457</v>
      </c>
    </row>
    <row r="7843" spans="2:2" ht="15.6">
      <c r="B7843" s="197">
        <v>18.438526023566759</v>
      </c>
    </row>
    <row r="7844" spans="2:2" ht="15.6">
      <c r="B7844" s="197">
        <v>18.248149326359169</v>
      </c>
    </row>
    <row r="7845" spans="2:2" ht="15.6">
      <c r="B7845" s="197">
        <v>18.322151019169862</v>
      </c>
    </row>
    <row r="7846" spans="2:2" ht="15.6">
      <c r="B7846" s="197">
        <v>17.855298303429027</v>
      </c>
    </row>
    <row r="7847" spans="2:2" ht="15.6">
      <c r="B7847" s="197">
        <v>17.817316408858627</v>
      </c>
    </row>
    <row r="7848" spans="2:2" ht="15.6">
      <c r="B7848" s="197">
        <v>18.227121432236078</v>
      </c>
    </row>
    <row r="7849" spans="2:2" ht="15.6">
      <c r="B7849" s="197">
        <v>18.327135490759431</v>
      </c>
    </row>
    <row r="7850" spans="2:2" ht="15.6">
      <c r="B7850" s="197">
        <v>18.208979334799579</v>
      </c>
    </row>
    <row r="7851" spans="2:2" ht="15.6">
      <c r="B7851" s="197">
        <v>18.142355537349548</v>
      </c>
    </row>
    <row r="7852" spans="2:2" ht="15.6">
      <c r="B7852" s="197">
        <v>17.782413975549368</v>
      </c>
    </row>
    <row r="7853" spans="2:2" ht="15.6">
      <c r="B7853" s="197">
        <v>18.096396866690355</v>
      </c>
    </row>
    <row r="7854" spans="2:2" ht="15.6">
      <c r="B7854" s="197">
        <v>18.088597983250366</v>
      </c>
    </row>
    <row r="7855" spans="2:2" ht="15.6">
      <c r="B7855" s="197">
        <v>18.138613135461043</v>
      </c>
    </row>
    <row r="7856" spans="2:2" ht="15.6">
      <c r="B7856" s="197">
        <v>18.08962832532691</v>
      </c>
    </row>
    <row r="7857" spans="2:2" ht="15.6">
      <c r="B7857" s="197">
        <v>18.078691615970875</v>
      </c>
    </row>
    <row r="7858" spans="2:2" ht="15.6">
      <c r="B7858" s="197">
        <v>18.368160104415132</v>
      </c>
    </row>
    <row r="7859" spans="2:2" ht="15.6">
      <c r="B7859" s="197">
        <v>17.998216038139482</v>
      </c>
    </row>
    <row r="7860" spans="2:2" ht="15.6">
      <c r="B7860" s="197">
        <v>17.946698059393054</v>
      </c>
    </row>
    <row r="7861" spans="2:2" ht="15.6">
      <c r="B7861" s="197">
        <v>18.351258503766203</v>
      </c>
    </row>
    <row r="7862" spans="2:2" ht="15.6">
      <c r="B7862" s="197">
        <v>18.105334535016159</v>
      </c>
    </row>
    <row r="7863" spans="2:2" ht="15.6">
      <c r="B7863" s="197">
        <v>17.934409042609936</v>
      </c>
    </row>
    <row r="7864" spans="2:2" ht="15.6">
      <c r="B7864" s="197">
        <v>18.305138903867196</v>
      </c>
    </row>
    <row r="7865" spans="2:2" ht="15.6">
      <c r="B7865" s="197">
        <v>18.068243491038668</v>
      </c>
    </row>
    <row r="7866" spans="2:2" ht="15.6">
      <c r="B7866" s="197">
        <v>18.599814867480511</v>
      </c>
    </row>
    <row r="7867" spans="2:2" ht="15.6">
      <c r="B7867" s="197">
        <v>17.999514965201566</v>
      </c>
    </row>
    <row r="7868" spans="2:2" ht="15.6">
      <c r="B7868" s="197">
        <v>18.228559513321528</v>
      </c>
    </row>
    <row r="7869" spans="2:2" ht="15.6">
      <c r="B7869" s="197">
        <v>18.212667021154882</v>
      </c>
    </row>
    <row r="7870" spans="2:2" ht="15.6">
      <c r="B7870" s="197">
        <v>18.370040614972176</v>
      </c>
    </row>
    <row r="7871" spans="2:2" ht="15.6">
      <c r="B7871" s="197">
        <v>17.744719039164984</v>
      </c>
    </row>
    <row r="7872" spans="2:2" ht="15.6">
      <c r="B7872" s="197">
        <v>18.150995615175876</v>
      </c>
    </row>
    <row r="7873" spans="2:2" ht="15.6">
      <c r="B7873" s="197">
        <v>18.355352432772371</v>
      </c>
    </row>
    <row r="7874" spans="2:2" ht="15.6">
      <c r="B7874" s="197">
        <v>18.288789289561677</v>
      </c>
    </row>
    <row r="7875" spans="2:2" ht="15.6">
      <c r="B7875" s="197">
        <v>18.483009653893337</v>
      </c>
    </row>
    <row r="7876" spans="2:2" ht="15.6">
      <c r="B7876" s="197">
        <v>18.501599857101198</v>
      </c>
    </row>
    <row r="7877" spans="2:2" ht="15.6">
      <c r="B7877" s="197">
        <v>17.74877826199176</v>
      </c>
    </row>
    <row r="7878" spans="2:2" ht="15.6">
      <c r="B7878" s="197">
        <v>18.060056116494462</v>
      </c>
    </row>
    <row r="7879" spans="2:2" ht="15.6">
      <c r="B7879" s="197">
        <v>18.104124648837438</v>
      </c>
    </row>
    <row r="7880" spans="2:2" ht="15.6">
      <c r="B7880" s="197">
        <v>18.059989578864027</v>
      </c>
    </row>
    <row r="7881" spans="2:2" ht="15.6">
      <c r="B7881" s="197">
        <v>18.447607452681716</v>
      </c>
    </row>
    <row r="7882" spans="2:2" ht="15.6">
      <c r="B7882" s="197">
        <v>18.058139128427477</v>
      </c>
    </row>
    <row r="7883" spans="2:2" ht="15.6">
      <c r="B7883" s="197">
        <v>18.032894112557926</v>
      </c>
    </row>
    <row r="7884" spans="2:2" ht="15.6">
      <c r="B7884" s="197">
        <v>18.365001004681975</v>
      </c>
    </row>
    <row r="7885" spans="2:2" ht="15.6">
      <c r="B7885" s="197">
        <v>18.40466597052146</v>
      </c>
    </row>
    <row r="7886" spans="2:2" ht="15.6">
      <c r="B7886" s="197">
        <v>17.933906834189191</v>
      </c>
    </row>
    <row r="7887" spans="2:2" ht="15.6">
      <c r="B7887" s="197">
        <v>18.16043678454426</v>
      </c>
    </row>
    <row r="7888" spans="2:2" ht="15.6">
      <c r="B7888" s="197">
        <v>18.329450426140387</v>
      </c>
    </row>
    <row r="7889" spans="2:2" ht="15.6">
      <c r="B7889" s="197">
        <v>17.955205039255567</v>
      </c>
    </row>
    <row r="7890" spans="2:2" ht="15.6">
      <c r="B7890" s="197">
        <v>18.154580543230665</v>
      </c>
    </row>
    <row r="7891" spans="2:2" ht="15.6">
      <c r="B7891" s="197">
        <v>18.099569106577238</v>
      </c>
    </row>
    <row r="7892" spans="2:2" ht="15.6">
      <c r="B7892" s="197">
        <v>18.188171138314999</v>
      </c>
    </row>
    <row r="7893" spans="2:2" ht="15.6">
      <c r="B7893" s="197">
        <v>18.426749475062923</v>
      </c>
    </row>
    <row r="7894" spans="2:2" ht="15.6">
      <c r="B7894" s="197">
        <v>17.818272763006291</v>
      </c>
    </row>
    <row r="7895" spans="2:2" ht="15.6">
      <c r="B7895" s="197">
        <v>17.889477399633016</v>
      </c>
    </row>
    <row r="7896" spans="2:2" ht="15.6">
      <c r="B7896" s="197">
        <v>18.14777907377815</v>
      </c>
    </row>
    <row r="7897" spans="2:2" ht="15.6">
      <c r="B7897" s="197">
        <v>18.210918395384091</v>
      </c>
    </row>
    <row r="7898" spans="2:2" ht="15.6">
      <c r="B7898" s="197">
        <v>18.192983926661608</v>
      </c>
    </row>
    <row r="7899" spans="2:2" ht="15.6">
      <c r="B7899" s="197">
        <v>18.282361957937749</v>
      </c>
    </row>
    <row r="7900" spans="2:2" ht="15.6">
      <c r="B7900" s="197">
        <v>18.224084469819299</v>
      </c>
    </row>
    <row r="7901" spans="2:2" ht="15.6">
      <c r="B7901" s="197">
        <v>18.196315597625407</v>
      </c>
    </row>
    <row r="7902" spans="2:2" ht="15.6">
      <c r="B7902" s="197">
        <v>17.988219963154588</v>
      </c>
    </row>
    <row r="7903" spans="2:2" ht="15.6">
      <c r="B7903" s="197">
        <v>18.072745165855327</v>
      </c>
    </row>
    <row r="7904" spans="2:2" ht="15.6">
      <c r="B7904" s="197">
        <v>17.826939431052683</v>
      </c>
    </row>
    <row r="7905" spans="2:2" ht="15.6">
      <c r="B7905" s="197">
        <v>18.378173812605919</v>
      </c>
    </row>
    <row r="7906" spans="2:2" ht="15.6">
      <c r="B7906" s="197">
        <v>18.148751889638188</v>
      </c>
    </row>
    <row r="7907" spans="2:2" ht="15.6">
      <c r="B7907" s="197">
        <v>18.107156357867868</v>
      </c>
    </row>
    <row r="7908" spans="2:2" ht="15.6">
      <c r="B7908" s="197">
        <v>18.60672326209604</v>
      </c>
    </row>
    <row r="7909" spans="2:2" ht="15.6">
      <c r="B7909" s="197">
        <v>18.046586549343175</v>
      </c>
    </row>
    <row r="7910" spans="2:2" ht="15.6">
      <c r="B7910" s="197">
        <v>18.344910586426604</v>
      </c>
    </row>
    <row r="7911" spans="2:2" ht="15.6">
      <c r="B7911" s="197">
        <v>18.112248265994189</v>
      </c>
    </row>
    <row r="7912" spans="2:2" ht="15.6">
      <c r="B7912" s="197">
        <v>18.176366140913192</v>
      </c>
    </row>
    <row r="7913" spans="2:2" ht="15.6">
      <c r="B7913" s="197">
        <v>18.118405052866155</v>
      </c>
    </row>
    <row r="7914" spans="2:2" ht="15.6">
      <c r="B7914" s="197">
        <v>18.256854768387541</v>
      </c>
    </row>
    <row r="7915" spans="2:2" ht="15.6">
      <c r="B7915" s="197">
        <v>18.176791833724781</v>
      </c>
    </row>
    <row r="7916" spans="2:2" ht="15.6">
      <c r="B7916" s="197">
        <v>18.234377354978431</v>
      </c>
    </row>
    <row r="7917" spans="2:2" ht="15.6">
      <c r="B7917" s="197">
        <v>17.97344570475952</v>
      </c>
    </row>
    <row r="7918" spans="2:2" ht="15.6">
      <c r="B7918" s="197">
        <v>17.887652018557407</v>
      </c>
    </row>
    <row r="7919" spans="2:2" ht="15.6">
      <c r="B7919" s="197">
        <v>18.260129712831656</v>
      </c>
    </row>
    <row r="7920" spans="2:2" ht="15.6">
      <c r="B7920" s="197">
        <v>18.197033067447737</v>
      </c>
    </row>
    <row r="7921" spans="2:2" ht="15.6">
      <c r="B7921" s="197">
        <v>18.211039008236906</v>
      </c>
    </row>
    <row r="7922" spans="2:2" ht="15.6">
      <c r="B7922" s="197">
        <v>17.858338134733138</v>
      </c>
    </row>
    <row r="7923" spans="2:2" ht="15.6">
      <c r="B7923" s="197">
        <v>18.472238238619713</v>
      </c>
    </row>
    <row r="7924" spans="2:2" ht="15.6">
      <c r="B7924" s="197">
        <v>18.067043009113899</v>
      </c>
    </row>
    <row r="7925" spans="2:2" ht="15.6">
      <c r="B7925" s="197">
        <v>18.197146842323225</v>
      </c>
    </row>
    <row r="7926" spans="2:2" ht="15.6">
      <c r="B7926" s="197">
        <v>18.404468325172616</v>
      </c>
    </row>
    <row r="7927" spans="2:2" ht="15.6">
      <c r="B7927" s="197">
        <v>18.499257884357426</v>
      </c>
    </row>
    <row r="7928" spans="2:2" ht="15.6">
      <c r="B7928" s="197">
        <v>17.994678331322682</v>
      </c>
    </row>
    <row r="7929" spans="2:2" ht="15.6">
      <c r="B7929" s="197">
        <v>18.22398966862875</v>
      </c>
    </row>
    <row r="7930" spans="2:2" ht="15.6">
      <c r="B7930" s="197">
        <v>17.905264605043008</v>
      </c>
    </row>
    <row r="7931" spans="2:2" ht="15.6">
      <c r="B7931" s="197">
        <v>18.332108255229045</v>
      </c>
    </row>
    <row r="7932" spans="2:2" ht="15.6">
      <c r="B7932" s="197">
        <v>18.26112553274054</v>
      </c>
    </row>
    <row r="7933" spans="2:2" ht="15.6">
      <c r="B7933" s="197">
        <v>18.35749646071859</v>
      </c>
    </row>
    <row r="7934" spans="2:2" ht="15.6">
      <c r="B7934" s="197">
        <v>18.250560945608143</v>
      </c>
    </row>
    <row r="7935" spans="2:2" ht="15.6">
      <c r="B7935" s="197">
        <v>18.017804463314953</v>
      </c>
    </row>
    <row r="7936" spans="2:2" ht="15.6">
      <c r="B7936" s="197">
        <v>18.25699792431498</v>
      </c>
    </row>
    <row r="7937" spans="2:2" ht="15.6">
      <c r="B7937" s="197">
        <v>17.90397417496013</v>
      </c>
    </row>
    <row r="7938" spans="2:2" ht="15.6">
      <c r="B7938" s="197">
        <v>17.85574583240485</v>
      </c>
    </row>
    <row r="7939" spans="2:2" ht="15.6">
      <c r="B7939" s="197">
        <v>18.024132487530753</v>
      </c>
    </row>
    <row r="7940" spans="2:2" ht="15.6">
      <c r="B7940" s="197">
        <v>18.306346352981041</v>
      </c>
    </row>
    <row r="7941" spans="2:2" ht="15.6">
      <c r="B7941" s="197">
        <v>18.034823916855547</v>
      </c>
    </row>
    <row r="7942" spans="2:2" ht="15.6">
      <c r="B7942" s="197">
        <v>18.208030350470686</v>
      </c>
    </row>
    <row r="7943" spans="2:2" ht="15.6">
      <c r="B7943" s="197">
        <v>17.950539651748741</v>
      </c>
    </row>
    <row r="7944" spans="2:2" ht="15.6">
      <c r="B7944" s="197">
        <v>18.205757095009798</v>
      </c>
    </row>
    <row r="7945" spans="2:2" ht="15.6">
      <c r="B7945" s="197">
        <v>18.260025715062572</v>
      </c>
    </row>
    <row r="7946" spans="2:2" ht="15.6">
      <c r="B7946" s="197">
        <v>18.419873810083189</v>
      </c>
    </row>
    <row r="7947" spans="2:2" ht="15.6">
      <c r="B7947" s="197">
        <v>18.239052520975314</v>
      </c>
    </row>
    <row r="7948" spans="2:2" ht="15.6">
      <c r="B7948" s="197">
        <v>18.179300827861855</v>
      </c>
    </row>
    <row r="7949" spans="2:2" ht="15.6">
      <c r="B7949" s="197">
        <v>18.273868602596632</v>
      </c>
    </row>
    <row r="7950" spans="2:2" ht="15.6">
      <c r="B7950" s="197">
        <v>18.029665052892721</v>
      </c>
    </row>
    <row r="7951" spans="2:2" ht="15.6">
      <c r="B7951" s="197">
        <v>18.432198865600348</v>
      </c>
    </row>
    <row r="7952" spans="2:2" ht="15.6">
      <c r="B7952" s="197">
        <v>17.924445183903</v>
      </c>
    </row>
    <row r="7953" spans="2:2" ht="15.6">
      <c r="B7953" s="197">
        <v>18.421131660662287</v>
      </c>
    </row>
    <row r="7954" spans="2:2" ht="15.6">
      <c r="B7954" s="197">
        <v>18.277713161233564</v>
      </c>
    </row>
    <row r="7955" spans="2:2" ht="15.6">
      <c r="B7955" s="197">
        <v>17.970710026558592</v>
      </c>
    </row>
    <row r="7956" spans="2:2" ht="15.6">
      <c r="B7956" s="197">
        <v>17.526594509619549</v>
      </c>
    </row>
    <row r="7957" spans="2:2" ht="15.6">
      <c r="B7957" s="197">
        <v>18.275799514494388</v>
      </c>
    </row>
    <row r="7958" spans="2:2" ht="15.6">
      <c r="B7958" s="197">
        <v>17.885451120845588</v>
      </c>
    </row>
    <row r="7959" spans="2:2" ht="15.6">
      <c r="B7959" s="197">
        <v>18.380745708750101</v>
      </c>
    </row>
    <row r="7960" spans="2:2" ht="15.6">
      <c r="B7960" s="197">
        <v>18.001732023814007</v>
      </c>
    </row>
    <row r="7961" spans="2:2" ht="15.6">
      <c r="B7961" s="197">
        <v>18.180500981148771</v>
      </c>
    </row>
    <row r="7962" spans="2:2" ht="15.6">
      <c r="B7962" s="197">
        <v>17.979499562150032</v>
      </c>
    </row>
    <row r="7963" spans="2:2" ht="15.6">
      <c r="B7963" s="197">
        <v>18.572736161726304</v>
      </c>
    </row>
    <row r="7964" spans="2:2" ht="15.6">
      <c r="B7964" s="197">
        <v>18.25735519727543</v>
      </c>
    </row>
    <row r="7965" spans="2:2" ht="15.6">
      <c r="B7965" s="197">
        <v>18.177763804294795</v>
      </c>
    </row>
    <row r="7966" spans="2:2" ht="15.6">
      <c r="B7966" s="197">
        <v>18.202576304607863</v>
      </c>
    </row>
    <row r="7967" spans="2:2" ht="15.6">
      <c r="B7967" s="197">
        <v>18.04168423480241</v>
      </c>
    </row>
    <row r="7968" spans="2:2" ht="15.6">
      <c r="B7968" s="197">
        <v>18.255915165646361</v>
      </c>
    </row>
    <row r="7969" spans="2:2" ht="15.6">
      <c r="B7969" s="197">
        <v>18.406013751756976</v>
      </c>
    </row>
    <row r="7970" spans="2:2" ht="15.6">
      <c r="B7970" s="197">
        <v>17.918680904006131</v>
      </c>
    </row>
    <row r="7971" spans="2:2" ht="15.6">
      <c r="B7971" s="197">
        <v>17.998654653079463</v>
      </c>
    </row>
    <row r="7972" spans="2:2" ht="15.6">
      <c r="B7972" s="197">
        <v>17.983597706125128</v>
      </c>
    </row>
    <row r="7973" spans="2:2" ht="15.6">
      <c r="B7973" s="197">
        <v>18.314156862556509</v>
      </c>
    </row>
    <row r="7974" spans="2:2" ht="15.6">
      <c r="B7974" s="197">
        <v>18.158187219323075</v>
      </c>
    </row>
    <row r="7975" spans="2:2" ht="15.6">
      <c r="B7975" s="197">
        <v>18.036537737352106</v>
      </c>
    </row>
    <row r="7976" spans="2:2" ht="15.6">
      <c r="B7976" s="197">
        <v>18.256002695411532</v>
      </c>
    </row>
    <row r="7977" spans="2:2" ht="15.6">
      <c r="B7977" s="197">
        <v>17.979502396848531</v>
      </c>
    </row>
    <row r="7978" spans="2:2" ht="15.6">
      <c r="B7978" s="197">
        <v>18.107957498615026</v>
      </c>
    </row>
    <row r="7979" spans="2:2" ht="15.6">
      <c r="B7979" s="197">
        <v>17.955860853804289</v>
      </c>
    </row>
    <row r="7980" spans="2:2" ht="15.6">
      <c r="B7980" s="197">
        <v>17.80509543654653</v>
      </c>
    </row>
    <row r="7981" spans="2:2" ht="15.6">
      <c r="B7981" s="197">
        <v>18.130192942810186</v>
      </c>
    </row>
    <row r="7982" spans="2:2" ht="15.6">
      <c r="B7982" s="197">
        <v>18.047506629429947</v>
      </c>
    </row>
    <row r="7983" spans="2:2" ht="15.6">
      <c r="B7983" s="197">
        <v>18.20881548462733</v>
      </c>
    </row>
    <row r="7984" spans="2:2" ht="15.6">
      <c r="B7984" s="197">
        <v>18.086667368381683</v>
      </c>
    </row>
    <row r="7985" spans="2:2" ht="15.6">
      <c r="B7985" s="197">
        <v>18.590047844127703</v>
      </c>
    </row>
    <row r="7986" spans="2:2" ht="15.6">
      <c r="B7986" s="197">
        <v>18.378910001097246</v>
      </c>
    </row>
    <row r="7987" spans="2:2" ht="15.6">
      <c r="B7987" s="197">
        <v>18.155890088506371</v>
      </c>
    </row>
    <row r="7988" spans="2:2" ht="15.6">
      <c r="B7988" s="197">
        <v>17.978622576731784</v>
      </c>
    </row>
    <row r="7989" spans="2:2" ht="15.6">
      <c r="B7989" s="197">
        <v>17.923659897473385</v>
      </c>
    </row>
    <row r="7990" spans="2:2" ht="15.6">
      <c r="B7990" s="197">
        <v>18.148368557446862</v>
      </c>
    </row>
    <row r="7991" spans="2:2" ht="15.6">
      <c r="B7991" s="197">
        <v>18.111226150202185</v>
      </c>
    </row>
    <row r="7992" spans="2:2" ht="15.6">
      <c r="B7992" s="197">
        <v>18.292888886526967</v>
      </c>
    </row>
    <row r="7993" spans="2:2" ht="15.6">
      <c r="B7993" s="197">
        <v>18.458941944342239</v>
      </c>
    </row>
    <row r="7994" spans="2:2" ht="15.6">
      <c r="B7994" s="197">
        <v>18.345375570779364</v>
      </c>
    </row>
    <row r="7995" spans="2:2" ht="15.6">
      <c r="B7995" s="197">
        <v>18.5945762715961</v>
      </c>
    </row>
    <row r="7996" spans="2:2" ht="15.6">
      <c r="B7996" s="197">
        <v>17.988210466831895</v>
      </c>
    </row>
    <row r="7997" spans="2:2" ht="15.6">
      <c r="B7997" s="197">
        <v>18.223164861728517</v>
      </c>
    </row>
    <row r="7998" spans="2:2" ht="15.6">
      <c r="B7998" s="197">
        <v>18.01992843265413</v>
      </c>
    </row>
    <row r="7999" spans="2:2" ht="15.6">
      <c r="B7999" s="197">
        <v>17.998115265756578</v>
      </c>
    </row>
    <row r="8000" spans="2:2" ht="15.6">
      <c r="B8000" s="197">
        <v>17.943318369214751</v>
      </c>
    </row>
    <row r="8001" spans="2:2" ht="15.6">
      <c r="B8001" s="197">
        <v>17.917842949860368</v>
      </c>
    </row>
    <row r="8002" spans="2:2" ht="15.6">
      <c r="B8002" s="197">
        <v>18.046143491725282</v>
      </c>
    </row>
    <row r="8003" spans="2:2" ht="15.6">
      <c r="B8003" s="197">
        <v>18.332965120263985</v>
      </c>
    </row>
    <row r="8004" spans="2:2" ht="15.6">
      <c r="B8004" s="197">
        <v>18.276329564069297</v>
      </c>
    </row>
    <row r="8005" spans="2:2" ht="15.6">
      <c r="B8005" s="197">
        <v>18.295460696132363</v>
      </c>
    </row>
    <row r="8006" spans="2:2" ht="15.6">
      <c r="B8006" s="197">
        <v>18.147866671746879</v>
      </c>
    </row>
    <row r="8007" spans="2:2" ht="15.6">
      <c r="B8007" s="197">
        <v>18.376495486004412</v>
      </c>
    </row>
    <row r="8008" spans="2:2" ht="15.6">
      <c r="B8008" s="197">
        <v>18.247145444576663</v>
      </c>
    </row>
    <row r="8009" spans="2:2" ht="15.6">
      <c r="B8009" s="197">
        <v>17.92602204037718</v>
      </c>
    </row>
    <row r="8010" spans="2:2" ht="15.6">
      <c r="B8010" s="197">
        <v>18.149546432966186</v>
      </c>
    </row>
    <row r="8011" spans="2:2" ht="15.6">
      <c r="B8011" s="197">
        <v>18.092494835709704</v>
      </c>
    </row>
    <row r="8012" spans="2:2" ht="15.6">
      <c r="B8012" s="197">
        <v>18.004717487571771</v>
      </c>
    </row>
    <row r="8013" spans="2:2" ht="15.6">
      <c r="B8013" s="197">
        <v>18.004541002370502</v>
      </c>
    </row>
    <row r="8014" spans="2:2" ht="15.6">
      <c r="B8014" s="197">
        <v>18.398830248082771</v>
      </c>
    </row>
    <row r="8015" spans="2:2" ht="15.6">
      <c r="B8015" s="197">
        <v>18.283114784964962</v>
      </c>
    </row>
    <row r="8016" spans="2:2" ht="15.6">
      <c r="B8016" s="197">
        <v>17.844128336240239</v>
      </c>
    </row>
    <row r="8017" spans="2:2" ht="15.6">
      <c r="B8017" s="197">
        <v>18.18733911546153</v>
      </c>
    </row>
    <row r="8018" spans="2:2" ht="15.6">
      <c r="B8018" s="197">
        <v>18.290885773097312</v>
      </c>
    </row>
    <row r="8019" spans="2:2" ht="15.6">
      <c r="B8019" s="197">
        <v>17.946955980263812</v>
      </c>
    </row>
    <row r="8020" spans="2:2" ht="15.6">
      <c r="B8020" s="197">
        <v>18.176523681652402</v>
      </c>
    </row>
    <row r="8021" spans="2:2" ht="15.6">
      <c r="B8021" s="197">
        <v>18.11671691120198</v>
      </c>
    </row>
    <row r="8022" spans="2:2" ht="15.6">
      <c r="B8022" s="197">
        <v>18.012915475416307</v>
      </c>
    </row>
    <row r="8023" spans="2:2" ht="15.6">
      <c r="B8023" s="197">
        <v>18.113313540152966</v>
      </c>
    </row>
    <row r="8024" spans="2:2" ht="15.6">
      <c r="B8024" s="197">
        <v>18.209007316164481</v>
      </c>
    </row>
    <row r="8025" spans="2:2" ht="15.6">
      <c r="B8025" s="197">
        <v>18.398497687108073</v>
      </c>
    </row>
    <row r="8026" spans="2:2" ht="15.6">
      <c r="B8026" s="197">
        <v>18.200073083051532</v>
      </c>
    </row>
    <row r="8027" spans="2:2" ht="15.6">
      <c r="B8027" s="197">
        <v>18.542551851185266</v>
      </c>
    </row>
    <row r="8028" spans="2:2" ht="15.6">
      <c r="B8028" s="197">
        <v>18.170758238724822</v>
      </c>
    </row>
    <row r="8029" spans="2:2" ht="15.6">
      <c r="B8029" s="197">
        <v>17.908186218345048</v>
      </c>
    </row>
    <row r="8030" spans="2:2" ht="15.6">
      <c r="B8030" s="197">
        <v>18.25135867092224</v>
      </c>
    </row>
    <row r="8031" spans="2:2" ht="15.6">
      <c r="B8031" s="197">
        <v>18.18981949071447</v>
      </c>
    </row>
    <row r="8032" spans="2:2" ht="15.6">
      <c r="B8032" s="197">
        <v>18.127066820342183</v>
      </c>
    </row>
    <row r="8033" spans="2:2" ht="15.6">
      <c r="B8033" s="197">
        <v>18.295629546276455</v>
      </c>
    </row>
    <row r="8034" spans="2:2" ht="15.6">
      <c r="B8034" s="197">
        <v>18.200937697287966</v>
      </c>
    </row>
    <row r="8035" spans="2:2" ht="15.6">
      <c r="B8035" s="197">
        <v>18.062585427733882</v>
      </c>
    </row>
    <row r="8036" spans="2:2" ht="15.6">
      <c r="B8036" s="197">
        <v>18.411602748757552</v>
      </c>
    </row>
    <row r="8037" spans="2:2" ht="15.6">
      <c r="B8037" s="197">
        <v>18.278333414945369</v>
      </c>
    </row>
    <row r="8038" spans="2:2" ht="15.6">
      <c r="B8038" s="197">
        <v>18.236920522845303</v>
      </c>
    </row>
    <row r="8039" spans="2:2" ht="15.6">
      <c r="B8039" s="197">
        <v>18.433008283126643</v>
      </c>
    </row>
    <row r="8040" spans="2:2" ht="15.6">
      <c r="B8040" s="197">
        <v>18.51605439362843</v>
      </c>
    </row>
    <row r="8041" spans="2:2" ht="15.6">
      <c r="B8041" s="197">
        <v>18.042528233069234</v>
      </c>
    </row>
    <row r="8042" spans="2:2" ht="15.6">
      <c r="B8042" s="197">
        <v>17.970012652429364</v>
      </c>
    </row>
    <row r="8043" spans="2:2" ht="15.6">
      <c r="B8043" s="197">
        <v>18.290008579601238</v>
      </c>
    </row>
    <row r="8044" spans="2:2" ht="15.6">
      <c r="B8044" s="197">
        <v>17.892177649538141</v>
      </c>
    </row>
    <row r="8045" spans="2:2" ht="15.6">
      <c r="B8045" s="197">
        <v>18.022673278243786</v>
      </c>
    </row>
    <row r="8046" spans="2:2" ht="15.6">
      <c r="B8046" s="197">
        <v>18.27909740721212</v>
      </c>
    </row>
    <row r="8047" spans="2:2" ht="15.6">
      <c r="B8047" s="197">
        <v>18.264305234622029</v>
      </c>
    </row>
    <row r="8048" spans="2:2" ht="15.6">
      <c r="B8048" s="197">
        <v>18.019587657289936</v>
      </c>
    </row>
    <row r="8049" spans="2:2" ht="15.6">
      <c r="B8049" s="197">
        <v>18.225684949833834</v>
      </c>
    </row>
    <row r="8050" spans="2:2" ht="15.6">
      <c r="B8050" s="197">
        <v>18.124124049811005</v>
      </c>
    </row>
    <row r="8051" spans="2:2" ht="15.6">
      <c r="B8051" s="197">
        <v>18.342468084546045</v>
      </c>
    </row>
    <row r="8052" spans="2:2" ht="15.6">
      <c r="B8052" s="197">
        <v>18.191647841315604</v>
      </c>
    </row>
    <row r="8053" spans="2:2" ht="15.6">
      <c r="B8053" s="197">
        <v>18.164401260120094</v>
      </c>
    </row>
    <row r="8054" spans="2:2" ht="15.6">
      <c r="B8054" s="197">
        <v>18.15519047226125</v>
      </c>
    </row>
    <row r="8055" spans="2:2" ht="15.6">
      <c r="B8055" s="197">
        <v>18.201187164032913</v>
      </c>
    </row>
    <row r="8056" spans="2:2" ht="15.6">
      <c r="B8056" s="197">
        <v>18.090651900230569</v>
      </c>
    </row>
    <row r="8057" spans="2:2" ht="15.6">
      <c r="B8057" s="197">
        <v>18.262070122692904</v>
      </c>
    </row>
    <row r="8058" spans="2:2" ht="15.6">
      <c r="B8058" s="197">
        <v>18.309480685214396</v>
      </c>
    </row>
    <row r="8059" spans="2:2" ht="15.6">
      <c r="B8059" s="197">
        <v>18.413280577940231</v>
      </c>
    </row>
    <row r="8060" spans="2:2" ht="15.6">
      <c r="B8060" s="197">
        <v>18.115013018734569</v>
      </c>
    </row>
    <row r="8061" spans="2:2" ht="15.6">
      <c r="B8061" s="197">
        <v>18.178011518995255</v>
      </c>
    </row>
    <row r="8062" spans="2:2" ht="15.6">
      <c r="B8062" s="197">
        <v>17.964984923017507</v>
      </c>
    </row>
    <row r="8063" spans="2:2" ht="15.6">
      <c r="B8063" s="197">
        <v>18.532508963945453</v>
      </c>
    </row>
    <row r="8064" spans="2:2" ht="15.6">
      <c r="B8064" s="197">
        <v>18.253198716834742</v>
      </c>
    </row>
    <row r="8065" spans="2:2" ht="15.6">
      <c r="B8065" s="197">
        <v>18.153274355815494</v>
      </c>
    </row>
    <row r="8066" spans="2:2" ht="15.6">
      <c r="B8066" s="197">
        <v>18.420639404047929</v>
      </c>
    </row>
    <row r="8067" spans="2:2" ht="15.6">
      <c r="B8067" s="197">
        <v>18.075421337334351</v>
      </c>
    </row>
    <row r="8068" spans="2:2" ht="15.6">
      <c r="B8068" s="197">
        <v>18.423561619721159</v>
      </c>
    </row>
    <row r="8069" spans="2:2" ht="15.6">
      <c r="B8069" s="197">
        <v>18.309393654863136</v>
      </c>
    </row>
    <row r="8070" spans="2:2" ht="15.6">
      <c r="B8070" s="197">
        <v>17.763924891197895</v>
      </c>
    </row>
    <row r="8071" spans="2:2" ht="15.6">
      <c r="B8071" s="197">
        <v>18.255134042649605</v>
      </c>
    </row>
    <row r="8072" spans="2:2" ht="15.6">
      <c r="B8072" s="197">
        <v>18.175459881220871</v>
      </c>
    </row>
    <row r="8073" spans="2:2" ht="15.6">
      <c r="B8073" s="197">
        <v>18.346931688982519</v>
      </c>
    </row>
    <row r="8074" spans="2:2" ht="15.6">
      <c r="B8074" s="197">
        <v>17.826679385626111</v>
      </c>
    </row>
    <row r="8075" spans="2:2" ht="15.6">
      <c r="B8075" s="197">
        <v>17.977260056926362</v>
      </c>
    </row>
    <row r="8076" spans="2:2" ht="15.6">
      <c r="B8076" s="197">
        <v>17.970244821874811</v>
      </c>
    </row>
    <row r="8077" spans="2:2" ht="15.6">
      <c r="B8077" s="197">
        <v>17.969917107711534</v>
      </c>
    </row>
    <row r="8078" spans="2:2" ht="15.6">
      <c r="B8078" s="197">
        <v>18.398856053308879</v>
      </c>
    </row>
    <row r="8079" spans="2:2" ht="15.6">
      <c r="B8079" s="197">
        <v>18.103178658792309</v>
      </c>
    </row>
    <row r="8080" spans="2:2" ht="15.6">
      <c r="B8080" s="197">
        <v>18.360399264939112</v>
      </c>
    </row>
    <row r="8081" spans="2:2" ht="15.6">
      <c r="B8081" s="197">
        <v>18.140481701919832</v>
      </c>
    </row>
    <row r="8082" spans="2:2" ht="15.6">
      <c r="B8082" s="197">
        <v>17.939004347115617</v>
      </c>
    </row>
    <row r="8083" spans="2:2" ht="15.6">
      <c r="B8083" s="197">
        <v>18.029885240429213</v>
      </c>
    </row>
    <row r="8084" spans="2:2" ht="15.6">
      <c r="B8084" s="197">
        <v>17.96262843006178</v>
      </c>
    </row>
    <row r="8085" spans="2:2" ht="15.6">
      <c r="B8085" s="197">
        <v>18.311443684945246</v>
      </c>
    </row>
    <row r="8086" spans="2:2" ht="15.6">
      <c r="B8086" s="197">
        <v>18.09324003164263</v>
      </c>
    </row>
    <row r="8087" spans="2:2" ht="15.6">
      <c r="B8087" s="197">
        <v>18.237478034526912</v>
      </c>
    </row>
    <row r="8088" spans="2:2" ht="15.6">
      <c r="B8088" s="197">
        <v>18.207489332102266</v>
      </c>
    </row>
    <row r="8089" spans="2:2" ht="15.6">
      <c r="B8089" s="197">
        <v>18.108554273050853</v>
      </c>
    </row>
    <row r="8090" spans="2:2" ht="15.6">
      <c r="B8090" s="197">
        <v>18.077608138764298</v>
      </c>
    </row>
    <row r="8091" spans="2:2" ht="15.6">
      <c r="B8091" s="197">
        <v>18.324242965943444</v>
      </c>
    </row>
    <row r="8092" spans="2:2" ht="15.6">
      <c r="B8092" s="197">
        <v>18.175182017591599</v>
      </c>
    </row>
    <row r="8093" spans="2:2" ht="15.6">
      <c r="B8093" s="197">
        <v>18.013054525207291</v>
      </c>
    </row>
    <row r="8094" spans="2:2" ht="15.6">
      <c r="B8094" s="197">
        <v>18.201637205871549</v>
      </c>
    </row>
    <row r="8095" spans="2:2" ht="15.6">
      <c r="B8095" s="197">
        <v>18.301255587497938</v>
      </c>
    </row>
    <row r="8096" spans="2:2" ht="15.6">
      <c r="B8096" s="197">
        <v>18.216288010634468</v>
      </c>
    </row>
    <row r="8097" spans="2:2" ht="15.6">
      <c r="B8097" s="197">
        <v>17.879477297434804</v>
      </c>
    </row>
    <row r="8098" spans="2:2" ht="15.6">
      <c r="B8098" s="197">
        <v>18.355127082387384</v>
      </c>
    </row>
    <row r="8099" spans="2:2" ht="15.6">
      <c r="B8099" s="197">
        <v>17.960625978372686</v>
      </c>
    </row>
    <row r="8100" spans="2:2" ht="15.6">
      <c r="B8100" s="197">
        <v>18.087297043564615</v>
      </c>
    </row>
    <row r="8101" spans="2:2" ht="15.6">
      <c r="B8101" s="197">
        <v>18.22344933842766</v>
      </c>
    </row>
    <row r="8102" spans="2:2" ht="15.6">
      <c r="B8102" s="197">
        <v>18.045102441499456</v>
      </c>
    </row>
    <row r="8103" spans="2:2" ht="15.6">
      <c r="B8103" s="197">
        <v>18.025963539549682</v>
      </c>
    </row>
    <row r="8104" spans="2:2" ht="15.6">
      <c r="B8104" s="197">
        <v>18.257322320778805</v>
      </c>
    </row>
    <row r="8105" spans="2:2" ht="15.6">
      <c r="B8105" s="197">
        <v>18.017851699004652</v>
      </c>
    </row>
    <row r="8106" spans="2:2" ht="15.6">
      <c r="B8106" s="197">
        <v>18.213604038584673</v>
      </c>
    </row>
    <row r="8107" spans="2:2" ht="15.6">
      <c r="B8107" s="197">
        <v>18.267246752280808</v>
      </c>
    </row>
    <row r="8108" spans="2:2" ht="15.6">
      <c r="B8108" s="197">
        <v>18.157004677043727</v>
      </c>
    </row>
    <row r="8109" spans="2:2" ht="15.6">
      <c r="B8109" s="197">
        <v>18.086406227832136</v>
      </c>
    </row>
    <row r="8110" spans="2:2" ht="15.6">
      <c r="B8110" s="197">
        <v>18.101445712940325</v>
      </c>
    </row>
    <row r="8111" spans="2:2" ht="15.6">
      <c r="B8111" s="197">
        <v>18.269362451500783</v>
      </c>
    </row>
    <row r="8112" spans="2:2" ht="15.6">
      <c r="B8112" s="197">
        <v>18.271815872614436</v>
      </c>
    </row>
    <row r="8113" spans="2:2" ht="15.6">
      <c r="B8113" s="197">
        <v>18.123159342645778</v>
      </c>
    </row>
    <row r="8114" spans="2:2" ht="15.6">
      <c r="B8114" s="197">
        <v>18.275009189100857</v>
      </c>
    </row>
    <row r="8115" spans="2:2" ht="15.6">
      <c r="B8115" s="197">
        <v>18.096406113244452</v>
      </c>
    </row>
    <row r="8116" spans="2:2" ht="15.6">
      <c r="B8116" s="197">
        <v>18.565065317433977</v>
      </c>
    </row>
    <row r="8117" spans="2:2" ht="15.6">
      <c r="B8117" s="197">
        <v>18.007107479338192</v>
      </c>
    </row>
    <row r="8118" spans="2:2" ht="15.6">
      <c r="B8118" s="197">
        <v>18.06491409114922</v>
      </c>
    </row>
    <row r="8119" spans="2:2" ht="15.6">
      <c r="B8119" s="197">
        <v>18.309043967888002</v>
      </c>
    </row>
    <row r="8120" spans="2:2" ht="15.6">
      <c r="B8120" s="197">
        <v>17.752011799747404</v>
      </c>
    </row>
    <row r="8121" spans="2:2" ht="15.6">
      <c r="B8121" s="197">
        <v>18.154618211749028</v>
      </c>
    </row>
    <row r="8122" spans="2:2" ht="15.6">
      <c r="B8122" s="197">
        <v>18.219857319489247</v>
      </c>
    </row>
    <row r="8123" spans="2:2" ht="15.6">
      <c r="B8123" s="197">
        <v>18.130659022157282</v>
      </c>
    </row>
    <row r="8124" spans="2:2" ht="15.6">
      <c r="B8124" s="197">
        <v>18.226917909102426</v>
      </c>
    </row>
    <row r="8125" spans="2:2" ht="15.6">
      <c r="B8125" s="197">
        <v>18.542257206063812</v>
      </c>
    </row>
    <row r="8126" spans="2:2" ht="15.6">
      <c r="B8126" s="197">
        <v>18.23989848968899</v>
      </c>
    </row>
    <row r="8127" spans="2:2" ht="15.6">
      <c r="B8127" s="197">
        <v>18.218264042609555</v>
      </c>
    </row>
    <row r="8128" spans="2:2" ht="15.6">
      <c r="B8128" s="197">
        <v>18.621574721354182</v>
      </c>
    </row>
    <row r="8129" spans="2:2" ht="15.6">
      <c r="B8129" s="197">
        <v>18.055436217010488</v>
      </c>
    </row>
    <row r="8130" spans="2:2" ht="15.6">
      <c r="B8130" s="197">
        <v>18.098465135385251</v>
      </c>
    </row>
    <row r="8131" spans="2:2" ht="15.6">
      <c r="B8131" s="197">
        <v>18.035306545288478</v>
      </c>
    </row>
    <row r="8132" spans="2:2" ht="15.6">
      <c r="B8132" s="197">
        <v>18.200213607661222</v>
      </c>
    </row>
    <row r="8133" spans="2:2" ht="15.6">
      <c r="B8133" s="197">
        <v>17.664700817390351</v>
      </c>
    </row>
    <row r="8134" spans="2:2" ht="15.6">
      <c r="B8134" s="197">
        <v>18.251887309982944</v>
      </c>
    </row>
    <row r="8135" spans="2:2" ht="15.6">
      <c r="B8135" s="197">
        <v>17.906649151071285</v>
      </c>
    </row>
    <row r="8136" spans="2:2" ht="15.6">
      <c r="B8136" s="197">
        <v>18.476092211834867</v>
      </c>
    </row>
    <row r="8137" spans="2:2" ht="15.6">
      <c r="B8137" s="197">
        <v>18.137944089606588</v>
      </c>
    </row>
    <row r="8138" spans="2:2" ht="15.6">
      <c r="B8138" s="197">
        <v>18.252094490822063</v>
      </c>
    </row>
    <row r="8139" spans="2:2" ht="15.6">
      <c r="B8139" s="197">
        <v>18.021074067739736</v>
      </c>
    </row>
    <row r="8140" spans="2:2" ht="15.6">
      <c r="B8140" s="197">
        <v>18.429506760437135</v>
      </c>
    </row>
    <row r="8141" spans="2:2" ht="15.6">
      <c r="B8141" s="197">
        <v>17.95997727435379</v>
      </c>
    </row>
    <row r="8142" spans="2:2" ht="15.6">
      <c r="B8142" s="197">
        <v>18.033507529898117</v>
      </c>
    </row>
    <row r="8143" spans="2:2" ht="15.6">
      <c r="B8143" s="197">
        <v>18.385352995199149</v>
      </c>
    </row>
    <row r="8144" spans="2:2" ht="15.6">
      <c r="B8144" s="197">
        <v>18.140309753222819</v>
      </c>
    </row>
    <row r="8145" spans="2:2" ht="15.6">
      <c r="B8145" s="197">
        <v>18.169349656731967</v>
      </c>
    </row>
    <row r="8146" spans="2:2" ht="15.6">
      <c r="B8146" s="197">
        <v>18.04158938096797</v>
      </c>
    </row>
    <row r="8147" spans="2:2" ht="15.6">
      <c r="B8147" s="197">
        <v>18.502580888955031</v>
      </c>
    </row>
    <row r="8148" spans="2:2" ht="15.6">
      <c r="B8148" s="197">
        <v>18.138077998095518</v>
      </c>
    </row>
    <row r="8149" spans="2:2" ht="15.6">
      <c r="B8149" s="197">
        <v>18.110723438548973</v>
      </c>
    </row>
    <row r="8150" spans="2:2" ht="15.6">
      <c r="B8150" s="197">
        <v>18.257499485431069</v>
      </c>
    </row>
    <row r="8151" spans="2:2" ht="15.6">
      <c r="B8151" s="197">
        <v>18.200496879079733</v>
      </c>
    </row>
    <row r="8152" spans="2:2" ht="15.6">
      <c r="B8152" s="197">
        <v>18.117206236047807</v>
      </c>
    </row>
    <row r="8153" spans="2:2" ht="15.6">
      <c r="B8153" s="197">
        <v>18.006003336787671</v>
      </c>
    </row>
    <row r="8154" spans="2:2" ht="15.6">
      <c r="B8154" s="197">
        <v>18.338304440543663</v>
      </c>
    </row>
    <row r="8155" spans="2:2" ht="15.6">
      <c r="B8155" s="197">
        <v>18.173896247421354</v>
      </c>
    </row>
    <row r="8156" spans="2:2" ht="15.6">
      <c r="B8156" s="197">
        <v>17.945509401931012</v>
      </c>
    </row>
    <row r="8157" spans="2:2" ht="15.6">
      <c r="B8157" s="197">
        <v>18.19658861782127</v>
      </c>
    </row>
    <row r="8158" spans="2:2" ht="15.6">
      <c r="B8158" s="197">
        <v>18.05079165127006</v>
      </c>
    </row>
    <row r="8159" spans="2:2" ht="15.6">
      <c r="B8159" s="197">
        <v>18.175147726081637</v>
      </c>
    </row>
    <row r="8160" spans="2:2" ht="15.6">
      <c r="B8160" s="197">
        <v>18.048549061541195</v>
      </c>
    </row>
    <row r="8161" spans="2:2" ht="15.6">
      <c r="B8161" s="197">
        <v>18.091961664728732</v>
      </c>
    </row>
    <row r="8162" spans="2:2" ht="15.6">
      <c r="B8162" s="197">
        <v>17.846432082063391</v>
      </c>
    </row>
    <row r="8163" spans="2:2" ht="15.6">
      <c r="B8163" s="197">
        <v>18.17012180564987</v>
      </c>
    </row>
    <row r="8164" spans="2:2" ht="15.6">
      <c r="B8164" s="197">
        <v>18.401936507960105</v>
      </c>
    </row>
    <row r="8165" spans="2:2" ht="15.6">
      <c r="B8165" s="197">
        <v>17.94655682245239</v>
      </c>
    </row>
    <row r="8166" spans="2:2" ht="15.6">
      <c r="B8166" s="197">
        <v>18.294389574420372</v>
      </c>
    </row>
    <row r="8167" spans="2:2" ht="15.6">
      <c r="B8167" s="197">
        <v>18.568089414917271</v>
      </c>
    </row>
    <row r="8168" spans="2:2" ht="15.6">
      <c r="B8168" s="197">
        <v>17.951530171547414</v>
      </c>
    </row>
    <row r="8169" spans="2:2" ht="15.6">
      <c r="B8169" s="197">
        <v>18.220855618301041</v>
      </c>
    </row>
    <row r="8170" spans="2:2" ht="15.6">
      <c r="B8170" s="197">
        <v>18.012589191679783</v>
      </c>
    </row>
    <row r="8171" spans="2:2" ht="15.6">
      <c r="B8171" s="197">
        <v>18.341577339123369</v>
      </c>
    </row>
    <row r="8172" spans="2:2" ht="15.6">
      <c r="B8172" s="197">
        <v>18.349418680194301</v>
      </c>
    </row>
    <row r="8173" spans="2:2" ht="15.6">
      <c r="B8173" s="197">
        <v>18.212870599799203</v>
      </c>
    </row>
    <row r="8174" spans="2:2" ht="15.6">
      <c r="B8174" s="197">
        <v>18.126762062292883</v>
      </c>
    </row>
    <row r="8175" spans="2:2" ht="15.6">
      <c r="B8175" s="197">
        <v>18.112125518901635</v>
      </c>
    </row>
    <row r="8176" spans="2:2" ht="15.6">
      <c r="B8176" s="197">
        <v>18.149007149727762</v>
      </c>
    </row>
    <row r="8177" spans="2:2" ht="15.6">
      <c r="B8177" s="197">
        <v>18.162534058141169</v>
      </c>
    </row>
    <row r="8178" spans="2:2" ht="15.6">
      <c r="B8178" s="197">
        <v>18.178686724267671</v>
      </c>
    </row>
    <row r="8179" spans="2:2" ht="15.6">
      <c r="B8179" s="197">
        <v>18.258747865882011</v>
      </c>
    </row>
    <row r="8180" spans="2:2" ht="15.6">
      <c r="B8180" s="197">
        <v>17.847222418220671</v>
      </c>
    </row>
    <row r="8181" spans="2:2" ht="15.6">
      <c r="B8181" s="197">
        <v>18.4420023097598</v>
      </c>
    </row>
    <row r="8182" spans="2:2" ht="15.6">
      <c r="B8182" s="197">
        <v>18.673006400159309</v>
      </c>
    </row>
    <row r="8183" spans="2:2" ht="15.6">
      <c r="B8183" s="197">
        <v>17.828441151778406</v>
      </c>
    </row>
    <row r="8184" spans="2:2" ht="15.6">
      <c r="B8184" s="197">
        <v>17.96118174786281</v>
      </c>
    </row>
    <row r="8185" spans="2:2" ht="15.6">
      <c r="B8185" s="197">
        <v>18.382070200559678</v>
      </c>
    </row>
    <row r="8186" spans="2:2" ht="15.6">
      <c r="B8186" s="197">
        <v>18.125941508969277</v>
      </c>
    </row>
    <row r="8187" spans="2:2" ht="15.6">
      <c r="B8187" s="197">
        <v>18.310290069679077</v>
      </c>
    </row>
    <row r="8188" spans="2:2" ht="15.6">
      <c r="B8188" s="197">
        <v>18.618645438988572</v>
      </c>
    </row>
    <row r="8189" spans="2:2" ht="15.6">
      <c r="B8189" s="197">
        <v>18.3263455631981</v>
      </c>
    </row>
    <row r="8190" spans="2:2" ht="15.6">
      <c r="B8190" s="197">
        <v>18.155788487682159</v>
      </c>
    </row>
    <row r="8191" spans="2:2" ht="15.6">
      <c r="B8191" s="197">
        <v>18.257260762816472</v>
      </c>
    </row>
    <row r="8192" spans="2:2" ht="15.6">
      <c r="B8192" s="197">
        <v>18.236851042070789</v>
      </c>
    </row>
    <row r="8193" spans="2:2" ht="15.6">
      <c r="B8193" s="197">
        <v>18.232458348276154</v>
      </c>
    </row>
    <row r="8194" spans="2:2" ht="15.6">
      <c r="B8194" s="197">
        <v>18.25641869955783</v>
      </c>
    </row>
    <row r="8195" spans="2:2" ht="15.6">
      <c r="B8195" s="197">
        <v>18.342635076169021</v>
      </c>
    </row>
    <row r="8196" spans="2:2" ht="15.6">
      <c r="B8196" s="197">
        <v>18.198045364946353</v>
      </c>
    </row>
    <row r="8197" spans="2:2" ht="15.6">
      <c r="B8197" s="197">
        <v>18.746399667171826</v>
      </c>
    </row>
    <row r="8198" spans="2:2" ht="15.6">
      <c r="B8198" s="197">
        <v>17.803265328929893</v>
      </c>
    </row>
    <row r="8199" spans="2:2" ht="15.6">
      <c r="B8199" s="197">
        <v>17.902098045949792</v>
      </c>
    </row>
    <row r="8200" spans="2:2" ht="15.6">
      <c r="B8200" s="197">
        <v>18.470229845611666</v>
      </c>
    </row>
    <row r="8201" spans="2:2" ht="15.6">
      <c r="B8201" s="197">
        <v>18.265005782034869</v>
      </c>
    </row>
    <row r="8202" spans="2:2" ht="15.6">
      <c r="B8202" s="197">
        <v>18.033348672404674</v>
      </c>
    </row>
    <row r="8203" spans="2:2" ht="15.6">
      <c r="B8203" s="197">
        <v>18.058398891035633</v>
      </c>
    </row>
    <row r="8204" spans="2:2" ht="15.6">
      <c r="B8204" s="197">
        <v>17.902806018000899</v>
      </c>
    </row>
    <row r="8205" spans="2:2" ht="15.6">
      <c r="B8205" s="197">
        <v>18.226973084651419</v>
      </c>
    </row>
    <row r="8206" spans="2:2" ht="15.6">
      <c r="B8206" s="197">
        <v>17.972279298865587</v>
      </c>
    </row>
    <row r="8207" spans="2:2" ht="15.6">
      <c r="B8207" s="197">
        <v>18.169483526973913</v>
      </c>
    </row>
    <row r="8208" spans="2:2" ht="15.6">
      <c r="B8208" s="197">
        <v>17.842245077519379</v>
      </c>
    </row>
    <row r="8209" spans="2:2" ht="15.6">
      <c r="B8209" s="197">
        <v>18.155049234509324</v>
      </c>
    </row>
    <row r="8210" spans="2:2" ht="15.6">
      <c r="B8210" s="197">
        <v>17.719404593224983</v>
      </c>
    </row>
    <row r="8211" spans="2:2" ht="15.6">
      <c r="B8211" s="197">
        <v>17.960344973851026</v>
      </c>
    </row>
    <row r="8212" spans="2:2" ht="15.6">
      <c r="B8212" s="197">
        <v>17.792136987375184</v>
      </c>
    </row>
    <row r="8213" spans="2:2" ht="15.6">
      <c r="B8213" s="197">
        <v>18.326834505686016</v>
      </c>
    </row>
    <row r="8214" spans="2:2" ht="15.6">
      <c r="B8214" s="197">
        <v>18.265795144828754</v>
      </c>
    </row>
    <row r="8215" spans="2:2" ht="15.6">
      <c r="B8215" s="197">
        <v>18.244676121006769</v>
      </c>
    </row>
    <row r="8216" spans="2:2" ht="15.6">
      <c r="B8216" s="197">
        <v>18.115983838769491</v>
      </c>
    </row>
    <row r="8217" spans="2:2" ht="15.6">
      <c r="B8217" s="197">
        <v>18.184271375101435</v>
      </c>
    </row>
    <row r="8218" spans="2:2" ht="15.6">
      <c r="B8218" s="197">
        <v>17.933380667771317</v>
      </c>
    </row>
    <row r="8219" spans="2:2" ht="15.6">
      <c r="B8219" s="197">
        <v>18.289822302933704</v>
      </c>
    </row>
    <row r="8220" spans="2:2" ht="15.6">
      <c r="B8220" s="197">
        <v>18.282117014480029</v>
      </c>
    </row>
    <row r="8221" spans="2:2" ht="15.6">
      <c r="B8221" s="197">
        <v>18.017820375997413</v>
      </c>
    </row>
    <row r="8222" spans="2:2" ht="15.6">
      <c r="B8222" s="197">
        <v>18.138105636913767</v>
      </c>
    </row>
    <row r="8223" spans="2:2" ht="15.6">
      <c r="B8223" s="197">
        <v>18.078817807327894</v>
      </c>
    </row>
    <row r="8224" spans="2:2" ht="15.6">
      <c r="B8224" s="197">
        <v>18.141132934979247</v>
      </c>
    </row>
    <row r="8225" spans="2:2" ht="15.6">
      <c r="B8225" s="197">
        <v>18.272246977971676</v>
      </c>
    </row>
    <row r="8226" spans="2:2" ht="15.6">
      <c r="B8226" s="197">
        <v>18.10270567522295</v>
      </c>
    </row>
    <row r="8227" spans="2:2" ht="15.6">
      <c r="B8227" s="197">
        <v>18.288856529030447</v>
      </c>
    </row>
    <row r="8228" spans="2:2" ht="15.6">
      <c r="B8228" s="197">
        <v>18.067935057878781</v>
      </c>
    </row>
    <row r="8229" spans="2:2" ht="15.6">
      <c r="B8229" s="197">
        <v>18.087285910274918</v>
      </c>
    </row>
    <row r="8230" spans="2:2" ht="15.6">
      <c r="B8230" s="197">
        <v>18.345518129018963</v>
      </c>
    </row>
    <row r="8231" spans="2:2" ht="15.6">
      <c r="B8231" s="197">
        <v>17.857041672859982</v>
      </c>
    </row>
    <row r="8232" spans="2:2" ht="15.6">
      <c r="B8232" s="197">
        <v>18.343917466619381</v>
      </c>
    </row>
    <row r="8233" spans="2:2" ht="15.6">
      <c r="B8233" s="197">
        <v>17.892945082468593</v>
      </c>
    </row>
    <row r="8234" spans="2:2" ht="15.6">
      <c r="B8234" s="197">
        <v>18.231836041217843</v>
      </c>
    </row>
    <row r="8235" spans="2:2" ht="15.6">
      <c r="B8235" s="197">
        <v>18.089958107972411</v>
      </c>
    </row>
    <row r="8236" spans="2:2" ht="15.6">
      <c r="B8236" s="197">
        <v>18.123078324245643</v>
      </c>
    </row>
    <row r="8237" spans="2:2" ht="15.6">
      <c r="B8237" s="197">
        <v>17.877491394773184</v>
      </c>
    </row>
    <row r="8238" spans="2:2" ht="15.6">
      <c r="B8238" s="197">
        <v>18.347826559037561</v>
      </c>
    </row>
    <row r="8239" spans="2:2" ht="15.6">
      <c r="B8239" s="197">
        <v>17.993970704224928</v>
      </c>
    </row>
    <row r="8240" spans="2:2" ht="15.6">
      <c r="B8240" s="197">
        <v>17.748262022028751</v>
      </c>
    </row>
    <row r="8241" spans="2:2" ht="15.6">
      <c r="B8241" s="197">
        <v>18.020548434814962</v>
      </c>
    </row>
    <row r="8242" spans="2:2" ht="15.6">
      <c r="B8242" s="197">
        <v>18.171842406081577</v>
      </c>
    </row>
    <row r="8243" spans="2:2" ht="15.6">
      <c r="B8243" s="197">
        <v>17.954523788644451</v>
      </c>
    </row>
    <row r="8244" spans="2:2" ht="15.6">
      <c r="B8244" s="197">
        <v>18.059523283736045</v>
      </c>
    </row>
    <row r="8245" spans="2:2" ht="15.6">
      <c r="B8245" s="197">
        <v>17.877674932264625</v>
      </c>
    </row>
    <row r="8246" spans="2:2" ht="15.6">
      <c r="B8246" s="197">
        <v>18.274067112207184</v>
      </c>
    </row>
    <row r="8247" spans="2:2" ht="15.6">
      <c r="B8247" s="197">
        <v>18.359786445453782</v>
      </c>
    </row>
    <row r="8248" spans="2:2" ht="15.6">
      <c r="B8248" s="197">
        <v>18.295049518328746</v>
      </c>
    </row>
    <row r="8249" spans="2:2" ht="15.6">
      <c r="B8249" s="197">
        <v>18.36771513961358</v>
      </c>
    </row>
    <row r="8250" spans="2:2" ht="15.6">
      <c r="B8250" s="197">
        <v>18.389668970148129</v>
      </c>
    </row>
    <row r="8251" spans="2:2" ht="15.6">
      <c r="B8251" s="197">
        <v>18.4047302731142</v>
      </c>
    </row>
    <row r="8252" spans="2:2" ht="15.6">
      <c r="B8252" s="197">
        <v>18.451018661518926</v>
      </c>
    </row>
    <row r="8253" spans="2:2" ht="15.6">
      <c r="B8253" s="197">
        <v>18.300021638943871</v>
      </c>
    </row>
    <row r="8254" spans="2:2" ht="15.6">
      <c r="B8254" s="197">
        <v>18.084912549605779</v>
      </c>
    </row>
    <row r="8255" spans="2:2" ht="15.6">
      <c r="B8255" s="197">
        <v>18.015437761893825</v>
      </c>
    </row>
    <row r="8256" spans="2:2" ht="15.6">
      <c r="B8256" s="197">
        <v>18.023395577168852</v>
      </c>
    </row>
    <row r="8257" spans="2:2" ht="15.6">
      <c r="B8257" s="197">
        <v>18.303866263955953</v>
      </c>
    </row>
    <row r="8258" spans="2:2" ht="15.6">
      <c r="B8258" s="197">
        <v>18.069485298707971</v>
      </c>
    </row>
    <row r="8259" spans="2:2" ht="15.6">
      <c r="B8259" s="197">
        <v>17.97992642600223</v>
      </c>
    </row>
    <row r="8260" spans="2:2" ht="15.6">
      <c r="B8260" s="197">
        <v>18.119717365366764</v>
      </c>
    </row>
    <row r="8261" spans="2:2" ht="15.6">
      <c r="B8261" s="197">
        <v>18.134590548760166</v>
      </c>
    </row>
    <row r="8262" spans="2:2" ht="15.6">
      <c r="B8262" s="197">
        <v>18.201649487977072</v>
      </c>
    </row>
    <row r="8263" spans="2:2" ht="15.6">
      <c r="B8263" s="197">
        <v>18.074099812383089</v>
      </c>
    </row>
    <row r="8264" spans="2:2" ht="15.6">
      <c r="B8264" s="197">
        <v>18.104402344246012</v>
      </c>
    </row>
    <row r="8265" spans="2:2" ht="15.6">
      <c r="B8265" s="197">
        <v>18.083067414391827</v>
      </c>
    </row>
    <row r="8266" spans="2:2" ht="15.6">
      <c r="B8266" s="197">
        <v>17.804966418011524</v>
      </c>
    </row>
    <row r="8267" spans="2:2" ht="15.6">
      <c r="B8267" s="197">
        <v>18.329995926852341</v>
      </c>
    </row>
    <row r="8268" spans="2:2" ht="15.6">
      <c r="B8268" s="197">
        <v>18.018886744776815</v>
      </c>
    </row>
    <row r="8269" spans="2:2" ht="15.6">
      <c r="B8269" s="197">
        <v>18.36903083798159</v>
      </c>
    </row>
    <row r="8270" spans="2:2" ht="15.6">
      <c r="B8270" s="197">
        <v>18.501035241567401</v>
      </c>
    </row>
    <row r="8271" spans="2:2" ht="15.6">
      <c r="B8271" s="197">
        <v>17.849893383704188</v>
      </c>
    </row>
    <row r="8272" spans="2:2" ht="15.6">
      <c r="B8272" s="197">
        <v>18.285733869192974</v>
      </c>
    </row>
    <row r="8273" spans="2:2" ht="15.6">
      <c r="B8273" s="197">
        <v>18.400827501700277</v>
      </c>
    </row>
    <row r="8274" spans="2:2" ht="15.6">
      <c r="B8274" s="197">
        <v>18.281120389319014</v>
      </c>
    </row>
    <row r="8275" spans="2:2" ht="15.6">
      <c r="B8275" s="197">
        <v>18.137860889590705</v>
      </c>
    </row>
    <row r="8276" spans="2:2" ht="15.6">
      <c r="B8276" s="197">
        <v>18.110112586673317</v>
      </c>
    </row>
    <row r="8277" spans="2:2" ht="15.6">
      <c r="B8277" s="197">
        <v>18.12934928704011</v>
      </c>
    </row>
    <row r="8278" spans="2:2" ht="15.6">
      <c r="B8278" s="197">
        <v>18.071967458559197</v>
      </c>
    </row>
    <row r="8279" spans="2:2" ht="15.6">
      <c r="B8279" s="197">
        <v>18.347401617887758</v>
      </c>
    </row>
    <row r="8280" spans="2:2" ht="15.6">
      <c r="B8280" s="197">
        <v>17.881092646813673</v>
      </c>
    </row>
    <row r="8281" spans="2:2" ht="15.6">
      <c r="B8281" s="197">
        <v>18.036809057148897</v>
      </c>
    </row>
    <row r="8282" spans="2:2" ht="15.6">
      <c r="B8282" s="197">
        <v>18.304220964286412</v>
      </c>
    </row>
    <row r="8283" spans="2:2" ht="15.6">
      <c r="B8283" s="197">
        <v>18.229944839882222</v>
      </c>
    </row>
    <row r="8284" spans="2:2" ht="15.6">
      <c r="B8284" s="197">
        <v>17.84922686172871</v>
      </c>
    </row>
    <row r="8285" spans="2:2" ht="15.6">
      <c r="B8285" s="197">
        <v>18.199632959620583</v>
      </c>
    </row>
    <row r="8286" spans="2:2" ht="15.6">
      <c r="B8286" s="197">
        <v>18.109212296734743</v>
      </c>
    </row>
    <row r="8287" spans="2:2" ht="15.6">
      <c r="B8287" s="197">
        <v>18.148930169845784</v>
      </c>
    </row>
    <row r="8288" spans="2:2" ht="15.6">
      <c r="B8288" s="197">
        <v>18.049459405935046</v>
      </c>
    </row>
    <row r="8289" spans="2:2" ht="15.6">
      <c r="B8289" s="197">
        <v>18.2472427588899</v>
      </c>
    </row>
    <row r="8290" spans="2:2" ht="15.6">
      <c r="B8290" s="197">
        <v>17.954629348180973</v>
      </c>
    </row>
    <row r="8291" spans="2:2" ht="15.6">
      <c r="B8291" s="197">
        <v>18.421147043200339</v>
      </c>
    </row>
    <row r="8292" spans="2:2" ht="15.6">
      <c r="B8292" s="197">
        <v>18.252367830710764</v>
      </c>
    </row>
    <row r="8293" spans="2:2" ht="15.6">
      <c r="B8293" s="197">
        <v>18.12526650392234</v>
      </c>
    </row>
    <row r="8294" spans="2:2" ht="15.6">
      <c r="B8294" s="197">
        <v>18.328196058095255</v>
      </c>
    </row>
    <row r="8295" spans="2:2" ht="15.6">
      <c r="B8295" s="197">
        <v>18.095924878359355</v>
      </c>
    </row>
    <row r="8296" spans="2:2" ht="15.6">
      <c r="B8296" s="197">
        <v>18.207989909325665</v>
      </c>
    </row>
    <row r="8297" spans="2:2" ht="15.6">
      <c r="B8297" s="197">
        <v>17.946880754963949</v>
      </c>
    </row>
    <row r="8298" spans="2:2" ht="15.6">
      <c r="B8298" s="197">
        <v>18.221957100346302</v>
      </c>
    </row>
    <row r="8299" spans="2:2" ht="15.6">
      <c r="B8299" s="197">
        <v>18.208228456765287</v>
      </c>
    </row>
    <row r="8300" spans="2:2" ht="15.6">
      <c r="B8300" s="197">
        <v>18.130931408905187</v>
      </c>
    </row>
    <row r="8301" spans="2:2" ht="15.6">
      <c r="B8301" s="197">
        <v>18.101702654900269</v>
      </c>
    </row>
    <row r="8302" spans="2:2" ht="15.6">
      <c r="B8302" s="197">
        <v>17.997792790309482</v>
      </c>
    </row>
    <row r="8303" spans="2:2" ht="15.6">
      <c r="B8303" s="197">
        <v>17.68889419685684</v>
      </c>
    </row>
    <row r="8304" spans="2:2" ht="15.6">
      <c r="B8304" s="197">
        <v>18.310791240960384</v>
      </c>
    </row>
    <row r="8305" spans="2:2" ht="15.6">
      <c r="B8305" s="197">
        <v>18.470298881450976</v>
      </c>
    </row>
    <row r="8306" spans="2:2" ht="15.6">
      <c r="B8306" s="197">
        <v>18.220044267288497</v>
      </c>
    </row>
    <row r="8307" spans="2:2" ht="15.6">
      <c r="B8307" s="197">
        <v>18.090535476232308</v>
      </c>
    </row>
    <row r="8308" spans="2:2" ht="15.6">
      <c r="B8308" s="197">
        <v>18.207220279962652</v>
      </c>
    </row>
    <row r="8309" spans="2:2" ht="15.6">
      <c r="B8309" s="197">
        <v>17.961299286395903</v>
      </c>
    </row>
    <row r="8310" spans="2:2" ht="15.6">
      <c r="B8310" s="197">
        <v>18.296479516434619</v>
      </c>
    </row>
    <row r="8311" spans="2:2" ht="15.6">
      <c r="B8311" s="197">
        <v>18.26186711309068</v>
      </c>
    </row>
    <row r="8312" spans="2:2" ht="15.6">
      <c r="B8312" s="197">
        <v>18.272482483958562</v>
      </c>
    </row>
    <row r="8313" spans="2:2" ht="15.6">
      <c r="B8313" s="197">
        <v>18.230434680797604</v>
      </c>
    </row>
    <row r="8314" spans="2:2" ht="15.6">
      <c r="B8314" s="197">
        <v>18.077221851354519</v>
      </c>
    </row>
    <row r="8315" spans="2:2" ht="15.6">
      <c r="B8315" s="197">
        <v>18.021646036583554</v>
      </c>
    </row>
    <row r="8316" spans="2:2" ht="15.6">
      <c r="B8316" s="197">
        <v>17.979469652604873</v>
      </c>
    </row>
    <row r="8317" spans="2:2" ht="15.6">
      <c r="B8317" s="197">
        <v>18.123118268774913</v>
      </c>
    </row>
    <row r="8318" spans="2:2" ht="15.6">
      <c r="B8318" s="197">
        <v>18.22162111592252</v>
      </c>
    </row>
    <row r="8319" spans="2:2" ht="15.6">
      <c r="B8319" s="197">
        <v>18.121390081591066</v>
      </c>
    </row>
    <row r="8320" spans="2:2" ht="15.6">
      <c r="B8320" s="197">
        <v>18.172371448245116</v>
      </c>
    </row>
    <row r="8321" spans="2:2" ht="15.6">
      <c r="B8321" s="197">
        <v>17.957511818756686</v>
      </c>
    </row>
    <row r="8322" spans="2:2" ht="15.6">
      <c r="B8322" s="197">
        <v>18.111218106882202</v>
      </c>
    </row>
    <row r="8323" spans="2:2" ht="15.6">
      <c r="B8323" s="197">
        <v>18.181882901280822</v>
      </c>
    </row>
    <row r="8324" spans="2:2" ht="15.6">
      <c r="B8324" s="197">
        <v>18.038885811884537</v>
      </c>
    </row>
    <row r="8325" spans="2:2" ht="15.6">
      <c r="B8325" s="197">
        <v>18.111116846923846</v>
      </c>
    </row>
    <row r="8326" spans="2:2" ht="15.6">
      <c r="B8326" s="197">
        <v>18.138732562016951</v>
      </c>
    </row>
    <row r="8327" spans="2:2" ht="15.6">
      <c r="B8327" s="197">
        <v>18.017556059140301</v>
      </c>
    </row>
    <row r="8328" spans="2:2" ht="15.6">
      <c r="B8328" s="197">
        <v>18.031520002670408</v>
      </c>
    </row>
    <row r="8329" spans="2:2" ht="15.6">
      <c r="B8329" s="197">
        <v>18.339525881096701</v>
      </c>
    </row>
    <row r="8330" spans="2:2" ht="15.6">
      <c r="B8330" s="197">
        <v>18.105721654488374</v>
      </c>
    </row>
    <row r="8331" spans="2:2" ht="15.6">
      <c r="B8331" s="197">
        <v>18.234376454799996</v>
      </c>
    </row>
    <row r="8332" spans="2:2" ht="15.6">
      <c r="B8332" s="197">
        <v>18.147944403251262</v>
      </c>
    </row>
    <row r="8333" spans="2:2" ht="15.6">
      <c r="B8333" s="197">
        <v>17.889475297116</v>
      </c>
    </row>
    <row r="8334" spans="2:2" ht="15.6">
      <c r="B8334" s="197">
        <v>18.140564259643433</v>
      </c>
    </row>
    <row r="8335" spans="2:2" ht="15.6">
      <c r="B8335" s="197">
        <v>17.807570065888566</v>
      </c>
    </row>
    <row r="8336" spans="2:2" ht="15.6">
      <c r="B8336" s="197">
        <v>18.101368307206087</v>
      </c>
    </row>
    <row r="8337" spans="2:2" ht="15.6">
      <c r="B8337" s="197">
        <v>18.203972640153641</v>
      </c>
    </row>
    <row r="8338" spans="2:2" ht="15.6">
      <c r="B8338" s="197">
        <v>18.09203755115562</v>
      </c>
    </row>
    <row r="8339" spans="2:2" ht="15.6">
      <c r="B8339" s="197">
        <v>18.111427809436901</v>
      </c>
    </row>
    <row r="8340" spans="2:2" ht="15.6">
      <c r="B8340" s="197">
        <v>18.237317835716642</v>
      </c>
    </row>
    <row r="8341" spans="2:2" ht="15.6">
      <c r="B8341" s="197">
        <v>18.519227438065109</v>
      </c>
    </row>
    <row r="8342" spans="2:2" ht="15.6">
      <c r="B8342" s="197">
        <v>18.177996389970431</v>
      </c>
    </row>
    <row r="8343" spans="2:2" ht="15.6">
      <c r="B8343" s="197">
        <v>18.195871430592803</v>
      </c>
    </row>
    <row r="8344" spans="2:2" ht="15.6">
      <c r="B8344" s="197">
        <v>18.114794049987786</v>
      </c>
    </row>
    <row r="8345" spans="2:2" ht="15.6">
      <c r="B8345" s="197">
        <v>17.951789816443203</v>
      </c>
    </row>
    <row r="8346" spans="2:2" ht="15.6">
      <c r="B8346" s="197">
        <v>18.386667444130463</v>
      </c>
    </row>
    <row r="8347" spans="2:2" ht="15.6">
      <c r="B8347" s="197">
        <v>18.232687148821459</v>
      </c>
    </row>
    <row r="8348" spans="2:2" ht="15.6">
      <c r="B8348" s="197">
        <v>18.101957908620715</v>
      </c>
    </row>
    <row r="8349" spans="2:2" ht="15.6">
      <c r="B8349" s="197">
        <v>18.275786148721657</v>
      </c>
    </row>
    <row r="8350" spans="2:2" ht="15.6">
      <c r="B8350" s="197">
        <v>18.334325624441853</v>
      </c>
    </row>
    <row r="8351" spans="2:2" ht="15.6">
      <c r="B8351" s="197">
        <v>18.117112829809273</v>
      </c>
    </row>
    <row r="8352" spans="2:2" ht="15.6">
      <c r="B8352" s="197">
        <v>18.084233796742083</v>
      </c>
    </row>
    <row r="8353" spans="2:2" ht="15.6">
      <c r="B8353" s="197">
        <v>18.167792325563649</v>
      </c>
    </row>
    <row r="8354" spans="2:2" ht="15.6">
      <c r="B8354" s="197">
        <v>18.334735704576257</v>
      </c>
    </row>
    <row r="8355" spans="2:2" ht="15.6">
      <c r="B8355" s="197">
        <v>18.107100566331237</v>
      </c>
    </row>
    <row r="8356" spans="2:2" ht="15.6">
      <c r="B8356" s="197">
        <v>18.023488526820294</v>
      </c>
    </row>
    <row r="8357" spans="2:2" ht="15.6">
      <c r="B8357" s="197">
        <v>17.988109584263636</v>
      </c>
    </row>
    <row r="8358" spans="2:2" ht="15.6">
      <c r="B8358" s="197">
        <v>18.35348129583334</v>
      </c>
    </row>
    <row r="8359" spans="2:2" ht="15.6">
      <c r="B8359" s="197">
        <v>17.919633778662899</v>
      </c>
    </row>
    <row r="8360" spans="2:2" ht="15.6">
      <c r="B8360" s="197">
        <v>18.17162116206341</v>
      </c>
    </row>
    <row r="8361" spans="2:2" ht="15.6">
      <c r="B8361" s="197">
        <v>18.342075304649814</v>
      </c>
    </row>
    <row r="8362" spans="2:2" ht="15.6">
      <c r="B8362" s="197">
        <v>18.526137603425145</v>
      </c>
    </row>
    <row r="8363" spans="2:2" ht="15.6">
      <c r="B8363" s="197">
        <v>18.257498364205574</v>
      </c>
    </row>
    <row r="8364" spans="2:2" ht="15.6">
      <c r="B8364" s="197">
        <v>18.329591950096592</v>
      </c>
    </row>
    <row r="8365" spans="2:2" ht="15.6">
      <c r="B8365" s="197">
        <v>18.201973113734173</v>
      </c>
    </row>
    <row r="8366" spans="2:2" ht="15.6">
      <c r="B8366" s="197">
        <v>18.066323143832136</v>
      </c>
    </row>
    <row r="8367" spans="2:2" ht="15.6">
      <c r="B8367" s="197">
        <v>18.039032937371047</v>
      </c>
    </row>
    <row r="8368" spans="2:2" ht="15.6">
      <c r="B8368" s="197">
        <v>18.076874514647088</v>
      </c>
    </row>
    <row r="8369" spans="2:2" ht="15.6">
      <c r="B8369" s="197">
        <v>18.047804141113872</v>
      </c>
    </row>
    <row r="8370" spans="2:2" ht="15.6">
      <c r="B8370" s="197">
        <v>18.194534457393807</v>
      </c>
    </row>
    <row r="8371" spans="2:2" ht="15.6">
      <c r="B8371" s="197">
        <v>18.371343467545849</v>
      </c>
    </row>
    <row r="8372" spans="2:2" ht="15.6">
      <c r="B8372" s="197">
        <v>18.101748518654073</v>
      </c>
    </row>
    <row r="8373" spans="2:2" ht="15.6">
      <c r="B8373" s="197">
        <v>18.070644708703664</v>
      </c>
    </row>
    <row r="8374" spans="2:2" ht="15.6">
      <c r="B8374" s="197">
        <v>18.109787004350114</v>
      </c>
    </row>
    <row r="8375" spans="2:2" ht="15.6">
      <c r="B8375" s="197">
        <v>18.133130605543027</v>
      </c>
    </row>
    <row r="8376" spans="2:2" ht="15.6">
      <c r="B8376" s="197">
        <v>18.208969337696832</v>
      </c>
    </row>
    <row r="8377" spans="2:2" ht="15.6">
      <c r="B8377" s="197">
        <v>18.125368038659204</v>
      </c>
    </row>
    <row r="8378" spans="2:2" ht="15.6">
      <c r="B8378" s="197">
        <v>18.282197212849638</v>
      </c>
    </row>
    <row r="8379" spans="2:2" ht="15.6">
      <c r="B8379" s="197">
        <v>17.732593160594384</v>
      </c>
    </row>
    <row r="8380" spans="2:2" ht="15.6">
      <c r="B8380" s="197">
        <v>18.338746021734782</v>
      </c>
    </row>
    <row r="8381" spans="2:2" ht="15.6">
      <c r="B8381" s="197">
        <v>18.084743351213184</v>
      </c>
    </row>
    <row r="8382" spans="2:2" ht="15.6">
      <c r="B8382" s="197">
        <v>18.138884237796798</v>
      </c>
    </row>
    <row r="8383" spans="2:2" ht="15.6">
      <c r="B8383" s="197">
        <v>17.832021413931908</v>
      </c>
    </row>
    <row r="8384" spans="2:2" ht="15.6">
      <c r="B8384" s="197">
        <v>18.34583053515183</v>
      </c>
    </row>
    <row r="8385" spans="2:2" ht="15.6">
      <c r="B8385" s="197">
        <v>18.095386344712722</v>
      </c>
    </row>
    <row r="8386" spans="2:2" ht="15.6">
      <c r="B8386" s="197">
        <v>18.02243633767252</v>
      </c>
    </row>
    <row r="8387" spans="2:2" ht="15.6">
      <c r="B8387" s="197">
        <v>18.231040659840751</v>
      </c>
    </row>
    <row r="8388" spans="2:2" ht="15.6">
      <c r="B8388" s="197">
        <v>17.942777622893836</v>
      </c>
    </row>
    <row r="8389" spans="2:2" ht="15.6">
      <c r="B8389" s="197">
        <v>18.206867839667456</v>
      </c>
    </row>
    <row r="8390" spans="2:2" ht="15.6">
      <c r="B8390" s="197">
        <v>18.067332453622097</v>
      </c>
    </row>
    <row r="8391" spans="2:2" ht="15.6">
      <c r="B8391" s="197">
        <v>18.300738106388838</v>
      </c>
    </row>
    <row r="8392" spans="2:2" ht="15.6">
      <c r="B8392" s="197">
        <v>18.196713717355038</v>
      </c>
    </row>
    <row r="8393" spans="2:2" ht="15.6">
      <c r="B8393" s="197">
        <v>18.294439036556774</v>
      </c>
    </row>
    <row r="8394" spans="2:2" ht="15.6">
      <c r="B8394" s="197">
        <v>18.004933939752924</v>
      </c>
    </row>
    <row r="8395" spans="2:2" ht="15.6">
      <c r="B8395" s="197">
        <v>18.450086839875766</v>
      </c>
    </row>
    <row r="8396" spans="2:2" ht="15.6">
      <c r="B8396" s="197">
        <v>18.223121597241118</v>
      </c>
    </row>
    <row r="8397" spans="2:2" ht="15.6">
      <c r="B8397" s="197">
        <v>18.009534615890285</v>
      </c>
    </row>
    <row r="8398" spans="2:2" ht="15.6">
      <c r="B8398" s="197">
        <v>17.834679649744121</v>
      </c>
    </row>
    <row r="8399" spans="2:2" ht="15.6">
      <c r="B8399" s="197">
        <v>17.929231439163082</v>
      </c>
    </row>
    <row r="8400" spans="2:2" ht="15.6">
      <c r="B8400" s="197">
        <v>18.373641348398866</v>
      </c>
    </row>
    <row r="8401" spans="2:2" ht="15.6">
      <c r="B8401" s="197">
        <v>18.358647362449279</v>
      </c>
    </row>
    <row r="8402" spans="2:2" ht="15.6">
      <c r="B8402" s="197">
        <v>18.293888391464346</v>
      </c>
    </row>
    <row r="8403" spans="2:2" ht="15.6">
      <c r="B8403" s="197">
        <v>17.995875058050675</v>
      </c>
    </row>
    <row r="8404" spans="2:2" ht="15.6">
      <c r="B8404" s="197">
        <v>17.939532824116338</v>
      </c>
    </row>
    <row r="8405" spans="2:2" ht="15.6">
      <c r="B8405" s="197">
        <v>18.050586875039581</v>
      </c>
    </row>
    <row r="8406" spans="2:2" ht="15.6">
      <c r="B8406" s="197">
        <v>18.198142489271874</v>
      </c>
    </row>
    <row r="8407" spans="2:2" ht="15.6">
      <c r="B8407" s="197">
        <v>18.056112695649926</v>
      </c>
    </row>
    <row r="8408" spans="2:2" ht="15.6">
      <c r="B8408" s="197">
        <v>18.206673895424874</v>
      </c>
    </row>
    <row r="8409" spans="2:2" ht="15.6">
      <c r="B8409" s="197">
        <v>18.094052182250479</v>
      </c>
    </row>
    <row r="8410" spans="2:2" ht="15.6">
      <c r="B8410" s="197">
        <v>17.918620911174742</v>
      </c>
    </row>
    <row r="8411" spans="2:2" ht="15.6">
      <c r="B8411" s="197">
        <v>17.901419513719549</v>
      </c>
    </row>
    <row r="8412" spans="2:2" ht="15.6">
      <c r="B8412" s="197">
        <v>17.99379686068476</v>
      </c>
    </row>
    <row r="8413" spans="2:2" ht="15.6">
      <c r="B8413" s="197">
        <v>18.112849219320751</v>
      </c>
    </row>
    <row r="8414" spans="2:2" ht="15.6">
      <c r="B8414" s="197">
        <v>18.265288196935447</v>
      </c>
    </row>
    <row r="8415" spans="2:2" ht="15.6">
      <c r="B8415" s="197">
        <v>18.114972892507893</v>
      </c>
    </row>
    <row r="8416" spans="2:2" ht="15.6">
      <c r="B8416" s="197">
        <v>18.07643819752769</v>
      </c>
    </row>
    <row r="8417" spans="2:2" ht="15.6">
      <c r="B8417" s="197">
        <v>17.969914613269268</v>
      </c>
    </row>
    <row r="8418" spans="2:2" ht="15.6">
      <c r="B8418" s="197">
        <v>17.864630672457885</v>
      </c>
    </row>
    <row r="8419" spans="2:2" ht="15.6">
      <c r="B8419" s="197">
        <v>18.36809275570198</v>
      </c>
    </row>
    <row r="8420" spans="2:2" ht="15.6">
      <c r="B8420" s="197">
        <v>17.999638117184031</v>
      </c>
    </row>
    <row r="8421" spans="2:2" ht="15.6">
      <c r="B8421" s="197">
        <v>18.03142243838175</v>
      </c>
    </row>
    <row r="8422" spans="2:2" ht="15.6">
      <c r="B8422" s="197">
        <v>18.207106241543304</v>
      </c>
    </row>
    <row r="8423" spans="2:2" ht="15.6">
      <c r="B8423" s="197">
        <v>17.887364233093656</v>
      </c>
    </row>
    <row r="8424" spans="2:2" ht="15.6">
      <c r="B8424" s="197">
        <v>18.331254356009332</v>
      </c>
    </row>
    <row r="8425" spans="2:2" ht="15.6">
      <c r="B8425" s="197">
        <v>17.733011223296007</v>
      </c>
    </row>
    <row r="8426" spans="2:2" ht="15.6">
      <c r="B8426" s="197">
        <v>17.967293591306706</v>
      </c>
    </row>
    <row r="8427" spans="2:2" ht="15.6">
      <c r="B8427" s="197">
        <v>18.420445187809815</v>
      </c>
    </row>
    <row r="8428" spans="2:2" ht="15.6">
      <c r="B8428" s="197">
        <v>18.206279458115223</v>
      </c>
    </row>
    <row r="8429" spans="2:2" ht="15.6">
      <c r="B8429" s="197">
        <v>18.137253102547522</v>
      </c>
    </row>
    <row r="8430" spans="2:2" ht="15.6">
      <c r="B8430" s="197">
        <v>18.082874119252921</v>
      </c>
    </row>
    <row r="8431" spans="2:2" ht="15.6">
      <c r="B8431" s="197">
        <v>18.561244472269479</v>
      </c>
    </row>
    <row r="8432" spans="2:2" ht="15.6">
      <c r="B8432" s="197">
        <v>18.158708153274137</v>
      </c>
    </row>
    <row r="8433" spans="2:2" ht="15.6">
      <c r="B8433" s="197">
        <v>18.40585963886819</v>
      </c>
    </row>
    <row r="8434" spans="2:2" ht="15.6">
      <c r="B8434" s="197">
        <v>17.8793233262058</v>
      </c>
    </row>
    <row r="8435" spans="2:2" ht="15.6">
      <c r="B8435" s="197">
        <v>18.548849847615806</v>
      </c>
    </row>
    <row r="8436" spans="2:2" ht="15.6">
      <c r="B8436" s="197">
        <v>18.050440676698578</v>
      </c>
    </row>
    <row r="8437" spans="2:2" ht="15.6">
      <c r="B8437" s="197">
        <v>18.027096774903459</v>
      </c>
    </row>
    <row r="8438" spans="2:2" ht="15.6">
      <c r="B8438" s="197">
        <v>18.455217669936157</v>
      </c>
    </row>
    <row r="8439" spans="2:2" ht="15.6">
      <c r="B8439" s="197">
        <v>18.204057652000937</v>
      </c>
    </row>
    <row r="8440" spans="2:2" ht="15.6">
      <c r="B8440" s="197">
        <v>18.143231483049842</v>
      </c>
    </row>
    <row r="8441" spans="2:2" ht="15.6">
      <c r="B8441" s="197">
        <v>18.234063227480956</v>
      </c>
    </row>
    <row r="8442" spans="2:2" ht="15.6">
      <c r="B8442" s="197">
        <v>18.313461181737051</v>
      </c>
    </row>
    <row r="8443" spans="2:2" ht="15.6">
      <c r="B8443" s="197">
        <v>18.217998636602179</v>
      </c>
    </row>
    <row r="8444" spans="2:2" ht="15.6">
      <c r="B8444" s="197">
        <v>18.203156692358302</v>
      </c>
    </row>
    <row r="8445" spans="2:2" ht="15.6">
      <c r="B8445" s="197">
        <v>18.504081229257359</v>
      </c>
    </row>
    <row r="8446" spans="2:2" ht="15.6">
      <c r="B8446" s="197">
        <v>17.869277308597965</v>
      </c>
    </row>
    <row r="8447" spans="2:2" ht="15.6">
      <c r="B8447" s="197">
        <v>18.061105406289627</v>
      </c>
    </row>
    <row r="8448" spans="2:2" ht="15.6">
      <c r="B8448" s="197">
        <v>18.411747140410135</v>
      </c>
    </row>
    <row r="8449" spans="2:2" ht="15.6">
      <c r="B8449" s="197">
        <v>18.241084309278488</v>
      </c>
    </row>
    <row r="8450" spans="2:2" ht="15.6">
      <c r="B8450" s="197">
        <v>18.09577484649844</v>
      </c>
    </row>
    <row r="8451" spans="2:2" ht="15.6">
      <c r="B8451" s="197">
        <v>17.90201794589666</v>
      </c>
    </row>
    <row r="8452" spans="2:2" ht="15.6">
      <c r="B8452" s="197">
        <v>17.899856715609857</v>
      </c>
    </row>
    <row r="8453" spans="2:2" ht="15.6">
      <c r="B8453" s="197">
        <v>17.921385672345913</v>
      </c>
    </row>
    <row r="8454" spans="2:2" ht="15.6">
      <c r="B8454" s="197">
        <v>18.007771372241908</v>
      </c>
    </row>
    <row r="8455" spans="2:2" ht="15.6">
      <c r="B8455" s="197">
        <v>18.325088992137804</v>
      </c>
    </row>
    <row r="8456" spans="2:2" ht="15.6">
      <c r="B8456" s="197">
        <v>18.358180781364307</v>
      </c>
    </row>
    <row r="8457" spans="2:2" ht="15.6">
      <c r="B8457" s="197">
        <v>18.318098314604701</v>
      </c>
    </row>
    <row r="8458" spans="2:2" ht="15.6">
      <c r="B8458" s="197">
        <v>18.023727936885582</v>
      </c>
    </row>
    <row r="8459" spans="2:2" ht="15.6">
      <c r="B8459" s="197">
        <v>18.230978173188202</v>
      </c>
    </row>
    <row r="8460" spans="2:2" ht="15.6">
      <c r="B8460" s="197">
        <v>17.860494972709212</v>
      </c>
    </row>
    <row r="8461" spans="2:2" ht="15.6">
      <c r="B8461" s="197">
        <v>18.584608282499861</v>
      </c>
    </row>
    <row r="8462" spans="2:2" ht="15.6">
      <c r="B8462" s="197">
        <v>17.852534328645024</v>
      </c>
    </row>
    <row r="8463" spans="2:2" ht="15.6">
      <c r="B8463" s="197">
        <v>17.896524602324696</v>
      </c>
    </row>
    <row r="8464" spans="2:2" ht="15.6">
      <c r="B8464" s="197">
        <v>18.084578729297384</v>
      </c>
    </row>
    <row r="8465" spans="2:2" ht="15.6">
      <c r="B8465" s="197">
        <v>18.045616260357168</v>
      </c>
    </row>
    <row r="8466" spans="2:2" ht="15.6">
      <c r="B8466" s="197">
        <v>17.833974463721635</v>
      </c>
    </row>
    <row r="8467" spans="2:2" ht="15.6">
      <c r="B8467" s="197">
        <v>18.290987468546405</v>
      </c>
    </row>
    <row r="8468" spans="2:2" ht="15.6">
      <c r="B8468" s="197">
        <v>18.082236057086384</v>
      </c>
    </row>
    <row r="8469" spans="2:2" ht="15.6">
      <c r="B8469" s="197">
        <v>18.272233638658019</v>
      </c>
    </row>
    <row r="8470" spans="2:2" ht="15.6">
      <c r="B8470" s="197">
        <v>17.842999337675693</v>
      </c>
    </row>
    <row r="8471" spans="2:2" ht="15.6">
      <c r="B8471" s="197">
        <v>17.923881690440442</v>
      </c>
    </row>
    <row r="8472" spans="2:2" ht="15.6">
      <c r="B8472" s="197">
        <v>18.197855317130205</v>
      </c>
    </row>
    <row r="8473" spans="2:2" ht="15.6">
      <c r="B8473" s="197">
        <v>18.302927215720537</v>
      </c>
    </row>
    <row r="8474" spans="2:2" ht="15.6">
      <c r="B8474" s="197">
        <v>18.190227604325163</v>
      </c>
    </row>
    <row r="8475" spans="2:2" ht="15.6">
      <c r="B8475" s="197">
        <v>18.303066055653332</v>
      </c>
    </row>
    <row r="8476" spans="2:2" ht="15.6">
      <c r="B8476" s="197">
        <v>18.252935941981999</v>
      </c>
    </row>
    <row r="8477" spans="2:2" ht="15.6">
      <c r="B8477" s="197">
        <v>18.060599201242702</v>
      </c>
    </row>
    <row r="8478" spans="2:2" ht="15.6">
      <c r="B8478" s="197">
        <v>18.447819537374947</v>
      </c>
    </row>
    <row r="8479" spans="2:2" ht="15.6">
      <c r="B8479" s="197">
        <v>18.131229357340061</v>
      </c>
    </row>
    <row r="8480" spans="2:2" ht="15.6">
      <c r="B8480" s="197">
        <v>18.177059506802028</v>
      </c>
    </row>
    <row r="8481" spans="2:2" ht="15.6">
      <c r="B8481" s="197">
        <v>18.074339296534365</v>
      </c>
    </row>
    <row r="8482" spans="2:2" ht="15.6">
      <c r="B8482" s="197">
        <v>18.059978403025308</v>
      </c>
    </row>
    <row r="8483" spans="2:2" ht="15.6">
      <c r="B8483" s="197">
        <v>18.03934640604362</v>
      </c>
    </row>
    <row r="8484" spans="2:2" ht="15.6">
      <c r="B8484" s="197">
        <v>18.103287247172503</v>
      </c>
    </row>
    <row r="8485" spans="2:2" ht="15.6">
      <c r="B8485" s="197">
        <v>18.278784075503246</v>
      </c>
    </row>
    <row r="8486" spans="2:2" ht="15.6">
      <c r="B8486" s="197">
        <v>18.023067491182427</v>
      </c>
    </row>
    <row r="8487" spans="2:2" ht="15.6">
      <c r="B8487" s="197">
        <v>18.332170784344868</v>
      </c>
    </row>
    <row r="8488" spans="2:2" ht="15.6">
      <c r="B8488" s="197">
        <v>18.226116563235728</v>
      </c>
    </row>
    <row r="8489" spans="2:2" ht="15.6">
      <c r="B8489" s="197">
        <v>18.128030544933466</v>
      </c>
    </row>
    <row r="8490" spans="2:2" ht="15.6">
      <c r="B8490" s="197">
        <v>18.135361946410455</v>
      </c>
    </row>
    <row r="8491" spans="2:2" ht="15.6">
      <c r="B8491" s="197">
        <v>18.078195672180939</v>
      </c>
    </row>
    <row r="8492" spans="2:2" ht="15.6">
      <c r="B8492" s="197">
        <v>17.939186762837977</v>
      </c>
    </row>
    <row r="8493" spans="2:2" ht="15.6">
      <c r="B8493" s="197">
        <v>18.136314820528177</v>
      </c>
    </row>
    <row r="8494" spans="2:2" ht="15.6">
      <c r="B8494" s="197">
        <v>17.783625131732677</v>
      </c>
    </row>
    <row r="8495" spans="2:2" ht="15.6">
      <c r="B8495" s="197">
        <v>18.500501621134759</v>
      </c>
    </row>
    <row r="8496" spans="2:2" ht="15.6">
      <c r="B8496" s="197">
        <v>18.279562251626579</v>
      </c>
    </row>
    <row r="8497" spans="2:2" ht="15.6">
      <c r="B8497" s="197">
        <v>17.787787554904394</v>
      </c>
    </row>
    <row r="8498" spans="2:2" ht="15.6">
      <c r="B8498" s="197">
        <v>18.070948127737438</v>
      </c>
    </row>
    <row r="8499" spans="2:2" ht="15.6">
      <c r="B8499" s="197">
        <v>18.184015150325237</v>
      </c>
    </row>
    <row r="8500" spans="2:2" ht="15.6">
      <c r="B8500" s="197">
        <v>18.201444718709055</v>
      </c>
    </row>
    <row r="8501" spans="2:2" ht="15.6">
      <c r="B8501" s="197">
        <v>18.020511924742696</v>
      </c>
    </row>
    <row r="8502" spans="2:2" ht="15.6">
      <c r="B8502" s="197">
        <v>17.885831723579475</v>
      </c>
    </row>
    <row r="8503" spans="2:2" ht="15.6">
      <c r="B8503" s="197">
        <v>18.256907923597979</v>
      </c>
    </row>
    <row r="8504" spans="2:2" ht="15.6">
      <c r="B8504" s="197">
        <v>18.285342208041868</v>
      </c>
    </row>
    <row r="8505" spans="2:2" ht="15.6">
      <c r="B8505" s="197">
        <v>17.894741698783299</v>
      </c>
    </row>
    <row r="8506" spans="2:2" ht="15.6">
      <c r="B8506" s="197">
        <v>18.23640363096747</v>
      </c>
    </row>
    <row r="8507" spans="2:2" ht="15.6">
      <c r="B8507" s="197">
        <v>18.209311996415568</v>
      </c>
    </row>
    <row r="8508" spans="2:2" ht="15.6">
      <c r="B8508" s="197">
        <v>18.114639364015638</v>
      </c>
    </row>
    <row r="8509" spans="2:2" ht="15.6">
      <c r="B8509" s="197">
        <v>18.138138730068441</v>
      </c>
    </row>
    <row r="8510" spans="2:2" ht="15.6">
      <c r="B8510" s="197">
        <v>18.346555876596526</v>
      </c>
    </row>
    <row r="8511" spans="2:2" ht="15.6">
      <c r="B8511" s="197">
        <v>17.93170666562526</v>
      </c>
    </row>
    <row r="8512" spans="2:2" ht="15.6">
      <c r="B8512" s="197">
        <v>18.22122528778171</v>
      </c>
    </row>
    <row r="8513" spans="2:2" ht="15.6">
      <c r="B8513" s="197">
        <v>18.391126148902742</v>
      </c>
    </row>
    <row r="8514" spans="2:2" ht="15.6">
      <c r="B8514" s="197">
        <v>17.927958983627921</v>
      </c>
    </row>
    <row r="8515" spans="2:2" ht="15.6">
      <c r="B8515" s="197">
        <v>18.346942670954789</v>
      </c>
    </row>
    <row r="8516" spans="2:2" ht="15.6">
      <c r="B8516" s="197">
        <v>17.812745424065632</v>
      </c>
    </row>
    <row r="8517" spans="2:2" ht="15.6">
      <c r="B8517" s="197">
        <v>18.152419590968027</v>
      </c>
    </row>
    <row r="8518" spans="2:2" ht="15.6">
      <c r="B8518" s="197">
        <v>18.249270086235285</v>
      </c>
    </row>
    <row r="8519" spans="2:2" ht="15.6">
      <c r="B8519" s="197">
        <v>18.038809732535551</v>
      </c>
    </row>
    <row r="8520" spans="2:2" ht="15.6">
      <c r="B8520" s="197">
        <v>18.205884211869172</v>
      </c>
    </row>
    <row r="8521" spans="2:2" ht="15.6">
      <c r="B8521" s="197">
        <v>18.225660495537316</v>
      </c>
    </row>
    <row r="8522" spans="2:2" ht="15.6">
      <c r="B8522" s="197">
        <v>18.183460061762759</v>
      </c>
    </row>
    <row r="8523" spans="2:2" ht="15.6">
      <c r="B8523" s="197">
        <v>18.323089170849055</v>
      </c>
    </row>
    <row r="8524" spans="2:2" ht="15.6">
      <c r="B8524" s="197">
        <v>18.054149090098065</v>
      </c>
    </row>
    <row r="8525" spans="2:2" ht="15.6">
      <c r="B8525" s="197">
        <v>18.196496337173709</v>
      </c>
    </row>
    <row r="8526" spans="2:2" ht="15.6">
      <c r="B8526" s="197">
        <v>17.943832740619545</v>
      </c>
    </row>
    <row r="8527" spans="2:2" ht="15.6">
      <c r="B8527" s="197">
        <v>18.283638942768619</v>
      </c>
    </row>
    <row r="8528" spans="2:2" ht="15.6">
      <c r="B8528" s="197">
        <v>18.38602434373815</v>
      </c>
    </row>
    <row r="8529" spans="2:2" ht="15.6">
      <c r="B8529" s="197">
        <v>18.117968314077004</v>
      </c>
    </row>
    <row r="8530" spans="2:2" ht="15.6">
      <c r="B8530" s="197">
        <v>18.094285175379348</v>
      </c>
    </row>
    <row r="8531" spans="2:2" ht="15.6">
      <c r="B8531" s="197">
        <v>17.909321209229482</v>
      </c>
    </row>
    <row r="8532" spans="2:2" ht="15.6">
      <c r="B8532" s="197">
        <v>18.113110730106971</v>
      </c>
    </row>
    <row r="8533" spans="2:2" ht="15.6">
      <c r="B8533" s="197">
        <v>17.948078611603712</v>
      </c>
    </row>
    <row r="8534" spans="2:2" ht="15.6">
      <c r="B8534" s="197">
        <v>18.037643293596819</v>
      </c>
    </row>
    <row r="8535" spans="2:2" ht="15.6">
      <c r="B8535" s="197">
        <v>18.34256272054207</v>
      </c>
    </row>
    <row r="8536" spans="2:2" ht="15.6">
      <c r="B8536" s="197">
        <v>17.699716884892297</v>
      </c>
    </row>
    <row r="8537" spans="2:2" ht="15.6">
      <c r="B8537" s="197">
        <v>18.153735846324338</v>
      </c>
    </row>
    <row r="8538" spans="2:2" ht="15.6">
      <c r="B8538" s="197">
        <v>17.892568803290576</v>
      </c>
    </row>
    <row r="8539" spans="2:2" ht="15.6">
      <c r="B8539" s="197">
        <v>17.868994285780452</v>
      </c>
    </row>
    <row r="8540" spans="2:2" ht="15.6">
      <c r="B8540" s="197">
        <v>18.249038722981172</v>
      </c>
    </row>
    <row r="8541" spans="2:2" ht="15.6">
      <c r="B8541" s="197">
        <v>18.522869854647009</v>
      </c>
    </row>
    <row r="8542" spans="2:2" ht="15.6">
      <c r="B8542" s="197">
        <v>18.472631793662288</v>
      </c>
    </row>
    <row r="8543" spans="2:2" ht="15.6">
      <c r="B8543" s="197">
        <v>18.025830944606898</v>
      </c>
    </row>
    <row r="8544" spans="2:2" ht="15.6">
      <c r="B8544" s="197">
        <v>17.937238157501966</v>
      </c>
    </row>
    <row r="8545" spans="2:2" ht="15.6">
      <c r="B8545" s="197">
        <v>18.243088662306874</v>
      </c>
    </row>
    <row r="8546" spans="2:2" ht="15.6">
      <c r="B8546" s="197">
        <v>18.332423594431045</v>
      </c>
    </row>
    <row r="8547" spans="2:2" ht="15.6">
      <c r="B8547" s="197">
        <v>17.977865242451387</v>
      </c>
    </row>
    <row r="8548" spans="2:2" ht="15.6">
      <c r="B8548" s="197">
        <v>18.375706656478435</v>
      </c>
    </row>
    <row r="8549" spans="2:2" ht="15.6">
      <c r="B8549" s="197">
        <v>18.481635148137176</v>
      </c>
    </row>
    <row r="8550" spans="2:2" ht="15.6">
      <c r="B8550" s="197">
        <v>18.469391993580004</v>
      </c>
    </row>
    <row r="8551" spans="2:2" ht="15.6">
      <c r="B8551" s="197">
        <v>18.109206471731682</v>
      </c>
    </row>
    <row r="8552" spans="2:2" ht="15.6">
      <c r="B8552" s="197">
        <v>18.176774019312667</v>
      </c>
    </row>
    <row r="8553" spans="2:2" ht="15.6">
      <c r="B8553" s="197">
        <v>17.891085970792076</v>
      </c>
    </row>
    <row r="8554" spans="2:2" ht="15.6">
      <c r="B8554" s="197">
        <v>18.293752527174028</v>
      </c>
    </row>
    <row r="8555" spans="2:2" ht="15.6">
      <c r="B8555" s="197">
        <v>18.313692903923609</v>
      </c>
    </row>
    <row r="8556" spans="2:2" ht="15.6">
      <c r="B8556" s="197">
        <v>18.33900951954038</v>
      </c>
    </row>
    <row r="8557" spans="2:2" ht="15.6">
      <c r="B8557" s="197">
        <v>18.197884790285205</v>
      </c>
    </row>
    <row r="8558" spans="2:2" ht="15.6">
      <c r="B8558" s="197">
        <v>18.220801870764657</v>
      </c>
    </row>
    <row r="8559" spans="2:2" ht="15.6">
      <c r="B8559" s="197">
        <v>18.118742623297454</v>
      </c>
    </row>
    <row r="8560" spans="2:2" ht="15.6">
      <c r="B8560" s="197">
        <v>18.074455927739518</v>
      </c>
    </row>
    <row r="8561" spans="2:2" ht="15.6">
      <c r="B8561" s="197">
        <v>17.826951815150462</v>
      </c>
    </row>
    <row r="8562" spans="2:2" ht="15.6">
      <c r="B8562" s="197">
        <v>18.184692420449561</v>
      </c>
    </row>
    <row r="8563" spans="2:2" ht="15.6">
      <c r="B8563" s="197">
        <v>18.61423101296473</v>
      </c>
    </row>
    <row r="8564" spans="2:2" ht="15.6">
      <c r="B8564" s="197">
        <v>18.712706466850651</v>
      </c>
    </row>
    <row r="8565" spans="2:2" ht="15.6">
      <c r="B8565" s="197">
        <v>18.084726964617584</v>
      </c>
    </row>
    <row r="8566" spans="2:2" ht="15.6">
      <c r="B8566" s="197">
        <v>18.056153043660188</v>
      </c>
    </row>
    <row r="8567" spans="2:2" ht="15.6">
      <c r="B8567" s="197">
        <v>17.952519002691822</v>
      </c>
    </row>
    <row r="8568" spans="2:2" ht="15.6">
      <c r="B8568" s="197">
        <v>18.053320994319872</v>
      </c>
    </row>
    <row r="8569" spans="2:2" ht="15.6">
      <c r="B8569" s="197">
        <v>18.211192234739158</v>
      </c>
    </row>
    <row r="8570" spans="2:2" ht="15.6">
      <c r="B8570" s="197">
        <v>18.085742200863724</v>
      </c>
    </row>
    <row r="8571" spans="2:2" ht="15.6">
      <c r="B8571" s="197">
        <v>18.522629925603979</v>
      </c>
    </row>
    <row r="8572" spans="2:2" ht="15.6">
      <c r="B8572" s="197">
        <v>18.285240779495776</v>
      </c>
    </row>
    <row r="8573" spans="2:2" ht="15.6">
      <c r="B8573" s="197">
        <v>17.955004773724589</v>
      </c>
    </row>
    <row r="8574" spans="2:2" ht="15.6">
      <c r="B8574" s="197">
        <v>18.35172658701482</v>
      </c>
    </row>
    <row r="8575" spans="2:2" ht="15.6">
      <c r="B8575" s="197">
        <v>18.14083764341866</v>
      </c>
    </row>
    <row r="8576" spans="2:2" ht="15.6">
      <c r="B8576" s="197">
        <v>18.240250561384237</v>
      </c>
    </row>
    <row r="8577" spans="2:2" ht="15.6">
      <c r="B8577" s="197">
        <v>18.041456562110685</v>
      </c>
    </row>
    <row r="8578" spans="2:2" ht="15.6">
      <c r="B8578" s="197">
        <v>17.95979669502238</v>
      </c>
    </row>
    <row r="8579" spans="2:2" ht="15.6">
      <c r="B8579" s="197">
        <v>18.22390335842719</v>
      </c>
    </row>
    <row r="8580" spans="2:2" ht="15.6">
      <c r="B8580" s="197">
        <v>18.221479571397328</v>
      </c>
    </row>
    <row r="8581" spans="2:2" ht="15.6">
      <c r="B8581" s="197">
        <v>17.981976234650215</v>
      </c>
    </row>
    <row r="8582" spans="2:2" ht="15.6">
      <c r="B8582" s="197">
        <v>18.214830881711006</v>
      </c>
    </row>
    <row r="8583" spans="2:2" ht="15.6">
      <c r="B8583" s="197">
        <v>18.200319471608434</v>
      </c>
    </row>
    <row r="8584" spans="2:2" ht="15.6">
      <c r="B8584" s="197">
        <v>18.173506599268094</v>
      </c>
    </row>
    <row r="8585" spans="2:2" ht="15.6">
      <c r="B8585" s="197">
        <v>18.610716777517322</v>
      </c>
    </row>
    <row r="8586" spans="2:2" ht="15.6">
      <c r="B8586" s="197">
        <v>18.046917498341404</v>
      </c>
    </row>
    <row r="8587" spans="2:2" ht="15.6">
      <c r="B8587" s="197">
        <v>18.229111866319109</v>
      </c>
    </row>
    <row r="8588" spans="2:2" ht="15.6">
      <c r="B8588" s="197">
        <v>17.838535869576891</v>
      </c>
    </row>
    <row r="8589" spans="2:2" ht="15.6">
      <c r="B8589" s="197">
        <v>18.215620170623339</v>
      </c>
    </row>
    <row r="8590" spans="2:2" ht="15.6">
      <c r="B8590" s="197">
        <v>18.238767167528135</v>
      </c>
    </row>
    <row r="8591" spans="2:2" ht="15.6">
      <c r="B8591" s="197">
        <v>18.279072047238408</v>
      </c>
    </row>
    <row r="8592" spans="2:2" ht="15.6">
      <c r="B8592" s="197">
        <v>18.394671772911639</v>
      </c>
    </row>
    <row r="8593" spans="2:2" ht="15.6">
      <c r="B8593" s="197">
        <v>18.338617365794878</v>
      </c>
    </row>
    <row r="8594" spans="2:2" ht="15.6">
      <c r="B8594" s="197">
        <v>18.182389535175869</v>
      </c>
    </row>
    <row r="8595" spans="2:2" ht="15.6">
      <c r="B8595" s="197">
        <v>18.159043408966046</v>
      </c>
    </row>
    <row r="8596" spans="2:2" ht="15.6">
      <c r="B8596" s="197">
        <v>17.827571576825953</v>
      </c>
    </row>
    <row r="8597" spans="2:2" ht="15.6">
      <c r="B8597" s="197">
        <v>18.092356656501362</v>
      </c>
    </row>
    <row r="8598" spans="2:2" ht="15.6">
      <c r="B8598" s="197">
        <v>17.840850666798527</v>
      </c>
    </row>
    <row r="8599" spans="2:2" ht="15.6">
      <c r="B8599" s="197">
        <v>17.878035189594296</v>
      </c>
    </row>
    <row r="8600" spans="2:2" ht="15.6">
      <c r="B8600" s="197">
        <v>18.003352507006802</v>
      </c>
    </row>
    <row r="8601" spans="2:2" ht="15.6">
      <c r="B8601" s="197">
        <v>18.17312858883264</v>
      </c>
    </row>
    <row r="8602" spans="2:2" ht="15.6">
      <c r="B8602" s="197">
        <v>18.485604111927323</v>
      </c>
    </row>
    <row r="8603" spans="2:2" ht="15.6">
      <c r="B8603" s="197">
        <v>18.274497079928704</v>
      </c>
    </row>
    <row r="8604" spans="2:2" ht="15.6">
      <c r="B8604" s="197">
        <v>18.012080907959483</v>
      </c>
    </row>
    <row r="8605" spans="2:2" ht="15.6">
      <c r="B8605" s="197">
        <v>18.238394715403331</v>
      </c>
    </row>
    <row r="8606" spans="2:2" ht="15.6">
      <c r="B8606" s="197">
        <v>17.912576382847025</v>
      </c>
    </row>
    <row r="8607" spans="2:2" ht="15.6">
      <c r="B8607" s="197">
        <v>18.099113469955668</v>
      </c>
    </row>
    <row r="8608" spans="2:2" ht="15.6">
      <c r="B8608" s="197">
        <v>18.095960068927802</v>
      </c>
    </row>
    <row r="8609" spans="2:2" ht="15.6">
      <c r="B8609" s="197">
        <v>18.194795527812325</v>
      </c>
    </row>
    <row r="8610" spans="2:2" ht="15.6">
      <c r="B8610" s="197">
        <v>18.674002520864562</v>
      </c>
    </row>
    <row r="8611" spans="2:2" ht="15.6">
      <c r="B8611" s="197">
        <v>18.022458164481073</v>
      </c>
    </row>
    <row r="8612" spans="2:2" ht="15.6">
      <c r="B8612" s="197">
        <v>17.961820099111605</v>
      </c>
    </row>
    <row r="8613" spans="2:2" ht="15.6">
      <c r="B8613" s="197">
        <v>18.199204499675059</v>
      </c>
    </row>
    <row r="8614" spans="2:2" ht="15.6">
      <c r="B8614" s="197">
        <v>18.275666902913226</v>
      </c>
    </row>
    <row r="8615" spans="2:2" ht="15.6">
      <c r="B8615" s="197">
        <v>18.148006031833628</v>
      </c>
    </row>
    <row r="8616" spans="2:2" ht="15.6">
      <c r="B8616" s="197">
        <v>18.206267457191721</v>
      </c>
    </row>
    <row r="8617" spans="2:2" ht="15.6">
      <c r="B8617" s="197">
        <v>18.249954067790924</v>
      </c>
    </row>
    <row r="8618" spans="2:2" ht="15.6">
      <c r="B8618" s="197">
        <v>17.863571687061558</v>
      </c>
    </row>
    <row r="8619" spans="2:2" ht="15.6">
      <c r="B8619" s="197">
        <v>17.880456681416145</v>
      </c>
    </row>
    <row r="8620" spans="2:2" ht="15.6">
      <c r="B8620" s="197">
        <v>18.135387709034291</v>
      </c>
    </row>
    <row r="8621" spans="2:2" ht="15.6">
      <c r="B8621" s="197">
        <v>18.27763201367468</v>
      </c>
    </row>
    <row r="8622" spans="2:2" ht="15.6">
      <c r="B8622" s="197">
        <v>17.989093409832261</v>
      </c>
    </row>
    <row r="8623" spans="2:2" ht="15.6">
      <c r="B8623" s="197">
        <v>18.337880750639417</v>
      </c>
    </row>
    <row r="8624" spans="2:2" ht="15.6">
      <c r="B8624" s="197">
        <v>18.122313471461243</v>
      </c>
    </row>
    <row r="8625" spans="2:2" ht="15.6">
      <c r="B8625" s="197">
        <v>18.027663922307305</v>
      </c>
    </row>
    <row r="8626" spans="2:2" ht="15.6">
      <c r="B8626" s="197">
        <v>18.328318113217271</v>
      </c>
    </row>
    <row r="8627" spans="2:2" ht="15.6">
      <c r="B8627" s="197">
        <v>18.090225673426779</v>
      </c>
    </row>
    <row r="8628" spans="2:2" ht="15.6">
      <c r="B8628" s="197">
        <v>17.947904462533526</v>
      </c>
    </row>
    <row r="8629" spans="2:2" ht="15.6">
      <c r="B8629" s="197">
        <v>17.92226471944366</v>
      </c>
    </row>
    <row r="8630" spans="2:2" ht="15.6">
      <c r="B8630" s="197">
        <v>17.974681370032712</v>
      </c>
    </row>
    <row r="8631" spans="2:2" ht="15.6">
      <c r="B8631" s="197">
        <v>17.859072671939014</v>
      </c>
    </row>
    <row r="8632" spans="2:2" ht="15.6">
      <c r="B8632" s="197">
        <v>18.006610505672644</v>
      </c>
    </row>
    <row r="8633" spans="2:2" ht="15.6">
      <c r="B8633" s="197">
        <v>17.782283065496529</v>
      </c>
    </row>
    <row r="8634" spans="2:2" ht="15.6">
      <c r="B8634" s="197">
        <v>18.081250438920588</v>
      </c>
    </row>
    <row r="8635" spans="2:2" ht="15.6">
      <c r="B8635" s="197">
        <v>18.288781918889025</v>
      </c>
    </row>
    <row r="8636" spans="2:2" ht="15.6">
      <c r="B8636" s="197">
        <v>18.232999188426053</v>
      </c>
    </row>
    <row r="8637" spans="2:2" ht="15.6">
      <c r="B8637" s="197">
        <v>18.257673275472776</v>
      </c>
    </row>
    <row r="8638" spans="2:2" ht="15.6">
      <c r="B8638" s="197">
        <v>18.160224509102445</v>
      </c>
    </row>
    <row r="8639" spans="2:2" ht="15.6">
      <c r="B8639" s="197">
        <v>18.206312293944702</v>
      </c>
    </row>
    <row r="8640" spans="2:2" ht="15.6">
      <c r="B8640" s="197">
        <v>18.001622523005715</v>
      </c>
    </row>
    <row r="8641" spans="2:2" ht="15.6">
      <c r="B8641" s="197">
        <v>17.923552435306981</v>
      </c>
    </row>
    <row r="8642" spans="2:2" ht="15.6">
      <c r="B8642" s="197">
        <v>17.999399782812727</v>
      </c>
    </row>
    <row r="8643" spans="2:2" ht="15.6">
      <c r="B8643" s="197">
        <v>18.334652597660273</v>
      </c>
    </row>
    <row r="8644" spans="2:2" ht="15.6">
      <c r="B8644" s="197">
        <v>17.885429065737991</v>
      </c>
    </row>
    <row r="8645" spans="2:2" ht="15.6">
      <c r="B8645" s="197">
        <v>18.353549167059235</v>
      </c>
    </row>
    <row r="8646" spans="2:2" ht="15.6">
      <c r="B8646" s="197">
        <v>18.226768237383308</v>
      </c>
    </row>
    <row r="8647" spans="2:2" ht="15.6">
      <c r="B8647" s="197">
        <v>18.068879104885131</v>
      </c>
    </row>
    <row r="8648" spans="2:2" ht="15.6">
      <c r="B8648" s="197">
        <v>17.743604286157439</v>
      </c>
    </row>
    <row r="8649" spans="2:2" ht="15.6">
      <c r="B8649" s="197">
        <v>18.099497361680442</v>
      </c>
    </row>
    <row r="8650" spans="2:2" ht="15.6">
      <c r="B8650" s="197">
        <v>17.896094874604685</v>
      </c>
    </row>
    <row r="8651" spans="2:2" ht="15.6">
      <c r="B8651" s="197">
        <v>17.894456430328731</v>
      </c>
    </row>
    <row r="8652" spans="2:2" ht="15.6">
      <c r="B8652" s="197">
        <v>18.077712734735503</v>
      </c>
    </row>
    <row r="8653" spans="2:2" ht="15.6">
      <c r="B8653" s="197">
        <v>18.55706675549586</v>
      </c>
    </row>
    <row r="8654" spans="2:2" ht="15.6">
      <c r="B8654" s="197">
        <v>17.804990710106104</v>
      </c>
    </row>
    <row r="8655" spans="2:2" ht="15.6">
      <c r="B8655" s="197">
        <v>18.311361386510011</v>
      </c>
    </row>
    <row r="8656" spans="2:2" ht="15.6">
      <c r="B8656" s="197">
        <v>18.280662709789766</v>
      </c>
    </row>
    <row r="8657" spans="2:2" ht="15.6">
      <c r="B8657" s="197">
        <v>18.031371146214401</v>
      </c>
    </row>
    <row r="8658" spans="2:2" ht="15.6">
      <c r="B8658" s="197">
        <v>18.544359566785388</v>
      </c>
    </row>
    <row r="8659" spans="2:2" ht="15.6">
      <c r="B8659" s="197">
        <v>18.228869290414288</v>
      </c>
    </row>
    <row r="8660" spans="2:2" ht="15.6">
      <c r="B8660" s="197">
        <v>18.268125804948895</v>
      </c>
    </row>
    <row r="8661" spans="2:2" ht="15.6">
      <c r="B8661" s="197">
        <v>18.065466000006825</v>
      </c>
    </row>
    <row r="8662" spans="2:2" ht="15.6">
      <c r="B8662" s="197">
        <v>18.059119747137323</v>
      </c>
    </row>
    <row r="8663" spans="2:2" ht="15.6">
      <c r="B8663" s="197">
        <v>17.759547928232852</v>
      </c>
    </row>
    <row r="8664" spans="2:2" ht="15.6">
      <c r="B8664" s="197">
        <v>18.147633059220325</v>
      </c>
    </row>
    <row r="8665" spans="2:2" ht="15.6">
      <c r="B8665" s="197">
        <v>18.017666912336022</v>
      </c>
    </row>
    <row r="8666" spans="2:2" ht="15.6">
      <c r="B8666" s="197">
        <v>18.047698754698597</v>
      </c>
    </row>
    <row r="8667" spans="2:2" ht="15.6">
      <c r="B8667" s="197">
        <v>18.409583555031752</v>
      </c>
    </row>
    <row r="8668" spans="2:2" ht="15.6">
      <c r="B8668" s="197">
        <v>18.058615396265317</v>
      </c>
    </row>
    <row r="8669" spans="2:2" ht="15.6">
      <c r="B8669" s="197">
        <v>18.287849967004941</v>
      </c>
    </row>
    <row r="8670" spans="2:2" ht="15.6">
      <c r="B8670" s="197">
        <v>18.205891388989784</v>
      </c>
    </row>
    <row r="8671" spans="2:2" ht="15.6">
      <c r="B8671" s="197">
        <v>18.132635307968545</v>
      </c>
    </row>
    <row r="8672" spans="2:2" ht="15.6">
      <c r="B8672" s="197">
        <v>17.9567833267811</v>
      </c>
    </row>
    <row r="8673" spans="2:2" ht="15.6">
      <c r="B8673" s="197">
        <v>18.004237624128741</v>
      </c>
    </row>
    <row r="8674" spans="2:2" ht="15.6">
      <c r="B8674" s="197">
        <v>17.873852694031481</v>
      </c>
    </row>
    <row r="8675" spans="2:2" ht="15.6">
      <c r="B8675" s="197">
        <v>18.245253602298195</v>
      </c>
    </row>
    <row r="8676" spans="2:2" ht="15.6">
      <c r="B8676" s="197">
        <v>18.093898429295919</v>
      </c>
    </row>
    <row r="8677" spans="2:2" ht="15.6">
      <c r="B8677" s="197">
        <v>18.278281378696359</v>
      </c>
    </row>
    <row r="8678" spans="2:2" ht="15.6">
      <c r="B8678" s="197">
        <v>17.956957379346402</v>
      </c>
    </row>
    <row r="8679" spans="2:2" ht="15.6">
      <c r="B8679" s="197">
        <v>17.750686174845097</v>
      </c>
    </row>
    <row r="8680" spans="2:2" ht="15.6">
      <c r="B8680" s="197">
        <v>17.926344679911708</v>
      </c>
    </row>
    <row r="8681" spans="2:2" ht="15.6">
      <c r="B8681" s="197">
        <v>18.549653142787104</v>
      </c>
    </row>
    <row r="8682" spans="2:2" ht="15.6">
      <c r="B8682" s="197">
        <v>17.864714276712192</v>
      </c>
    </row>
    <row r="8683" spans="2:2" ht="15.6">
      <c r="B8683" s="197">
        <v>18.136618751143828</v>
      </c>
    </row>
    <row r="8684" spans="2:2" ht="15.6">
      <c r="B8684" s="197">
        <v>18.300649854932139</v>
      </c>
    </row>
    <row r="8685" spans="2:2" ht="15.6">
      <c r="B8685" s="197">
        <v>18.239504129558068</v>
      </c>
    </row>
    <row r="8686" spans="2:2" ht="15.6">
      <c r="B8686" s="197">
        <v>18.258336748464551</v>
      </c>
    </row>
    <row r="8687" spans="2:2" ht="15.6">
      <c r="B8687" s="197">
        <v>18.20987530192733</v>
      </c>
    </row>
    <row r="8688" spans="2:2" ht="15.6">
      <c r="B8688" s="197">
        <v>18.072123129959255</v>
      </c>
    </row>
    <row r="8689" spans="2:2" ht="15.6">
      <c r="B8689" s="197">
        <v>18.291563476553659</v>
      </c>
    </row>
    <row r="8690" spans="2:2" ht="15.6">
      <c r="B8690" s="197">
        <v>18.454184435225372</v>
      </c>
    </row>
    <row r="8691" spans="2:2" ht="15.6">
      <c r="B8691" s="197">
        <v>18.471189642936114</v>
      </c>
    </row>
    <row r="8692" spans="2:2" ht="15.6">
      <c r="B8692" s="197">
        <v>18.150957002720734</v>
      </c>
    </row>
    <row r="8693" spans="2:2" ht="15.6">
      <c r="B8693" s="197">
        <v>18.030571548722705</v>
      </c>
    </row>
    <row r="8694" spans="2:2" ht="15.6">
      <c r="B8694" s="197">
        <v>17.842026449003203</v>
      </c>
    </row>
    <row r="8695" spans="2:2" ht="15.6">
      <c r="B8695" s="197">
        <v>17.877050001899185</v>
      </c>
    </row>
    <row r="8696" spans="2:2" ht="15.6">
      <c r="B8696" s="197">
        <v>18.014900718259597</v>
      </c>
    </row>
    <row r="8697" spans="2:2" ht="15.6">
      <c r="B8697" s="197">
        <v>18.000289916231441</v>
      </c>
    </row>
    <row r="8698" spans="2:2" ht="15.6">
      <c r="B8698" s="197">
        <v>18.044627861528145</v>
      </c>
    </row>
    <row r="8699" spans="2:2" ht="15.6">
      <c r="B8699" s="197">
        <v>18.371196544618417</v>
      </c>
    </row>
    <row r="8700" spans="2:2" ht="15.6">
      <c r="B8700" s="197">
        <v>18.014320752494871</v>
      </c>
    </row>
    <row r="8701" spans="2:2" ht="15.6">
      <c r="B8701" s="197">
        <v>18.244765212072622</v>
      </c>
    </row>
    <row r="8702" spans="2:2" ht="15.6">
      <c r="B8702" s="197">
        <v>18.217268063811506</v>
      </c>
    </row>
    <row r="8703" spans="2:2" ht="15.6">
      <c r="B8703" s="197">
        <v>17.877283445140797</v>
      </c>
    </row>
    <row r="8704" spans="2:2" ht="15.6">
      <c r="B8704" s="197">
        <v>18.411720874648925</v>
      </c>
    </row>
    <row r="8705" spans="2:2" ht="15.6">
      <c r="B8705" s="197">
        <v>18.288746162448334</v>
      </c>
    </row>
    <row r="8706" spans="2:2" ht="15.6">
      <c r="B8706" s="197">
        <v>18.1612498389295</v>
      </c>
    </row>
    <row r="8707" spans="2:2" ht="15.6">
      <c r="B8707" s="197">
        <v>18.115144242384083</v>
      </c>
    </row>
    <row r="8708" spans="2:2" ht="15.6">
      <c r="B8708" s="197">
        <v>18.27004937895768</v>
      </c>
    </row>
    <row r="8709" spans="2:2" ht="15.6">
      <c r="B8709" s="197">
        <v>18.304009109322333</v>
      </c>
    </row>
    <row r="8710" spans="2:2" ht="15.6">
      <c r="B8710" s="197">
        <v>18.26179688248072</v>
      </c>
    </row>
    <row r="8711" spans="2:2" ht="15.6">
      <c r="B8711" s="197">
        <v>18.070277604903271</v>
      </c>
    </row>
    <row r="8712" spans="2:2" ht="15.6">
      <c r="B8712" s="197">
        <v>18.100060250494959</v>
      </c>
    </row>
    <row r="8713" spans="2:2" ht="15.6">
      <c r="B8713" s="197">
        <v>18.057308622075183</v>
      </c>
    </row>
    <row r="8714" spans="2:2" ht="15.6">
      <c r="B8714" s="197">
        <v>18.245802340911002</v>
      </c>
    </row>
    <row r="8715" spans="2:2" ht="15.6">
      <c r="B8715" s="197">
        <v>17.998468339766955</v>
      </c>
    </row>
    <row r="8716" spans="2:2" ht="15.6">
      <c r="B8716" s="197">
        <v>18.075289538808708</v>
      </c>
    </row>
    <row r="8717" spans="2:2" ht="15.6">
      <c r="B8717" s="197">
        <v>18.10706557230802</v>
      </c>
    </row>
    <row r="8718" spans="2:2" ht="15.6">
      <c r="B8718" s="197">
        <v>18.251949191326791</v>
      </c>
    </row>
    <row r="8719" spans="2:2" ht="15.6">
      <c r="B8719" s="197">
        <v>18.335097951361092</v>
      </c>
    </row>
    <row r="8720" spans="2:2" ht="15.6">
      <c r="B8720" s="197">
        <v>18.323511701324904</v>
      </c>
    </row>
    <row r="8721" spans="2:2" ht="15.6">
      <c r="B8721" s="197">
        <v>18.255052596426498</v>
      </c>
    </row>
    <row r="8722" spans="2:2" ht="15.6">
      <c r="B8722" s="197">
        <v>18.195610166030949</v>
      </c>
    </row>
    <row r="8723" spans="2:2" ht="15.6">
      <c r="B8723" s="197">
        <v>18.22898290481174</v>
      </c>
    </row>
    <row r="8724" spans="2:2" ht="15.6">
      <c r="B8724" s="197">
        <v>18.341120910962182</v>
      </c>
    </row>
    <row r="8725" spans="2:2" ht="15.6">
      <c r="B8725" s="197">
        <v>18.566192938105029</v>
      </c>
    </row>
    <row r="8726" spans="2:2" ht="15.6">
      <c r="B8726" s="197">
        <v>18.14702517917685</v>
      </c>
    </row>
    <row r="8727" spans="2:2" ht="15.6">
      <c r="B8727" s="197">
        <v>18.188406156613961</v>
      </c>
    </row>
    <row r="8728" spans="2:2" ht="15.6">
      <c r="B8728" s="197">
        <v>18.029584340197058</v>
      </c>
    </row>
    <row r="8729" spans="2:2" ht="15.6">
      <c r="B8729" s="197">
        <v>18.326271479940008</v>
      </c>
    </row>
    <row r="8730" spans="2:2" ht="15.6">
      <c r="B8730" s="197">
        <v>17.797972755290242</v>
      </c>
    </row>
    <row r="8731" spans="2:2" ht="15.6">
      <c r="B8731" s="197">
        <v>18.067236035841972</v>
      </c>
    </row>
    <row r="8732" spans="2:2" ht="15.6">
      <c r="B8732" s="197">
        <v>18.063549912293372</v>
      </c>
    </row>
    <row r="8733" spans="2:2" ht="15.6">
      <c r="B8733" s="197">
        <v>18.359150925329704</v>
      </c>
    </row>
    <row r="8734" spans="2:2" ht="15.6">
      <c r="B8734" s="197">
        <v>18.147054060499862</v>
      </c>
    </row>
    <row r="8735" spans="2:2" ht="15.6">
      <c r="B8735" s="197">
        <v>18.131063474816031</v>
      </c>
    </row>
    <row r="8736" spans="2:2" ht="15.6">
      <c r="B8736" s="197">
        <v>18.328672593012854</v>
      </c>
    </row>
    <row r="8737" spans="2:2" ht="15.6">
      <c r="B8737" s="197">
        <v>18.015133251598577</v>
      </c>
    </row>
    <row r="8738" spans="2:2" ht="15.6">
      <c r="B8738" s="197">
        <v>17.935215770529808</v>
      </c>
    </row>
    <row r="8739" spans="2:2" ht="15.6">
      <c r="B8739" s="197">
        <v>17.94909050451103</v>
      </c>
    </row>
    <row r="8740" spans="2:2" ht="15.6">
      <c r="B8740" s="197">
        <v>18.070210845541371</v>
      </c>
    </row>
    <row r="8741" spans="2:2" ht="15.6">
      <c r="B8741" s="197">
        <v>18.385913094801758</v>
      </c>
    </row>
    <row r="8742" spans="2:2" ht="15.6">
      <c r="B8742" s="197">
        <v>18.158275186549073</v>
      </c>
    </row>
    <row r="8743" spans="2:2" ht="15.6">
      <c r="B8743" s="197">
        <v>17.94227969482403</v>
      </c>
    </row>
    <row r="8744" spans="2:2" ht="15.6">
      <c r="B8744" s="197">
        <v>17.99453343648835</v>
      </c>
    </row>
    <row r="8745" spans="2:2" ht="15.6">
      <c r="B8745" s="197">
        <v>17.906411928768975</v>
      </c>
    </row>
    <row r="8746" spans="2:2" ht="15.6">
      <c r="B8746" s="197">
        <v>18.122783630169671</v>
      </c>
    </row>
    <row r="8747" spans="2:2" ht="15.6">
      <c r="B8747" s="197">
        <v>17.778063509301919</v>
      </c>
    </row>
    <row r="8748" spans="2:2" ht="15.6">
      <c r="B8748" s="197">
        <v>18.170210129752128</v>
      </c>
    </row>
    <row r="8749" spans="2:2" ht="15.6">
      <c r="B8749" s="197">
        <v>18.119941814768485</v>
      </c>
    </row>
    <row r="8750" spans="2:2" ht="15.6">
      <c r="B8750" s="197">
        <v>18.420116307195023</v>
      </c>
    </row>
    <row r="8751" spans="2:2" ht="15.6">
      <c r="B8751" s="197">
        <v>18.16180072604897</v>
      </c>
    </row>
    <row r="8752" spans="2:2" ht="15.6">
      <c r="B8752" s="197">
        <v>18.207142685400445</v>
      </c>
    </row>
    <row r="8753" spans="2:2" ht="15.6">
      <c r="B8753" s="197">
        <v>18.519541889247741</v>
      </c>
    </row>
    <row r="8754" spans="2:2" ht="15.6">
      <c r="B8754" s="197">
        <v>18.290934117783685</v>
      </c>
    </row>
    <row r="8755" spans="2:2" ht="15.6">
      <c r="B8755" s="197">
        <v>18.138940803686204</v>
      </c>
    </row>
    <row r="8756" spans="2:2" ht="15.6">
      <c r="B8756" s="197">
        <v>17.96183622707251</v>
      </c>
    </row>
    <row r="8757" spans="2:2" ht="15.6">
      <c r="B8757" s="197">
        <v>17.998619694676325</v>
      </c>
    </row>
    <row r="8758" spans="2:2" ht="15.6">
      <c r="B8758" s="197">
        <v>18.419711801564819</v>
      </c>
    </row>
    <row r="8759" spans="2:2" ht="15.6">
      <c r="B8759" s="197">
        <v>17.944597773977634</v>
      </c>
    </row>
    <row r="8760" spans="2:2" ht="15.6">
      <c r="B8760" s="197">
        <v>17.894170991547302</v>
      </c>
    </row>
    <row r="8761" spans="2:2" ht="15.6">
      <c r="B8761" s="197">
        <v>18.244122937885198</v>
      </c>
    </row>
    <row r="8762" spans="2:2" ht="15.6">
      <c r="B8762" s="197">
        <v>18.198707810669088</v>
      </c>
    </row>
    <row r="8763" spans="2:2" ht="15.6">
      <c r="B8763" s="197">
        <v>17.970013194151377</v>
      </c>
    </row>
    <row r="8764" spans="2:2" ht="15.6">
      <c r="B8764" s="197">
        <v>18.098129529853789</v>
      </c>
    </row>
    <row r="8765" spans="2:2" ht="15.6">
      <c r="B8765" s="197">
        <v>18.12427606428751</v>
      </c>
    </row>
    <row r="8766" spans="2:2" ht="15.6">
      <c r="B8766" s="197">
        <v>18.52620183340667</v>
      </c>
    </row>
    <row r="8767" spans="2:2" ht="15.6">
      <c r="B8767" s="197">
        <v>18.214661340743156</v>
      </c>
    </row>
    <row r="8768" spans="2:2" ht="15.6">
      <c r="B8768" s="197">
        <v>18.209978902134957</v>
      </c>
    </row>
    <row r="8769" spans="2:2" ht="15.6">
      <c r="B8769" s="197">
        <v>17.995253999095546</v>
      </c>
    </row>
    <row r="8770" spans="2:2" ht="15.6">
      <c r="B8770" s="197">
        <v>17.73230466205608</v>
      </c>
    </row>
    <row r="8771" spans="2:2" ht="15.6">
      <c r="B8771" s="197">
        <v>18.047144093353047</v>
      </c>
    </row>
    <row r="8772" spans="2:2" ht="15.6">
      <c r="B8772" s="197">
        <v>18.19424136729867</v>
      </c>
    </row>
    <row r="8773" spans="2:2" ht="15.6">
      <c r="B8773" s="197">
        <v>18.117597997795357</v>
      </c>
    </row>
    <row r="8774" spans="2:2" ht="15.6">
      <c r="B8774" s="197">
        <v>17.884383242293605</v>
      </c>
    </row>
    <row r="8775" spans="2:2" ht="15.6">
      <c r="B8775" s="197">
        <v>17.99309734239943</v>
      </c>
    </row>
    <row r="8776" spans="2:2" ht="15.6">
      <c r="B8776" s="197">
        <v>17.796154945803348</v>
      </c>
    </row>
    <row r="8777" spans="2:2" ht="15.6">
      <c r="B8777" s="197">
        <v>18.131859591794957</v>
      </c>
    </row>
    <row r="8778" spans="2:2" ht="15.6">
      <c r="B8778" s="197">
        <v>18.612672096572197</v>
      </c>
    </row>
    <row r="8779" spans="2:2" ht="15.6">
      <c r="B8779" s="197">
        <v>18.180801218478706</v>
      </c>
    </row>
    <row r="8780" spans="2:2" ht="15.6">
      <c r="B8780" s="197">
        <v>18.060326512649251</v>
      </c>
    </row>
    <row r="8781" spans="2:2" ht="15.6">
      <c r="B8781" s="197">
        <v>18.091655509298054</v>
      </c>
    </row>
    <row r="8782" spans="2:2" ht="15.6">
      <c r="B8782" s="197">
        <v>18.11332217564901</v>
      </c>
    </row>
    <row r="8783" spans="2:2" ht="15.6">
      <c r="B8783" s="197">
        <v>18.135333883279749</v>
      </c>
    </row>
    <row r="8784" spans="2:2" ht="15.6">
      <c r="B8784" s="197">
        <v>18.326058198716545</v>
      </c>
    </row>
    <row r="8785" spans="2:2" ht="15.6">
      <c r="B8785" s="197">
        <v>17.697116945976191</v>
      </c>
    </row>
    <row r="8786" spans="2:2" ht="15.6">
      <c r="B8786" s="197">
        <v>18.309793896222693</v>
      </c>
    </row>
    <row r="8787" spans="2:2" ht="15.6">
      <c r="B8787" s="197">
        <v>17.976154719530481</v>
      </c>
    </row>
    <row r="8788" spans="2:2" ht="15.6">
      <c r="B8788" s="197">
        <v>18.161979161269404</v>
      </c>
    </row>
    <row r="8789" spans="2:2" ht="15.6">
      <c r="B8789" s="197">
        <v>18.326700532568058</v>
      </c>
    </row>
    <row r="8790" spans="2:2" ht="15.6">
      <c r="B8790" s="197">
        <v>18.04708703984096</v>
      </c>
    </row>
    <row r="8791" spans="2:2" ht="15.6">
      <c r="B8791" s="197">
        <v>17.883842273603996</v>
      </c>
    </row>
    <row r="8792" spans="2:2" ht="15.6">
      <c r="B8792" s="197">
        <v>18.48517525118616</v>
      </c>
    </row>
    <row r="8793" spans="2:2" ht="15.6">
      <c r="B8793" s="197">
        <v>18.153712672923536</v>
      </c>
    </row>
    <row r="8794" spans="2:2" ht="15.6">
      <c r="B8794" s="197">
        <v>18.153081145340312</v>
      </c>
    </row>
    <row r="8795" spans="2:2" ht="15.6">
      <c r="B8795" s="197">
        <v>18.352127055956895</v>
      </c>
    </row>
    <row r="8796" spans="2:2" ht="15.6">
      <c r="B8796" s="197">
        <v>18.173199660240243</v>
      </c>
    </row>
    <row r="8797" spans="2:2" ht="15.6">
      <c r="B8797" s="197">
        <v>18.215730828968393</v>
      </c>
    </row>
    <row r="8798" spans="2:2" ht="15.6">
      <c r="B8798" s="197">
        <v>17.757287387405377</v>
      </c>
    </row>
    <row r="8799" spans="2:2" ht="15.6">
      <c r="B8799" s="197">
        <v>18.029543598153506</v>
      </c>
    </row>
    <row r="8800" spans="2:2" ht="15.6">
      <c r="B8800" s="197">
        <v>18.123945683483594</v>
      </c>
    </row>
    <row r="8801" spans="2:2" ht="15.6">
      <c r="B8801" s="197">
        <v>18.20880571385273</v>
      </c>
    </row>
    <row r="8802" spans="2:2" ht="15.6">
      <c r="B8802" s="197">
        <v>17.989407824184649</v>
      </c>
    </row>
    <row r="8803" spans="2:2" ht="15.6">
      <c r="B8803" s="197">
        <v>18.594633127296554</v>
      </c>
    </row>
    <row r="8804" spans="2:2" ht="15.6">
      <c r="B8804" s="197">
        <v>17.972343996649226</v>
      </c>
    </row>
    <row r="8805" spans="2:2" ht="15.6">
      <c r="B8805" s="197">
        <v>18.267674770580509</v>
      </c>
    </row>
    <row r="8806" spans="2:2" ht="15.6">
      <c r="B8806" s="197">
        <v>18.153476881244362</v>
      </c>
    </row>
    <row r="8807" spans="2:2" ht="15.6">
      <c r="B8807" s="197">
        <v>17.974612591986638</v>
      </c>
    </row>
    <row r="8808" spans="2:2" ht="15.6">
      <c r="B8808" s="197">
        <v>18.345049078703259</v>
      </c>
    </row>
    <row r="8809" spans="2:2" ht="15.6">
      <c r="B8809" s="197">
        <v>18.198210882763089</v>
      </c>
    </row>
    <row r="8810" spans="2:2" ht="15.6">
      <c r="B8810" s="197">
        <v>18.553121355440442</v>
      </c>
    </row>
    <row r="8811" spans="2:2" ht="15.6">
      <c r="B8811" s="197">
        <v>18.260691313564497</v>
      </c>
    </row>
    <row r="8812" spans="2:2" ht="15.6">
      <c r="B8812" s="197">
        <v>18.241465178649456</v>
      </c>
    </row>
    <row r="8813" spans="2:2" ht="15.6">
      <c r="B8813" s="197">
        <v>18.191053017065407</v>
      </c>
    </row>
    <row r="8814" spans="2:2" ht="15.6">
      <c r="B8814" s="197">
        <v>18.414793202585418</v>
      </c>
    </row>
    <row r="8815" spans="2:2" ht="15.6">
      <c r="B8815" s="197">
        <v>17.954109666603621</v>
      </c>
    </row>
    <row r="8816" spans="2:2" ht="15.6">
      <c r="B8816" s="197">
        <v>18.071896682110399</v>
      </c>
    </row>
    <row r="8817" spans="2:2" ht="15.6">
      <c r="B8817" s="197">
        <v>17.922195843571927</v>
      </c>
    </row>
    <row r="8818" spans="2:2" ht="15.6">
      <c r="B8818" s="197">
        <v>18.108682648435572</v>
      </c>
    </row>
    <row r="8819" spans="2:2" ht="15.6">
      <c r="B8819" s="197">
        <v>18.300317264779075</v>
      </c>
    </row>
    <row r="8820" spans="2:2" ht="15.6">
      <c r="B8820" s="197">
        <v>18.309267942079721</v>
      </c>
    </row>
    <row r="8821" spans="2:2" ht="15.6">
      <c r="B8821" s="197">
        <v>18.114029036656067</v>
      </c>
    </row>
    <row r="8822" spans="2:2" ht="15.6">
      <c r="B8822" s="197">
        <v>17.895294487371707</v>
      </c>
    </row>
    <row r="8823" spans="2:2" ht="15.6">
      <c r="B8823" s="197">
        <v>18.295207013699315</v>
      </c>
    </row>
    <row r="8824" spans="2:2" ht="15.6">
      <c r="B8824" s="197">
        <v>17.995375138076298</v>
      </c>
    </row>
    <row r="8825" spans="2:2" ht="15.6">
      <c r="B8825" s="197">
        <v>18.068857523728678</v>
      </c>
    </row>
    <row r="8826" spans="2:2" ht="15.6">
      <c r="B8826" s="197">
        <v>18.292859660174607</v>
      </c>
    </row>
    <row r="8827" spans="2:2" ht="15.6">
      <c r="B8827" s="197">
        <v>18.29582462289099</v>
      </c>
    </row>
    <row r="8828" spans="2:2" ht="15.6">
      <c r="B8828" s="197">
        <v>17.980228941273175</v>
      </c>
    </row>
    <row r="8829" spans="2:2" ht="15.6">
      <c r="B8829" s="197">
        <v>17.759997680730983</v>
      </c>
    </row>
    <row r="8830" spans="2:2" ht="15.6">
      <c r="B8830" s="197">
        <v>18.395174116745775</v>
      </c>
    </row>
    <row r="8831" spans="2:2" ht="15.6">
      <c r="B8831" s="197">
        <v>18.323392424723256</v>
      </c>
    </row>
    <row r="8832" spans="2:2" ht="15.6">
      <c r="B8832" s="197">
        <v>18.135396893960017</v>
      </c>
    </row>
    <row r="8833" spans="2:2" ht="15.6">
      <c r="B8833" s="197">
        <v>17.920782185313268</v>
      </c>
    </row>
    <row r="8834" spans="2:2" ht="15.6">
      <c r="B8834" s="197">
        <v>18.160294929941319</v>
      </c>
    </row>
    <row r="8835" spans="2:2" ht="15.6">
      <c r="B8835" s="197">
        <v>18.26299223013946</v>
      </c>
    </row>
    <row r="8836" spans="2:2" ht="15.6">
      <c r="B8836" s="197">
        <v>18.411483711804216</v>
      </c>
    </row>
    <row r="8837" spans="2:2" ht="15.6">
      <c r="B8837" s="197">
        <v>17.924655327210239</v>
      </c>
    </row>
    <row r="8838" spans="2:2" ht="15.6">
      <c r="B8838" s="197">
        <v>18.072591987115281</v>
      </c>
    </row>
    <row r="8839" spans="2:2" ht="15.6">
      <c r="B8839" s="197">
        <v>18.299629818058595</v>
      </c>
    </row>
    <row r="8840" spans="2:2" ht="15.6">
      <c r="B8840" s="197">
        <v>18.38812099255648</v>
      </c>
    </row>
    <row r="8841" spans="2:2" ht="15.6">
      <c r="B8841" s="197">
        <v>18.343083742706689</v>
      </c>
    </row>
    <row r="8842" spans="2:2" ht="15.6">
      <c r="B8842" s="197">
        <v>17.974332453398581</v>
      </c>
    </row>
    <row r="8843" spans="2:2" ht="15.6">
      <c r="B8843" s="197">
        <v>18.175046574733599</v>
      </c>
    </row>
    <row r="8844" spans="2:2" ht="15.6">
      <c r="B8844" s="197">
        <v>17.976315522780194</v>
      </c>
    </row>
    <row r="8845" spans="2:2" ht="15.6">
      <c r="B8845" s="197">
        <v>17.96486129107776</v>
      </c>
    </row>
    <row r="8846" spans="2:2" ht="15.6">
      <c r="B8846" s="197">
        <v>17.982087389291785</v>
      </c>
    </row>
    <row r="8847" spans="2:2" ht="15.6">
      <c r="B8847" s="197">
        <v>18.244140585294126</v>
      </c>
    </row>
    <row r="8848" spans="2:2" ht="15.6">
      <c r="B8848" s="197">
        <v>18.147352209256216</v>
      </c>
    </row>
    <row r="8849" spans="2:2" ht="15.6">
      <c r="B8849" s="197">
        <v>18.405738995904045</v>
      </c>
    </row>
    <row r="8850" spans="2:2" ht="15.6">
      <c r="B8850" s="197">
        <v>18.278382141645274</v>
      </c>
    </row>
    <row r="8851" spans="2:2" ht="15.6">
      <c r="B8851" s="197">
        <v>18.211535421678583</v>
      </c>
    </row>
    <row r="8852" spans="2:2" ht="15.6">
      <c r="B8852" s="197">
        <v>18.094339406263618</v>
      </c>
    </row>
    <row r="8853" spans="2:2" ht="15.6">
      <c r="B8853" s="197">
        <v>18.183692310718548</v>
      </c>
    </row>
    <row r="8854" spans="2:2" ht="15.6">
      <c r="B8854" s="197">
        <v>17.680070354089249</v>
      </c>
    </row>
    <row r="8855" spans="2:2" ht="15.6">
      <c r="B8855" s="197">
        <v>17.771566749797159</v>
      </c>
    </row>
    <row r="8856" spans="2:2" ht="15.6">
      <c r="B8856" s="197">
        <v>18.259181220326354</v>
      </c>
    </row>
    <row r="8857" spans="2:2" ht="15.6">
      <c r="B8857" s="197">
        <v>18.287642733982</v>
      </c>
    </row>
    <row r="8858" spans="2:2" ht="15.6">
      <c r="B8858" s="197">
        <v>18.27440422709979</v>
      </c>
    </row>
    <row r="8859" spans="2:2" ht="15.6">
      <c r="B8859" s="197">
        <v>18.216560620979827</v>
      </c>
    </row>
    <row r="8860" spans="2:2" ht="15.6">
      <c r="B8860" s="197">
        <v>18.111781809840462</v>
      </c>
    </row>
    <row r="8861" spans="2:2" ht="15.6">
      <c r="B8861" s="197">
        <v>18.293063280995078</v>
      </c>
    </row>
    <row r="8862" spans="2:2" ht="15.6">
      <c r="B8862" s="197">
        <v>18.112625069400476</v>
      </c>
    </row>
    <row r="8863" spans="2:2" ht="15.6">
      <c r="B8863" s="197">
        <v>18.444162335919607</v>
      </c>
    </row>
    <row r="8864" spans="2:2" ht="15.6">
      <c r="B8864" s="197">
        <v>18.098998604581762</v>
      </c>
    </row>
    <row r="8865" spans="2:2" ht="15.6">
      <c r="B8865" s="197">
        <v>17.584417820288476</v>
      </c>
    </row>
    <row r="8866" spans="2:2" ht="15.6">
      <c r="B8866" s="197">
        <v>18.141152259179108</v>
      </c>
    </row>
    <row r="8867" spans="2:2" ht="15.6">
      <c r="B8867" s="197">
        <v>18.049521651013873</v>
      </c>
    </row>
    <row r="8868" spans="2:2" ht="15.6">
      <c r="B8868" s="197">
        <v>18.143291159019501</v>
      </c>
    </row>
    <row r="8869" spans="2:2" ht="15.6">
      <c r="B8869" s="197">
        <v>18.312924335785837</v>
      </c>
    </row>
    <row r="8870" spans="2:2" ht="15.6">
      <c r="B8870" s="197">
        <v>18.13787056866915</v>
      </c>
    </row>
    <row r="8871" spans="2:2" ht="15.6">
      <c r="B8871" s="197">
        <v>18.118431357802475</v>
      </c>
    </row>
    <row r="8872" spans="2:2" ht="15.6">
      <c r="B8872" s="197">
        <v>17.805591369979705</v>
      </c>
    </row>
    <row r="8873" spans="2:2" ht="15.6">
      <c r="B8873" s="197">
        <v>17.924122064667632</v>
      </c>
    </row>
    <row r="8874" spans="2:2" ht="15.6">
      <c r="B8874" s="197">
        <v>17.934368008278732</v>
      </c>
    </row>
    <row r="8875" spans="2:2" ht="15.6">
      <c r="B8875" s="197">
        <v>18.241521724893882</v>
      </c>
    </row>
    <row r="8876" spans="2:2" ht="15.6">
      <c r="B8876" s="197">
        <v>18.158327669627084</v>
      </c>
    </row>
    <row r="8877" spans="2:2" ht="15.6">
      <c r="B8877" s="197">
        <v>18.039152783449371</v>
      </c>
    </row>
    <row r="8878" spans="2:2" ht="15.6">
      <c r="B8878" s="197">
        <v>18.248293152366255</v>
      </c>
    </row>
    <row r="8879" spans="2:2" ht="15.6">
      <c r="B8879" s="197">
        <v>18.350783608186504</v>
      </c>
    </row>
    <row r="8880" spans="2:2" ht="15.6">
      <c r="B8880" s="197">
        <v>18.352750328082887</v>
      </c>
    </row>
    <row r="8881" spans="2:2" ht="15.6">
      <c r="B8881" s="197">
        <v>17.982714252398445</v>
      </c>
    </row>
    <row r="8882" spans="2:2" ht="15.6">
      <c r="B8882" s="197">
        <v>18.188060730444686</v>
      </c>
    </row>
    <row r="8883" spans="2:2" ht="15.6">
      <c r="B8883" s="197">
        <v>17.684607340050409</v>
      </c>
    </row>
    <row r="8884" spans="2:2" ht="15.6">
      <c r="B8884" s="197">
        <v>18.069863987940312</v>
      </c>
    </row>
    <row r="8885" spans="2:2" ht="15.6">
      <c r="B8885" s="197">
        <v>18.232572013032549</v>
      </c>
    </row>
    <row r="8886" spans="2:2" ht="15.6">
      <c r="B8886" s="197">
        <v>18.077675748830693</v>
      </c>
    </row>
    <row r="8887" spans="2:2" ht="15.6">
      <c r="B8887" s="197">
        <v>18.371727828634622</v>
      </c>
    </row>
    <row r="8888" spans="2:2" ht="15.6">
      <c r="B8888" s="197">
        <v>18.046403371328431</v>
      </c>
    </row>
    <row r="8889" spans="2:2" ht="15.6">
      <c r="B8889" s="197">
        <v>18.201890825581145</v>
      </c>
    </row>
    <row r="8890" spans="2:2" ht="15.6">
      <c r="B8890" s="197">
        <v>18.296050248986653</v>
      </c>
    </row>
    <row r="8891" spans="2:2" ht="15.6">
      <c r="B8891" s="197">
        <v>17.996731492215048</v>
      </c>
    </row>
    <row r="8892" spans="2:2" ht="15.6">
      <c r="B8892" s="197">
        <v>18.318181721466281</v>
      </c>
    </row>
    <row r="8893" spans="2:2" ht="15.6">
      <c r="B8893" s="197">
        <v>18.649496615474337</v>
      </c>
    </row>
    <row r="8894" spans="2:2" ht="15.6">
      <c r="B8894" s="197">
        <v>18.131988982798735</v>
      </c>
    </row>
    <row r="8895" spans="2:2" ht="15.6">
      <c r="B8895" s="197">
        <v>18.078502889234144</v>
      </c>
    </row>
    <row r="8896" spans="2:2" ht="15.6">
      <c r="B8896" s="197">
        <v>18.375515645364263</v>
      </c>
    </row>
    <row r="8897" spans="2:2" ht="15.6">
      <c r="B8897" s="197">
        <v>18.361100420623103</v>
      </c>
    </row>
    <row r="8898" spans="2:2" ht="15.6">
      <c r="B8898" s="197">
        <v>18.17500436565054</v>
      </c>
    </row>
    <row r="8899" spans="2:2" ht="15.6">
      <c r="B8899" s="197">
        <v>18.2548322209026</v>
      </c>
    </row>
    <row r="8900" spans="2:2" ht="15.6">
      <c r="B8900" s="197">
        <v>17.940238458854164</v>
      </c>
    </row>
    <row r="8901" spans="2:2" ht="15.6">
      <c r="B8901" s="197">
        <v>18.102462208668591</v>
      </c>
    </row>
    <row r="8902" spans="2:2" ht="15.6">
      <c r="B8902" s="197">
        <v>18.289997665562801</v>
      </c>
    </row>
    <row r="8903" spans="2:2" ht="15.6">
      <c r="B8903" s="197">
        <v>18.15136844815823</v>
      </c>
    </row>
    <row r="8904" spans="2:2" ht="15.6">
      <c r="B8904" s="197">
        <v>18.14198827242657</v>
      </c>
    </row>
    <row r="8905" spans="2:2" ht="15.6">
      <c r="B8905" s="197">
        <v>18.115855367433593</v>
      </c>
    </row>
    <row r="8906" spans="2:2" ht="15.6">
      <c r="B8906" s="197">
        <v>17.954153308142129</v>
      </c>
    </row>
    <row r="8907" spans="2:2" ht="15.6">
      <c r="B8907" s="197">
        <v>17.868709648562341</v>
      </c>
    </row>
    <row r="8908" spans="2:2" ht="15.6">
      <c r="B8908" s="197">
        <v>18.095303856422753</v>
      </c>
    </row>
    <row r="8909" spans="2:2" ht="15.6">
      <c r="B8909" s="197">
        <v>17.89788329020254</v>
      </c>
    </row>
    <row r="8910" spans="2:2" ht="15.6">
      <c r="B8910" s="197">
        <v>18.152299208565857</v>
      </c>
    </row>
    <row r="8911" spans="2:2" ht="15.6">
      <c r="B8911" s="197">
        <v>17.96852620838191</v>
      </c>
    </row>
    <row r="8912" spans="2:2" ht="15.6">
      <c r="B8912" s="197">
        <v>18.264112419085134</v>
      </c>
    </row>
    <row r="8913" spans="2:2" ht="15.6">
      <c r="B8913" s="197">
        <v>18.136149666438715</v>
      </c>
    </row>
    <row r="8914" spans="2:2" ht="15.6">
      <c r="B8914" s="197">
        <v>18.138366041400158</v>
      </c>
    </row>
    <row r="8915" spans="2:2" ht="15.6">
      <c r="B8915" s="197">
        <v>18.133951396695004</v>
      </c>
    </row>
    <row r="8916" spans="2:2" ht="15.6">
      <c r="B8916" s="197">
        <v>18.20498500068916</v>
      </c>
    </row>
    <row r="8917" spans="2:2" ht="15.6">
      <c r="B8917" s="197">
        <v>18.095943476891946</v>
      </c>
    </row>
    <row r="8918" spans="2:2" ht="15.6">
      <c r="B8918" s="197">
        <v>18.132258791860483</v>
      </c>
    </row>
    <row r="8919" spans="2:2" ht="15.6">
      <c r="B8919" s="197">
        <v>18.052198232604415</v>
      </c>
    </row>
    <row r="8920" spans="2:2" ht="15.6">
      <c r="B8920" s="197">
        <v>17.795438982492708</v>
      </c>
    </row>
    <row r="8921" spans="2:2" ht="15.6">
      <c r="B8921" s="197">
        <v>18.281927313646523</v>
      </c>
    </row>
    <row r="8922" spans="2:2" ht="15.6">
      <c r="B8922" s="197">
        <v>17.962278491403524</v>
      </c>
    </row>
    <row r="8923" spans="2:2" ht="15.6">
      <c r="B8923" s="197">
        <v>18.068119952469104</v>
      </c>
    </row>
    <row r="8924" spans="2:2" ht="15.6">
      <c r="B8924" s="197">
        <v>18.02279481420107</v>
      </c>
    </row>
    <row r="8925" spans="2:2" ht="15.6">
      <c r="B8925" s="197">
        <v>18.093658151667217</v>
      </c>
    </row>
    <row r="8926" spans="2:2" ht="15.6">
      <c r="B8926" s="197">
        <v>18.168619140974329</v>
      </c>
    </row>
    <row r="8927" spans="2:2" ht="15.6">
      <c r="B8927" s="197">
        <v>18.173231903521906</v>
      </c>
    </row>
    <row r="8928" spans="2:2" ht="15.6">
      <c r="B8928" s="197">
        <v>17.90452983422308</v>
      </c>
    </row>
    <row r="8929" spans="2:2" ht="15.6">
      <c r="B8929" s="197">
        <v>18.454610552278591</v>
      </c>
    </row>
    <row r="8930" spans="2:2" ht="15.6">
      <c r="B8930" s="197">
        <v>18.068537706521852</v>
      </c>
    </row>
    <row r="8931" spans="2:2" ht="15.6">
      <c r="B8931" s="197">
        <v>18.236829977382822</v>
      </c>
    </row>
    <row r="8932" spans="2:2" ht="15.6">
      <c r="B8932" s="197">
        <v>18.456063332573745</v>
      </c>
    </row>
    <row r="8933" spans="2:2" ht="15.6">
      <c r="B8933" s="197">
        <v>18.1452145998059</v>
      </c>
    </row>
    <row r="8934" spans="2:2" ht="15.6">
      <c r="B8934" s="197">
        <v>18.295017544431747</v>
      </c>
    </row>
    <row r="8935" spans="2:2" ht="15.6">
      <c r="B8935" s="197">
        <v>18.045300961262193</v>
      </c>
    </row>
    <row r="8936" spans="2:2" ht="15.6">
      <c r="B8936" s="197">
        <v>18.335412285019697</v>
      </c>
    </row>
    <row r="8937" spans="2:2" ht="15.6">
      <c r="B8937" s="197">
        <v>17.977540553360438</v>
      </c>
    </row>
    <row r="8938" spans="2:2" ht="15.6">
      <c r="B8938" s="197">
        <v>18.363309109512809</v>
      </c>
    </row>
    <row r="8939" spans="2:2" ht="15.6">
      <c r="B8939" s="197">
        <v>17.990616703052712</v>
      </c>
    </row>
    <row r="8940" spans="2:2" ht="15.6">
      <c r="B8940" s="197">
        <v>18.141819278103789</v>
      </c>
    </row>
    <row r="8941" spans="2:2" ht="15.6">
      <c r="B8941" s="197">
        <v>18.167096224569413</v>
      </c>
    </row>
    <row r="8942" spans="2:2" ht="15.6">
      <c r="B8942" s="197">
        <v>18.220892264835207</v>
      </c>
    </row>
    <row r="8943" spans="2:2" ht="15.6">
      <c r="B8943" s="197">
        <v>18.392136551728385</v>
      </c>
    </row>
    <row r="8944" spans="2:2" ht="15.6">
      <c r="B8944" s="197">
        <v>17.982407746009372</v>
      </c>
    </row>
    <row r="8945" spans="2:2" ht="15.6">
      <c r="B8945" s="197">
        <v>18.071761757168204</v>
      </c>
    </row>
    <row r="8946" spans="2:2" ht="15.6">
      <c r="B8946" s="197">
        <v>18.346889890665434</v>
      </c>
    </row>
    <row r="8947" spans="2:2" ht="15.6">
      <c r="B8947" s="197">
        <v>18.221209652624054</v>
      </c>
    </row>
    <row r="8948" spans="2:2" ht="15.6">
      <c r="B8948" s="197">
        <v>18.377557221068287</v>
      </c>
    </row>
    <row r="8949" spans="2:2" ht="15.6">
      <c r="B8949" s="197">
        <v>18.268192925252176</v>
      </c>
    </row>
    <row r="8950" spans="2:2" ht="15.6">
      <c r="B8950" s="197">
        <v>18.4825255555773</v>
      </c>
    </row>
    <row r="8951" spans="2:2" ht="15.6">
      <c r="B8951" s="197">
        <v>18.188002498949036</v>
      </c>
    </row>
    <row r="8952" spans="2:2" ht="15.6">
      <c r="B8952" s="197">
        <v>18.203381179586003</v>
      </c>
    </row>
    <row r="8953" spans="2:2" ht="15.6">
      <c r="B8953" s="197">
        <v>17.81283323405734</v>
      </c>
    </row>
    <row r="8954" spans="2:2" ht="15.6">
      <c r="B8954" s="197">
        <v>18.22317047500006</v>
      </c>
    </row>
    <row r="8955" spans="2:2" ht="15.6">
      <c r="B8955" s="197">
        <v>18.204355630238798</v>
      </c>
    </row>
    <row r="8956" spans="2:2" ht="15.6">
      <c r="B8956" s="197">
        <v>18.328130073322999</v>
      </c>
    </row>
    <row r="8957" spans="2:2" ht="15.6">
      <c r="B8957" s="197">
        <v>18.102560503860705</v>
      </c>
    </row>
    <row r="8958" spans="2:2" ht="15.6">
      <c r="B8958" s="197">
        <v>18.298779549364028</v>
      </c>
    </row>
    <row r="8959" spans="2:2" ht="15.6">
      <c r="B8959" s="197">
        <v>18.488769545539931</v>
      </c>
    </row>
    <row r="8960" spans="2:2" ht="15.6">
      <c r="B8960" s="197">
        <v>18.087020040422875</v>
      </c>
    </row>
    <row r="8961" spans="2:2" ht="15.6">
      <c r="B8961" s="197">
        <v>18.243191901661909</v>
      </c>
    </row>
    <row r="8962" spans="2:2" ht="15.6">
      <c r="B8962" s="197">
        <v>18.202890061820579</v>
      </c>
    </row>
    <row r="8963" spans="2:2" ht="15.6">
      <c r="B8963" s="197">
        <v>18.068784117493522</v>
      </c>
    </row>
    <row r="8964" spans="2:2" ht="15.6">
      <c r="B8964" s="197">
        <v>18.016074971289306</v>
      </c>
    </row>
    <row r="8965" spans="2:2" ht="15.6">
      <c r="B8965" s="197">
        <v>18.384995943495124</v>
      </c>
    </row>
    <row r="8966" spans="2:2" ht="15.6">
      <c r="B8966" s="197">
        <v>18.114181920172591</v>
      </c>
    </row>
    <row r="8967" spans="2:2" ht="15.6">
      <c r="B8967" s="197">
        <v>18.022722677103239</v>
      </c>
    </row>
    <row r="8968" spans="2:2" ht="15.6">
      <c r="B8968" s="197">
        <v>17.972775584805529</v>
      </c>
    </row>
    <row r="8969" spans="2:2" ht="15.6">
      <c r="B8969" s="197">
        <v>18.311387620231102</v>
      </c>
    </row>
    <row r="8970" spans="2:2" ht="15.6">
      <c r="B8970" s="197">
        <v>18.426065570752385</v>
      </c>
    </row>
    <row r="8971" spans="2:2" ht="15.6">
      <c r="B8971" s="197">
        <v>17.729294639748076</v>
      </c>
    </row>
    <row r="8972" spans="2:2" ht="15.6">
      <c r="B8972" s="197">
        <v>18.331352633704093</v>
      </c>
    </row>
    <row r="8973" spans="2:2" ht="15.6">
      <c r="B8973" s="197">
        <v>18.189438710807796</v>
      </c>
    </row>
    <row r="8974" spans="2:2" ht="15.6">
      <c r="B8974" s="197">
        <v>18.277195206486759</v>
      </c>
    </row>
    <row r="8975" spans="2:2" ht="15.6">
      <c r="B8975" s="197">
        <v>17.853360463983247</v>
      </c>
    </row>
    <row r="8976" spans="2:2" ht="15.6">
      <c r="B8976" s="197">
        <v>18.157198408925016</v>
      </c>
    </row>
    <row r="8977" spans="2:2" ht="15.6">
      <c r="B8977" s="197">
        <v>18.43619729817669</v>
      </c>
    </row>
    <row r="8978" spans="2:2" ht="15.6">
      <c r="B8978" s="197">
        <v>18.260223467485364</v>
      </c>
    </row>
    <row r="8979" spans="2:2" ht="15.6">
      <c r="B8979" s="197">
        <v>17.899142007249107</v>
      </c>
    </row>
    <row r="8980" spans="2:2" ht="15.6">
      <c r="B8980" s="197">
        <v>18.181813650566937</v>
      </c>
    </row>
    <row r="8981" spans="2:2" ht="15.6">
      <c r="B8981" s="197">
        <v>17.991528867538406</v>
      </c>
    </row>
    <row r="8982" spans="2:2" ht="15.6">
      <c r="B8982" s="197">
        <v>18.666491713004635</v>
      </c>
    </row>
    <row r="8983" spans="2:2" ht="15.6">
      <c r="B8983" s="197">
        <v>18.009962362825252</v>
      </c>
    </row>
    <row r="8984" spans="2:2" ht="15.6">
      <c r="B8984" s="197">
        <v>18.51806414259482</v>
      </c>
    </row>
    <row r="8985" spans="2:2" ht="15.6">
      <c r="B8985" s="197">
        <v>18.332115541601986</v>
      </c>
    </row>
    <row r="8986" spans="2:2" ht="15.6">
      <c r="B8986" s="197">
        <v>18.094609522449208</v>
      </c>
    </row>
    <row r="8987" spans="2:2" ht="15.6">
      <c r="B8987" s="197">
        <v>18.527319839397418</v>
      </c>
    </row>
    <row r="8988" spans="2:2" ht="15.6">
      <c r="B8988" s="197">
        <v>17.782905973980601</v>
      </c>
    </row>
    <row r="8989" spans="2:2" ht="15.6">
      <c r="B8989" s="197">
        <v>18.165778163583635</v>
      </c>
    </row>
    <row r="8990" spans="2:2" ht="15.6">
      <c r="B8990" s="197">
        <v>18.054438653392953</v>
      </c>
    </row>
    <row r="8991" spans="2:2" ht="15.6">
      <c r="B8991" s="197">
        <v>17.827317750065816</v>
      </c>
    </row>
    <row r="8992" spans="2:2" ht="15.6">
      <c r="B8992" s="197">
        <v>18.454922352138134</v>
      </c>
    </row>
    <row r="8993" spans="2:2" ht="15.6">
      <c r="B8993" s="197">
        <v>18.063136054807554</v>
      </c>
    </row>
    <row r="8994" spans="2:2" ht="15.6">
      <c r="B8994" s="197">
        <v>17.95686535385547</v>
      </c>
    </row>
    <row r="8995" spans="2:2" ht="15.6">
      <c r="B8995" s="197">
        <v>17.984511865241345</v>
      </c>
    </row>
    <row r="8996" spans="2:2" ht="15.6">
      <c r="B8996" s="197">
        <v>17.932318505762041</v>
      </c>
    </row>
    <row r="8997" spans="2:2" ht="15.6">
      <c r="B8997" s="197">
        <v>18.205986802845366</v>
      </c>
    </row>
    <row r="8998" spans="2:2" ht="15.6">
      <c r="B8998" s="197">
        <v>18.695953025811782</v>
      </c>
    </row>
    <row r="8999" spans="2:2" ht="15.6">
      <c r="B8999" s="197">
        <v>18.216019657911168</v>
      </c>
    </row>
    <row r="9000" spans="2:2" ht="15.6">
      <c r="B9000" s="197">
        <v>18.154938434112854</v>
      </c>
    </row>
    <row r="9001" spans="2:2" ht="15.6">
      <c r="B9001" s="197">
        <v>18.245054601276181</v>
      </c>
    </row>
    <row r="9002" spans="2:2" ht="15.6">
      <c r="B9002" s="197">
        <v>18.535050861944761</v>
      </c>
    </row>
    <row r="9003" spans="2:2" ht="15.6">
      <c r="B9003" s="197">
        <v>17.532434260382022</v>
      </c>
    </row>
    <row r="9004" spans="2:2" ht="15.6">
      <c r="B9004" s="197">
        <v>17.912177218274135</v>
      </c>
    </row>
    <row r="9005" spans="2:2" ht="15.6">
      <c r="B9005" s="197">
        <v>17.934772955064084</v>
      </c>
    </row>
    <row r="9006" spans="2:2" ht="15.6">
      <c r="B9006" s="197">
        <v>17.924254282239094</v>
      </c>
    </row>
    <row r="9007" spans="2:2" ht="15.6">
      <c r="B9007" s="197">
        <v>18.21333044079752</v>
      </c>
    </row>
    <row r="9008" spans="2:2" ht="15.6">
      <c r="B9008" s="197">
        <v>18.374786237347632</v>
      </c>
    </row>
    <row r="9009" spans="2:2" ht="15.6">
      <c r="B9009" s="197">
        <v>18.142789891875903</v>
      </c>
    </row>
    <row r="9010" spans="2:2" ht="15.6">
      <c r="B9010" s="197">
        <v>18.088715163023195</v>
      </c>
    </row>
    <row r="9011" spans="2:2" ht="15.6">
      <c r="B9011" s="197">
        <v>18.090223332930645</v>
      </c>
    </row>
    <row r="9012" spans="2:2" ht="15.6">
      <c r="B9012" s="197">
        <v>18.521929048595162</v>
      </c>
    </row>
    <row r="9013" spans="2:2" ht="15.6">
      <c r="B9013" s="197">
        <v>18.139618639030097</v>
      </c>
    </row>
    <row r="9014" spans="2:2" ht="15.6">
      <c r="B9014" s="197">
        <v>18.290817279051968</v>
      </c>
    </row>
    <row r="9015" spans="2:2" ht="15.6">
      <c r="B9015" s="197">
        <v>17.935439343803246</v>
      </c>
    </row>
    <row r="9016" spans="2:2" ht="15.6">
      <c r="B9016" s="197">
        <v>18.278331560397728</v>
      </c>
    </row>
    <row r="9017" spans="2:2" ht="15.6">
      <c r="B9017" s="197">
        <v>18.389175181173101</v>
      </c>
    </row>
    <row r="9018" spans="2:2" ht="15.6">
      <c r="B9018" s="197">
        <v>18.15934089911056</v>
      </c>
    </row>
    <row r="9019" spans="2:2" ht="15.6">
      <c r="B9019" s="197">
        <v>18.865940208586959</v>
      </c>
    </row>
    <row r="9020" spans="2:2" ht="15.6">
      <c r="B9020" s="197">
        <v>18.251544267055742</v>
      </c>
    </row>
    <row r="9021" spans="2:2" ht="15.6">
      <c r="B9021" s="197">
        <v>18.278762428876846</v>
      </c>
    </row>
    <row r="9022" spans="2:2" ht="15.6">
      <c r="B9022" s="197">
        <v>18.015517040840024</v>
      </c>
    </row>
    <row r="9023" spans="2:2" ht="15.6">
      <c r="B9023" s="197">
        <v>18.260848042063611</v>
      </c>
    </row>
    <row r="9024" spans="2:2" ht="15.6">
      <c r="B9024" s="197">
        <v>18.23663267423159</v>
      </c>
    </row>
    <row r="9025" spans="2:2" ht="15.6">
      <c r="B9025" s="197">
        <v>17.906581729433139</v>
      </c>
    </row>
    <row r="9026" spans="2:2" ht="15.6">
      <c r="B9026" s="197">
        <v>18.338551966344617</v>
      </c>
    </row>
    <row r="9027" spans="2:2" ht="15.6">
      <c r="B9027" s="197">
        <v>17.953817776928616</v>
      </c>
    </row>
    <row r="9028" spans="2:2" ht="15.6">
      <c r="B9028" s="197">
        <v>18.312626843439915</v>
      </c>
    </row>
    <row r="9029" spans="2:2" ht="15.6">
      <c r="B9029" s="197">
        <v>18.14902566721015</v>
      </c>
    </row>
    <row r="9030" spans="2:2" ht="15.6">
      <c r="B9030" s="197">
        <v>17.944433064944416</v>
      </c>
    </row>
    <row r="9031" spans="2:2" ht="15.6">
      <c r="B9031" s="197">
        <v>18.158238000340528</v>
      </c>
    </row>
    <row r="9032" spans="2:2" ht="15.6">
      <c r="B9032" s="197">
        <v>17.98015271993054</v>
      </c>
    </row>
    <row r="9033" spans="2:2" ht="15.6">
      <c r="B9033" s="197">
        <v>17.90477804404507</v>
      </c>
    </row>
    <row r="9034" spans="2:2" ht="15.6">
      <c r="B9034" s="197">
        <v>18.069339976824118</v>
      </c>
    </row>
    <row r="9035" spans="2:2" ht="15.6">
      <c r="B9035" s="197">
        <v>18.192699413861991</v>
      </c>
    </row>
    <row r="9036" spans="2:2" ht="15.6">
      <c r="B9036" s="197">
        <v>18.114768130149088</v>
      </c>
    </row>
    <row r="9037" spans="2:2" ht="15.6">
      <c r="B9037" s="197">
        <v>17.783431207393889</v>
      </c>
    </row>
    <row r="9038" spans="2:2" ht="15.6">
      <c r="B9038" s="197">
        <v>18.09899401696941</v>
      </c>
    </row>
    <row r="9039" spans="2:2" ht="15.6">
      <c r="B9039" s="197">
        <v>17.957246915326653</v>
      </c>
    </row>
    <row r="9040" spans="2:2" ht="15.6">
      <c r="B9040" s="197">
        <v>18.097945444401383</v>
      </c>
    </row>
    <row r="9041" spans="2:2" ht="15.6">
      <c r="B9041" s="197">
        <v>18.551467923873268</v>
      </c>
    </row>
    <row r="9042" spans="2:2" ht="15.6">
      <c r="B9042" s="197">
        <v>17.978928573358537</v>
      </c>
    </row>
    <row r="9043" spans="2:2" ht="15.6">
      <c r="B9043" s="197">
        <v>18.355277359672755</v>
      </c>
    </row>
    <row r="9044" spans="2:2" ht="15.6">
      <c r="B9044" s="197">
        <v>18.105158150565071</v>
      </c>
    </row>
    <row r="9045" spans="2:2" ht="15.6">
      <c r="B9045" s="197">
        <v>17.978256372759976</v>
      </c>
    </row>
    <row r="9046" spans="2:2" ht="15.6">
      <c r="B9046" s="197">
        <v>18.0938879579579</v>
      </c>
    </row>
    <row r="9047" spans="2:2" ht="15.6">
      <c r="B9047" s="197">
        <v>18.197591282568251</v>
      </c>
    </row>
    <row r="9048" spans="2:2" ht="15.6">
      <c r="B9048" s="197">
        <v>18.238086009831846</v>
      </c>
    </row>
    <row r="9049" spans="2:2" ht="15.6">
      <c r="B9049" s="197">
        <v>17.898864136639745</v>
      </c>
    </row>
    <row r="9050" spans="2:2" ht="15.6">
      <c r="B9050" s="197">
        <v>17.925461873427597</v>
      </c>
    </row>
    <row r="9051" spans="2:2" ht="15.6">
      <c r="B9051" s="197">
        <v>18.258855434283966</v>
      </c>
    </row>
    <row r="9052" spans="2:2" ht="15.6">
      <c r="B9052" s="197">
        <v>18.145954952629467</v>
      </c>
    </row>
    <row r="9053" spans="2:2" ht="15.6">
      <c r="B9053" s="197">
        <v>18.059336296421613</v>
      </c>
    </row>
    <row r="9054" spans="2:2" ht="15.6">
      <c r="B9054" s="197">
        <v>18.163017199124475</v>
      </c>
    </row>
    <row r="9055" spans="2:2" ht="15.6">
      <c r="B9055" s="197">
        <v>18.198501253554348</v>
      </c>
    </row>
    <row r="9056" spans="2:2" ht="15.6">
      <c r="B9056" s="197">
        <v>18.247630495894104</v>
      </c>
    </row>
    <row r="9057" spans="2:2" ht="15.6">
      <c r="B9057" s="197">
        <v>18.061947087773323</v>
      </c>
    </row>
    <row r="9058" spans="2:2" ht="15.6">
      <c r="B9058" s="197">
        <v>17.963912354118182</v>
      </c>
    </row>
    <row r="9059" spans="2:2" ht="15.6">
      <c r="B9059" s="197">
        <v>17.870885874153661</v>
      </c>
    </row>
    <row r="9060" spans="2:2" ht="15.6">
      <c r="B9060" s="197">
        <v>17.912311643363036</v>
      </c>
    </row>
    <row r="9061" spans="2:2" ht="15.6">
      <c r="B9061" s="197">
        <v>18.138667114639279</v>
      </c>
    </row>
    <row r="9062" spans="2:2" ht="15.6">
      <c r="B9062" s="197">
        <v>17.890554268445694</v>
      </c>
    </row>
    <row r="9063" spans="2:2" ht="15.6">
      <c r="B9063" s="197">
        <v>17.983969744233182</v>
      </c>
    </row>
    <row r="9064" spans="2:2" ht="15.6">
      <c r="B9064" s="197">
        <v>18.205828725801158</v>
      </c>
    </row>
    <row r="9065" spans="2:2" ht="15.6">
      <c r="B9065" s="197">
        <v>18.29783460138546</v>
      </c>
    </row>
    <row r="9066" spans="2:2" ht="15.6">
      <c r="B9066" s="197">
        <v>18.328832886768176</v>
      </c>
    </row>
    <row r="9067" spans="2:2" ht="15.6">
      <c r="B9067" s="197">
        <v>17.881195066859263</v>
      </c>
    </row>
    <row r="9068" spans="2:2" ht="15.6">
      <c r="B9068" s="197">
        <v>17.996688332856355</v>
      </c>
    </row>
    <row r="9069" spans="2:2" ht="15.6">
      <c r="B9069" s="197">
        <v>18.057741957584064</v>
      </c>
    </row>
    <row r="9070" spans="2:2" ht="15.6">
      <c r="B9070" s="197">
        <v>18.03581709671484</v>
      </c>
    </row>
    <row r="9071" spans="2:2" ht="15.6">
      <c r="B9071" s="197">
        <v>18.284662258789108</v>
      </c>
    </row>
    <row r="9072" spans="2:2" ht="15.6">
      <c r="B9072" s="197">
        <v>17.84601828680881</v>
      </c>
    </row>
    <row r="9073" spans="2:2" ht="15.6">
      <c r="B9073" s="197">
        <v>17.861238823294133</v>
      </c>
    </row>
    <row r="9074" spans="2:2" ht="15.6">
      <c r="B9074" s="197">
        <v>18.293407522994173</v>
      </c>
    </row>
    <row r="9075" spans="2:2" ht="15.6">
      <c r="B9075" s="197">
        <v>18.032620440234702</v>
      </c>
    </row>
    <row r="9076" spans="2:2" ht="15.6">
      <c r="B9076" s="197">
        <v>18.175589162356594</v>
      </c>
    </row>
    <row r="9077" spans="2:2" ht="15.6">
      <c r="B9077" s="197">
        <v>18.649332222919828</v>
      </c>
    </row>
    <row r="9078" spans="2:2" ht="15.6">
      <c r="B9078" s="197">
        <v>17.989244220637261</v>
      </c>
    </row>
    <row r="9079" spans="2:2" ht="15.6">
      <c r="B9079" s="197">
        <v>18.022600031741437</v>
      </c>
    </row>
    <row r="9080" spans="2:2" ht="15.6">
      <c r="B9080" s="197">
        <v>18.005322051158352</v>
      </c>
    </row>
    <row r="9081" spans="2:2" ht="15.6">
      <c r="B9081" s="197">
        <v>18.28855759449424</v>
      </c>
    </row>
    <row r="9082" spans="2:2" ht="15.6">
      <c r="B9082" s="197">
        <v>17.978597048346991</v>
      </c>
    </row>
    <row r="9083" spans="2:2" ht="15.6">
      <c r="B9083" s="197">
        <v>18.184822980891017</v>
      </c>
    </row>
    <row r="9084" spans="2:2" ht="15.6">
      <c r="B9084" s="197">
        <v>18.098438430535435</v>
      </c>
    </row>
    <row r="9085" spans="2:2" ht="15.6">
      <c r="B9085" s="197">
        <v>17.925744479940505</v>
      </c>
    </row>
    <row r="9086" spans="2:2" ht="15.6">
      <c r="B9086" s="197">
        <v>17.887776132204994</v>
      </c>
    </row>
    <row r="9087" spans="2:2" ht="15.6">
      <c r="B9087" s="197">
        <v>18.278115277867215</v>
      </c>
    </row>
    <row r="9088" spans="2:2" ht="15.6">
      <c r="B9088" s="197">
        <v>18.17622545215179</v>
      </c>
    </row>
    <row r="9089" spans="2:2" ht="15.6">
      <c r="B9089" s="197">
        <v>18.075320840974083</v>
      </c>
    </row>
    <row r="9090" spans="2:2" ht="15.6">
      <c r="B9090" s="197">
        <v>17.797548623429122</v>
      </c>
    </row>
    <row r="9091" spans="2:2" ht="15.6">
      <c r="B9091" s="197">
        <v>17.951314013815097</v>
      </c>
    </row>
    <row r="9092" spans="2:2" ht="15.6">
      <c r="B9092" s="197">
        <v>18.254121015781664</v>
      </c>
    </row>
    <row r="9093" spans="2:2" ht="15.6">
      <c r="B9093" s="197">
        <v>18.225388559449019</v>
      </c>
    </row>
    <row r="9094" spans="2:2" ht="15.6">
      <c r="B9094" s="197">
        <v>18.399850192728405</v>
      </c>
    </row>
    <row r="9095" spans="2:2" ht="15.6">
      <c r="B9095" s="197">
        <v>18.107965229452915</v>
      </c>
    </row>
    <row r="9096" spans="2:2" ht="15.6">
      <c r="B9096" s="197">
        <v>18.097938846927612</v>
      </c>
    </row>
    <row r="9097" spans="2:2" ht="15.6">
      <c r="B9097" s="197">
        <v>18.081290571838636</v>
      </c>
    </row>
    <row r="9098" spans="2:2" ht="15.6">
      <c r="B9098" s="197">
        <v>18.28283810892572</v>
      </c>
    </row>
    <row r="9099" spans="2:2" ht="15.6">
      <c r="B9099" s="197">
        <v>18.23667467635833</v>
      </c>
    </row>
    <row r="9100" spans="2:2" ht="15.6">
      <c r="B9100" s="197">
        <v>18.299809214557236</v>
      </c>
    </row>
    <row r="9101" spans="2:2" ht="15.6">
      <c r="B9101" s="197">
        <v>18.131189366765142</v>
      </c>
    </row>
    <row r="9102" spans="2:2" ht="15.6">
      <c r="B9102" s="197">
        <v>17.865772193638346</v>
      </c>
    </row>
    <row r="9103" spans="2:2" ht="15.6">
      <c r="B9103" s="197">
        <v>18.224993178523892</v>
      </c>
    </row>
    <row r="9104" spans="2:2" ht="15.6">
      <c r="B9104" s="197">
        <v>18.334717394671756</v>
      </c>
    </row>
    <row r="9105" spans="2:2" ht="15.6">
      <c r="B9105" s="197">
        <v>18.378957911829556</v>
      </c>
    </row>
    <row r="9106" spans="2:2" ht="15.6">
      <c r="B9106" s="197">
        <v>17.983478246426507</v>
      </c>
    </row>
    <row r="9107" spans="2:2" ht="15.6">
      <c r="B9107" s="197">
        <v>18.041715145976536</v>
      </c>
    </row>
    <row r="9108" spans="2:2" ht="15.6">
      <c r="B9108" s="197">
        <v>18.098398850299379</v>
      </c>
    </row>
    <row r="9109" spans="2:2" ht="15.6">
      <c r="B9109" s="197">
        <v>18.088883251551191</v>
      </c>
    </row>
    <row r="9110" spans="2:2" ht="15.6">
      <c r="B9110" s="197">
        <v>18.327103633432849</v>
      </c>
    </row>
    <row r="9111" spans="2:2" ht="15.6">
      <c r="B9111" s="197">
        <v>18.378108901487018</v>
      </c>
    </row>
    <row r="9112" spans="2:2" ht="15.6">
      <c r="B9112" s="197">
        <v>18.15536248209737</v>
      </c>
    </row>
    <row r="9113" spans="2:2" ht="15.6">
      <c r="B9113" s="197">
        <v>18.299383686071536</v>
      </c>
    </row>
    <row r="9114" spans="2:2" ht="15.6">
      <c r="B9114" s="197">
        <v>18.363065732423159</v>
      </c>
    </row>
    <row r="9115" spans="2:2" ht="15.6">
      <c r="B9115" s="197">
        <v>18.031184356284125</v>
      </c>
    </row>
    <row r="9116" spans="2:2" ht="15.6">
      <c r="B9116" s="197">
        <v>18.262550896758317</v>
      </c>
    </row>
    <row r="9117" spans="2:2" ht="15.6">
      <c r="B9117" s="197">
        <v>17.937555860828478</v>
      </c>
    </row>
    <row r="9118" spans="2:2" ht="15.6">
      <c r="B9118" s="197">
        <v>18.085401202341824</v>
      </c>
    </row>
    <row r="9119" spans="2:2" ht="15.6">
      <c r="B9119" s="197">
        <v>17.883437038936279</v>
      </c>
    </row>
    <row r="9120" spans="2:2" ht="15.6">
      <c r="B9120" s="197">
        <v>18.342226744006844</v>
      </c>
    </row>
    <row r="9121" spans="2:2" ht="15.6">
      <c r="B9121" s="197">
        <v>18.029771533445075</v>
      </c>
    </row>
    <row r="9122" spans="2:2" ht="15.6">
      <c r="B9122" s="197">
        <v>17.95227050030395</v>
      </c>
    </row>
    <row r="9123" spans="2:2" ht="15.6">
      <c r="B9123" s="197">
        <v>18.089775764794116</v>
      </c>
    </row>
    <row r="9124" spans="2:2" ht="15.6">
      <c r="B9124" s="197">
        <v>17.938818461616712</v>
      </c>
    </row>
    <row r="9125" spans="2:2" ht="15.6">
      <c r="B9125" s="197">
        <v>18.30663334680262</v>
      </c>
    </row>
    <row r="9126" spans="2:2" ht="15.6">
      <c r="B9126" s="197">
        <v>18.170660985236012</v>
      </c>
    </row>
    <row r="9127" spans="2:2" ht="15.6">
      <c r="B9127" s="197">
        <v>18.183734224456952</v>
      </c>
    </row>
    <row r="9128" spans="2:2" ht="15.6">
      <c r="B9128" s="197">
        <v>18.290651176341019</v>
      </c>
    </row>
    <row r="9129" spans="2:2" ht="15.6">
      <c r="B9129" s="197">
        <v>18.398142669240546</v>
      </c>
    </row>
    <row r="9130" spans="2:2" ht="15.6">
      <c r="B9130" s="197">
        <v>18.486782758476998</v>
      </c>
    </row>
    <row r="9131" spans="2:2" ht="15.6">
      <c r="B9131" s="197">
        <v>18.232552321384965</v>
      </c>
    </row>
    <row r="9132" spans="2:2" ht="15.6">
      <c r="B9132" s="197">
        <v>18.304815943135548</v>
      </c>
    </row>
    <row r="9133" spans="2:2" ht="15.6">
      <c r="B9133" s="197">
        <v>17.879035971808879</v>
      </c>
    </row>
    <row r="9134" spans="2:2" ht="15.6">
      <c r="B9134" s="197">
        <v>18.344167847033443</v>
      </c>
    </row>
    <row r="9135" spans="2:2" ht="15.6">
      <c r="B9135" s="197">
        <v>18.387353133026298</v>
      </c>
    </row>
    <row r="9136" spans="2:2" ht="15.6">
      <c r="B9136" s="197">
        <v>18.341829395724336</v>
      </c>
    </row>
    <row r="9137" spans="2:2" ht="15.6">
      <c r="B9137" s="197">
        <v>17.888683246489741</v>
      </c>
    </row>
    <row r="9138" spans="2:2" ht="15.6">
      <c r="B9138" s="197">
        <v>18.196846458846089</v>
      </c>
    </row>
    <row r="9139" spans="2:2" ht="15.6">
      <c r="B9139" s="197">
        <v>18.267928993957689</v>
      </c>
    </row>
    <row r="9140" spans="2:2" ht="15.6">
      <c r="B9140" s="197">
        <v>18.034105531619179</v>
      </c>
    </row>
    <row r="9141" spans="2:2" ht="15.6">
      <c r="B9141" s="197">
        <v>17.969907016854162</v>
      </c>
    </row>
    <row r="9142" spans="2:2" ht="15.6">
      <c r="B9142" s="197">
        <v>18.222887293176619</v>
      </c>
    </row>
    <row r="9143" spans="2:2" ht="15.6">
      <c r="B9143" s="197">
        <v>18.011761300049034</v>
      </c>
    </row>
    <row r="9144" spans="2:2" ht="15.6">
      <c r="B9144" s="197">
        <v>18.411225072960494</v>
      </c>
    </row>
    <row r="9145" spans="2:2" ht="15.6">
      <c r="B9145" s="197">
        <v>18.248892076128751</v>
      </c>
    </row>
    <row r="9146" spans="2:2" ht="15.6">
      <c r="B9146" s="197">
        <v>18.033029375183038</v>
      </c>
    </row>
    <row r="9147" spans="2:2" ht="15.6">
      <c r="B9147" s="197">
        <v>17.956957207824406</v>
      </c>
    </row>
    <row r="9148" spans="2:2" ht="15.6">
      <c r="B9148" s="197">
        <v>18.034578871435976</v>
      </c>
    </row>
    <row r="9149" spans="2:2" ht="15.6">
      <c r="B9149" s="197">
        <v>17.939296536560761</v>
      </c>
    </row>
    <row r="9150" spans="2:2" ht="15.6">
      <c r="B9150" s="197">
        <v>18.086312050661618</v>
      </c>
    </row>
    <row r="9151" spans="2:2" ht="15.6">
      <c r="B9151" s="197">
        <v>18.0792485427129</v>
      </c>
    </row>
    <row r="9152" spans="2:2" ht="15.6">
      <c r="B9152" s="197">
        <v>18.352030057481812</v>
      </c>
    </row>
    <row r="9153" spans="2:2" ht="15.6">
      <c r="B9153" s="197">
        <v>18.344946424838668</v>
      </c>
    </row>
    <row r="9154" spans="2:2" ht="15.6">
      <c r="B9154" s="197">
        <v>18.094061799124717</v>
      </c>
    </row>
    <row r="9155" spans="2:2" ht="15.6">
      <c r="B9155" s="197">
        <v>17.978691692978366</v>
      </c>
    </row>
    <row r="9156" spans="2:2" ht="15.6">
      <c r="B9156" s="197">
        <v>18.177068286292471</v>
      </c>
    </row>
    <row r="9157" spans="2:2" ht="15.6">
      <c r="B9157" s="197">
        <v>18.160626896683709</v>
      </c>
    </row>
    <row r="9158" spans="2:2" ht="15.6">
      <c r="B9158" s="197">
        <v>18.431581733213566</v>
      </c>
    </row>
    <row r="9159" spans="2:2" ht="15.6">
      <c r="B9159" s="197">
        <v>17.928204107653933</v>
      </c>
    </row>
    <row r="9160" spans="2:2" ht="15.6">
      <c r="B9160" s="197">
        <v>17.890091607142786</v>
      </c>
    </row>
    <row r="9161" spans="2:2" ht="15.6">
      <c r="B9161" s="197">
        <v>18.354862027625391</v>
      </c>
    </row>
    <row r="9162" spans="2:2" ht="15.6">
      <c r="B9162" s="197">
        <v>18.340836699494581</v>
      </c>
    </row>
    <row r="9163" spans="2:2" ht="15.6">
      <c r="B9163" s="197">
        <v>18.298969639013091</v>
      </c>
    </row>
    <row r="9164" spans="2:2" ht="15.6">
      <c r="B9164" s="197">
        <v>18.049584305976826</v>
      </c>
    </row>
    <row r="9165" spans="2:2" ht="15.6">
      <c r="B9165" s="197">
        <v>18.408239268689609</v>
      </c>
    </row>
    <row r="9166" spans="2:2" ht="15.6">
      <c r="B9166" s="197">
        <v>17.890172459090248</v>
      </c>
    </row>
    <row r="9167" spans="2:2" ht="15.6">
      <c r="B9167" s="197">
        <v>18.356973863475361</v>
      </c>
    </row>
    <row r="9168" spans="2:2" ht="15.6">
      <c r="B9168" s="197">
        <v>18.400043471145647</v>
      </c>
    </row>
    <row r="9169" spans="2:2" ht="15.6">
      <c r="B9169" s="197">
        <v>17.86350356546501</v>
      </c>
    </row>
    <row r="9170" spans="2:2" ht="15.6">
      <c r="B9170" s="197">
        <v>18.352963164851655</v>
      </c>
    </row>
    <row r="9171" spans="2:2" ht="15.6">
      <c r="B9171" s="197">
        <v>18.355713009986591</v>
      </c>
    </row>
    <row r="9172" spans="2:2" ht="15.6">
      <c r="B9172" s="197">
        <v>18.190487577158262</v>
      </c>
    </row>
    <row r="9173" spans="2:2" ht="15.6">
      <c r="B9173" s="197">
        <v>18.210297352382629</v>
      </c>
    </row>
    <row r="9174" spans="2:2" ht="15.6">
      <c r="B9174" s="197">
        <v>18.232063282187276</v>
      </c>
    </row>
    <row r="9175" spans="2:2" ht="15.6">
      <c r="B9175" s="197">
        <v>17.85448723873521</v>
      </c>
    </row>
    <row r="9176" spans="2:2" ht="15.6">
      <c r="B9176" s="197">
        <v>17.981825907965852</v>
      </c>
    </row>
    <row r="9177" spans="2:2" ht="15.6">
      <c r="B9177" s="197">
        <v>18.10737047247947</v>
      </c>
    </row>
    <row r="9178" spans="2:2" ht="15.6">
      <c r="B9178" s="197">
        <v>17.994631140591103</v>
      </c>
    </row>
    <row r="9179" spans="2:2" ht="15.6">
      <c r="B9179" s="197">
        <v>17.84427631836077</v>
      </c>
    </row>
    <row r="9180" spans="2:2" ht="15.6">
      <c r="B9180" s="197">
        <v>18.164716906420193</v>
      </c>
    </row>
    <row r="9181" spans="2:2" ht="15.6">
      <c r="B9181" s="197">
        <v>17.909821449600109</v>
      </c>
    </row>
    <row r="9182" spans="2:2" ht="15.6">
      <c r="B9182" s="197">
        <v>18.028517924248806</v>
      </c>
    </row>
    <row r="9183" spans="2:2" ht="15.6">
      <c r="B9183" s="197">
        <v>18.161954059429601</v>
      </c>
    </row>
    <row r="9184" spans="2:2" ht="15.6">
      <c r="B9184" s="197">
        <v>18.312812115265906</v>
      </c>
    </row>
    <row r="9185" spans="2:2" ht="15.6">
      <c r="B9185" s="197">
        <v>18.052517056729645</v>
      </c>
    </row>
    <row r="9186" spans="2:2" ht="15.6">
      <c r="B9186" s="197">
        <v>18.202066595968041</v>
      </c>
    </row>
    <row r="9187" spans="2:2" ht="15.6">
      <c r="B9187" s="197">
        <v>17.971032679720931</v>
      </c>
    </row>
    <row r="9188" spans="2:2" ht="15.6">
      <c r="B9188" s="197">
        <v>18.614036896396918</v>
      </c>
    </row>
    <row r="9189" spans="2:2" ht="15.6">
      <c r="B9189" s="197">
        <v>18.06275194021438</v>
      </c>
    </row>
    <row r="9190" spans="2:2" ht="15.6">
      <c r="B9190" s="197">
        <v>18.178878043736869</v>
      </c>
    </row>
    <row r="9191" spans="2:2" ht="15.6">
      <c r="B9191" s="197">
        <v>18.083559640924413</v>
      </c>
    </row>
    <row r="9192" spans="2:2" ht="15.6">
      <c r="B9192" s="197">
        <v>17.825175797785633</v>
      </c>
    </row>
    <row r="9193" spans="2:2" ht="15.6">
      <c r="B9193" s="197">
        <v>17.97152618131193</v>
      </c>
    </row>
    <row r="9194" spans="2:2" ht="15.6">
      <c r="B9194" s="197">
        <v>18.164572420475377</v>
      </c>
    </row>
    <row r="9195" spans="2:2" ht="15.6">
      <c r="B9195" s="197">
        <v>17.903670598119721</v>
      </c>
    </row>
    <row r="9196" spans="2:2" ht="15.6">
      <c r="B9196" s="197">
        <v>17.790428316786432</v>
      </c>
    </row>
    <row r="9197" spans="2:2" ht="15.6">
      <c r="B9197" s="197">
        <v>18.371786125233466</v>
      </c>
    </row>
    <row r="9198" spans="2:2" ht="15.6">
      <c r="B9198" s="197">
        <v>17.964683452911725</v>
      </c>
    </row>
    <row r="9199" spans="2:2" ht="15.6">
      <c r="B9199" s="197">
        <v>17.951615175975018</v>
      </c>
    </row>
    <row r="9200" spans="2:2" ht="15.6">
      <c r="B9200" s="197">
        <v>18.520915972828632</v>
      </c>
    </row>
    <row r="9201" spans="2:2" ht="15.6">
      <c r="B9201" s="197">
        <v>18.272733563741497</v>
      </c>
    </row>
    <row r="9202" spans="2:2" ht="15.6">
      <c r="B9202" s="197">
        <v>18.005197911378243</v>
      </c>
    </row>
    <row r="9203" spans="2:2" ht="15.6">
      <c r="B9203" s="197">
        <v>17.929484094933105</v>
      </c>
    </row>
    <row r="9204" spans="2:2" ht="15.6">
      <c r="B9204" s="197">
        <v>17.961693353033624</v>
      </c>
    </row>
    <row r="9205" spans="2:2" ht="15.6">
      <c r="B9205" s="197">
        <v>18.109407794778438</v>
      </c>
    </row>
    <row r="9206" spans="2:2" ht="15.6">
      <c r="B9206" s="197">
        <v>18.17211419805006</v>
      </c>
    </row>
    <row r="9207" spans="2:2" ht="15.6">
      <c r="B9207" s="197">
        <v>18.228843154219145</v>
      </c>
    </row>
    <row r="9208" spans="2:2" ht="15.6">
      <c r="B9208" s="197">
        <v>18.327951114239859</v>
      </c>
    </row>
    <row r="9209" spans="2:2" ht="15.6">
      <c r="B9209" s="197">
        <v>18.035491757881207</v>
      </c>
    </row>
    <row r="9210" spans="2:2" ht="15.6">
      <c r="B9210" s="197">
        <v>18.457366127938332</v>
      </c>
    </row>
    <row r="9211" spans="2:2" ht="15.6">
      <c r="B9211" s="197">
        <v>17.935763749359527</v>
      </c>
    </row>
    <row r="9212" spans="2:2" ht="15.6">
      <c r="B9212" s="197">
        <v>18.08610112166048</v>
      </c>
    </row>
    <row r="9213" spans="2:2" ht="15.6">
      <c r="B9213" s="197">
        <v>17.954049845298041</v>
      </c>
    </row>
    <row r="9214" spans="2:2" ht="15.6">
      <c r="B9214" s="197">
        <v>18.168247451261848</v>
      </c>
    </row>
    <row r="9215" spans="2:2" ht="15.6">
      <c r="B9215" s="197">
        <v>18.132796194588135</v>
      </c>
    </row>
    <row r="9216" spans="2:2" ht="15.6">
      <c r="B9216" s="197">
        <v>18.19783890796214</v>
      </c>
    </row>
    <row r="9217" spans="2:2" ht="15.6">
      <c r="B9217" s="197">
        <v>17.921776632580048</v>
      </c>
    </row>
    <row r="9218" spans="2:2" ht="15.6">
      <c r="B9218" s="197">
        <v>17.777396625681142</v>
      </c>
    </row>
    <row r="9219" spans="2:2" ht="15.6">
      <c r="B9219" s="197">
        <v>18.148208124921307</v>
      </c>
    </row>
    <row r="9220" spans="2:2" ht="15.6">
      <c r="B9220" s="197">
        <v>18.440979504794683</v>
      </c>
    </row>
    <row r="9221" spans="2:2" ht="15.6">
      <c r="B9221" s="197">
        <v>17.976240860765991</v>
      </c>
    </row>
    <row r="9222" spans="2:2" ht="15.6">
      <c r="B9222" s="197">
        <v>18.045143944258943</v>
      </c>
    </row>
    <row r="9223" spans="2:2" ht="15.6">
      <c r="B9223" s="197">
        <v>17.974467363050216</v>
      </c>
    </row>
    <row r="9224" spans="2:2" ht="15.6">
      <c r="B9224" s="197">
        <v>18.250080128390973</v>
      </c>
    </row>
    <row r="9225" spans="2:2" ht="15.6">
      <c r="B9225" s="197">
        <v>17.875243682386113</v>
      </c>
    </row>
    <row r="9226" spans="2:2" ht="15.6">
      <c r="B9226" s="197">
        <v>17.95009136489567</v>
      </c>
    </row>
    <row r="9227" spans="2:2" ht="15.6">
      <c r="B9227" s="197">
        <v>17.951764797069206</v>
      </c>
    </row>
    <row r="9228" spans="2:2" ht="15.6">
      <c r="B9228" s="197">
        <v>18.118593740289874</v>
      </c>
    </row>
    <row r="9229" spans="2:2" ht="15.6">
      <c r="B9229" s="197">
        <v>18.015696676787787</v>
      </c>
    </row>
    <row r="9230" spans="2:2" ht="15.6">
      <c r="B9230" s="197">
        <v>18.12727207214698</v>
      </c>
    </row>
    <row r="9231" spans="2:2" ht="15.6">
      <c r="B9231" s="197">
        <v>18.266663571773933</v>
      </c>
    </row>
    <row r="9232" spans="2:2" ht="15.6">
      <c r="B9232" s="197">
        <v>17.974175508738615</v>
      </c>
    </row>
    <row r="9233" spans="2:2" ht="15.6">
      <c r="B9233" s="197">
        <v>18.336327462909182</v>
      </c>
    </row>
    <row r="9234" spans="2:2" ht="15.6">
      <c r="B9234" s="197">
        <v>18.04923825765291</v>
      </c>
    </row>
    <row r="9235" spans="2:2" ht="15.6">
      <c r="B9235" s="197">
        <v>18.614298938482126</v>
      </c>
    </row>
    <row r="9236" spans="2:2" ht="15.6">
      <c r="B9236" s="197">
        <v>17.933797854459602</v>
      </c>
    </row>
    <row r="9237" spans="2:2" ht="15.6">
      <c r="B9237" s="197">
        <v>18.342741695256137</v>
      </c>
    </row>
    <row r="9238" spans="2:2" ht="15.6">
      <c r="B9238" s="197">
        <v>18.311322306620283</v>
      </c>
    </row>
    <row r="9239" spans="2:2" ht="15.6">
      <c r="B9239" s="197">
        <v>18.42972443351297</v>
      </c>
    </row>
    <row r="9240" spans="2:2" ht="15.6">
      <c r="B9240" s="197">
        <v>17.804559960113476</v>
      </c>
    </row>
    <row r="9241" spans="2:2" ht="15.6">
      <c r="B9241" s="197">
        <v>17.96806377299567</v>
      </c>
    </row>
    <row r="9242" spans="2:2" ht="15.6">
      <c r="B9242" s="197">
        <v>18.15237176580305</v>
      </c>
    </row>
    <row r="9243" spans="2:2" ht="15.6">
      <c r="B9243" s="197">
        <v>18.234928709932941</v>
      </c>
    </row>
    <row r="9244" spans="2:2" ht="15.6">
      <c r="B9244" s="197">
        <v>18.013220453420974</v>
      </c>
    </row>
    <row r="9245" spans="2:2" ht="15.6">
      <c r="B9245" s="197">
        <v>17.698624626232622</v>
      </c>
    </row>
    <row r="9246" spans="2:2" ht="15.6">
      <c r="B9246" s="197">
        <v>18.362119630619151</v>
      </c>
    </row>
    <row r="9247" spans="2:2" ht="15.6">
      <c r="B9247" s="197">
        <v>17.874689636071501</v>
      </c>
    </row>
    <row r="9248" spans="2:2" ht="15.6">
      <c r="B9248" s="197">
        <v>17.965374038476153</v>
      </c>
    </row>
    <row r="9249" spans="2:2" ht="15.6">
      <c r="B9249" s="197">
        <v>17.837653480316707</v>
      </c>
    </row>
    <row r="9250" spans="2:2" ht="15.6">
      <c r="B9250" s="197">
        <v>17.626414593886111</v>
      </c>
    </row>
    <row r="9251" spans="2:2" ht="15.6">
      <c r="B9251" s="197">
        <v>18.323416756781462</v>
      </c>
    </row>
    <row r="9252" spans="2:2" ht="15.6">
      <c r="B9252" s="197">
        <v>18.281358722945178</v>
      </c>
    </row>
    <row r="9253" spans="2:2" ht="15.6">
      <c r="B9253" s="197">
        <v>18.42602672983525</v>
      </c>
    </row>
    <row r="9254" spans="2:2" ht="15.6">
      <c r="B9254" s="197">
        <v>18.216019495794811</v>
      </c>
    </row>
    <row r="9255" spans="2:2" ht="15.6">
      <c r="B9255" s="197">
        <v>18.326723066128043</v>
      </c>
    </row>
    <row r="9256" spans="2:2" ht="15.6">
      <c r="B9256" s="197">
        <v>18.271026869675055</v>
      </c>
    </row>
    <row r="9257" spans="2:2" ht="15.6">
      <c r="B9257" s="197">
        <v>18.27377503142705</v>
      </c>
    </row>
    <row r="9258" spans="2:2" ht="15.6">
      <c r="B9258" s="197">
        <v>18.356177822288583</v>
      </c>
    </row>
    <row r="9259" spans="2:2" ht="15.6">
      <c r="B9259" s="197">
        <v>18.216806035274708</v>
      </c>
    </row>
    <row r="9260" spans="2:2" ht="15.6">
      <c r="B9260" s="197">
        <v>17.764797469428391</v>
      </c>
    </row>
    <row r="9261" spans="2:2" ht="15.6">
      <c r="B9261" s="197">
        <v>18.122109344283945</v>
      </c>
    </row>
    <row r="9262" spans="2:2" ht="15.6">
      <c r="B9262" s="197">
        <v>17.827112469794741</v>
      </c>
    </row>
    <row r="9263" spans="2:2" ht="15.6">
      <c r="B9263" s="197">
        <v>18.238070551608466</v>
      </c>
    </row>
    <row r="9264" spans="2:2" ht="15.6">
      <c r="B9264" s="197">
        <v>18.064543363748861</v>
      </c>
    </row>
    <row r="9265" spans="2:2" ht="15.6">
      <c r="B9265" s="197">
        <v>17.863543183826458</v>
      </c>
    </row>
    <row r="9266" spans="2:2" ht="15.6">
      <c r="B9266" s="197">
        <v>18.129477193579454</v>
      </c>
    </row>
    <row r="9267" spans="2:2" ht="15.6">
      <c r="B9267" s="197">
        <v>18.02668875213822</v>
      </c>
    </row>
    <row r="9268" spans="2:2" ht="15.6">
      <c r="B9268" s="197">
        <v>18.340176311824099</v>
      </c>
    </row>
    <row r="9269" spans="2:2" ht="15.6">
      <c r="B9269" s="197">
        <v>17.819736178803275</v>
      </c>
    </row>
    <row r="9270" spans="2:2" ht="15.6">
      <c r="B9270" s="197">
        <v>17.980380937326505</v>
      </c>
    </row>
    <row r="9271" spans="2:2" ht="15.6">
      <c r="B9271" s="197">
        <v>17.898738268750062</v>
      </c>
    </row>
    <row r="9272" spans="2:2" ht="15.6">
      <c r="B9272" s="197">
        <v>18.10785282604208</v>
      </c>
    </row>
    <row r="9273" spans="2:2" ht="15.6">
      <c r="B9273" s="197">
        <v>17.831656185186002</v>
      </c>
    </row>
    <row r="9274" spans="2:2" ht="15.6">
      <c r="B9274" s="197">
        <v>18.042050853119608</v>
      </c>
    </row>
    <row r="9275" spans="2:2" ht="15.6">
      <c r="B9275" s="197">
        <v>17.894262910166145</v>
      </c>
    </row>
    <row r="9276" spans="2:2" ht="15.6">
      <c r="B9276" s="197">
        <v>18.324339587553403</v>
      </c>
    </row>
    <row r="9277" spans="2:2" ht="15.6">
      <c r="B9277" s="197">
        <v>18.364116781841599</v>
      </c>
    </row>
    <row r="9278" spans="2:2" ht="15.6">
      <c r="B9278" s="197">
        <v>18.193518965700964</v>
      </c>
    </row>
    <row r="9279" spans="2:2" ht="15.6">
      <c r="B9279" s="197">
        <v>18.036475043753196</v>
      </c>
    </row>
    <row r="9280" spans="2:2" ht="15.6">
      <c r="B9280" s="197">
        <v>18.070932787605191</v>
      </c>
    </row>
    <row r="9281" spans="2:2" ht="15.6">
      <c r="B9281" s="197">
        <v>18.515441968879472</v>
      </c>
    </row>
    <row r="9282" spans="2:2" ht="15.6">
      <c r="B9282" s="197">
        <v>18.460775384985386</v>
      </c>
    </row>
    <row r="9283" spans="2:2" ht="15.6">
      <c r="B9283" s="197">
        <v>18.379069068107039</v>
      </c>
    </row>
    <row r="9284" spans="2:2" ht="15.6">
      <c r="B9284" s="197">
        <v>18.423939906347044</v>
      </c>
    </row>
    <row r="9285" spans="2:2" ht="15.6">
      <c r="B9285" s="197">
        <v>18.153971929221889</v>
      </c>
    </row>
    <row r="9286" spans="2:2" ht="15.6">
      <c r="B9286" s="197">
        <v>17.827653804095331</v>
      </c>
    </row>
    <row r="9287" spans="2:2" ht="15.6">
      <c r="B9287" s="197">
        <v>17.966847957578043</v>
      </c>
    </row>
    <row r="9288" spans="2:2" ht="15.6">
      <c r="B9288" s="197">
        <v>18.142128796800751</v>
      </c>
    </row>
    <row r="9289" spans="2:2" ht="15.6">
      <c r="B9289" s="197">
        <v>18.094588748445034</v>
      </c>
    </row>
    <row r="9290" spans="2:2" ht="15.6">
      <c r="B9290" s="197">
        <v>18.155357105606544</v>
      </c>
    </row>
    <row r="9291" spans="2:2" ht="15.6">
      <c r="B9291" s="197">
        <v>18.27902348446327</v>
      </c>
    </row>
    <row r="9292" spans="2:2" ht="15.6">
      <c r="B9292" s="197">
        <v>18.173614381149122</v>
      </c>
    </row>
    <row r="9293" spans="2:2" ht="15.6">
      <c r="B9293" s="197">
        <v>18.347770036101917</v>
      </c>
    </row>
    <row r="9294" spans="2:2" ht="15.6">
      <c r="B9294" s="197">
        <v>18.020620828726802</v>
      </c>
    </row>
    <row r="9295" spans="2:2" ht="15.6">
      <c r="B9295" s="197">
        <v>18.241611380327619</v>
      </c>
    </row>
    <row r="9296" spans="2:2" ht="15.6">
      <c r="B9296" s="197">
        <v>18.446127441470299</v>
      </c>
    </row>
    <row r="9297" spans="2:2" ht="15.6">
      <c r="B9297" s="197">
        <v>18.145485581914301</v>
      </c>
    </row>
    <row r="9298" spans="2:2" ht="15.6">
      <c r="B9298" s="197">
        <v>18.318390649946135</v>
      </c>
    </row>
    <row r="9299" spans="2:2" ht="15.6">
      <c r="B9299" s="197">
        <v>17.957603359545139</v>
      </c>
    </row>
    <row r="9300" spans="2:2" ht="15.6">
      <c r="B9300" s="197">
        <v>18.061213231001279</v>
      </c>
    </row>
    <row r="9301" spans="2:2" ht="15.6">
      <c r="B9301" s="197">
        <v>17.688470993671061</v>
      </c>
    </row>
    <row r="9302" spans="2:2" ht="15.6">
      <c r="B9302" s="197">
        <v>17.989214684321745</v>
      </c>
    </row>
    <row r="9303" spans="2:2" ht="15.6">
      <c r="B9303" s="197">
        <v>18.100311668104471</v>
      </c>
    </row>
    <row r="9304" spans="2:2" ht="15.6">
      <c r="B9304" s="197">
        <v>17.899016540184146</v>
      </c>
    </row>
    <row r="9305" spans="2:2" ht="15.6">
      <c r="B9305" s="197">
        <v>17.945454842449649</v>
      </c>
    </row>
    <row r="9306" spans="2:2" ht="15.6">
      <c r="B9306" s="197">
        <v>18.304815520621066</v>
      </c>
    </row>
    <row r="9307" spans="2:2" ht="15.6">
      <c r="B9307" s="197">
        <v>18.250434664059775</v>
      </c>
    </row>
    <row r="9308" spans="2:2" ht="15.6">
      <c r="B9308" s="197">
        <v>18.334615154387038</v>
      </c>
    </row>
    <row r="9309" spans="2:2" ht="15.6">
      <c r="B9309" s="197">
        <v>18.414212695961012</v>
      </c>
    </row>
    <row r="9310" spans="2:2" ht="15.6">
      <c r="B9310" s="197">
        <v>17.777267314084167</v>
      </c>
    </row>
    <row r="9311" spans="2:2" ht="15.6">
      <c r="B9311" s="197">
        <v>18.211715526831092</v>
      </c>
    </row>
    <row r="9312" spans="2:2" ht="15.6">
      <c r="B9312" s="197">
        <v>18.275699978021379</v>
      </c>
    </row>
    <row r="9313" spans="2:2" ht="15.6">
      <c r="B9313" s="197">
        <v>18.144247644024478</v>
      </c>
    </row>
    <row r="9314" spans="2:2" ht="15.6">
      <c r="B9314" s="197">
        <v>18.197417985676555</v>
      </c>
    </row>
    <row r="9315" spans="2:2" ht="15.6">
      <c r="B9315" s="197">
        <v>18.171746648461191</v>
      </c>
    </row>
    <row r="9316" spans="2:2" ht="15.6">
      <c r="B9316" s="197">
        <v>18.437984931135386</v>
      </c>
    </row>
    <row r="9317" spans="2:2" ht="15.6">
      <c r="B9317" s="197">
        <v>17.916112107605635</v>
      </c>
    </row>
    <row r="9318" spans="2:2" ht="15.6">
      <c r="B9318" s="197">
        <v>17.988163752245669</v>
      </c>
    </row>
    <row r="9319" spans="2:2" ht="15.6">
      <c r="B9319" s="197">
        <v>18.167583206644252</v>
      </c>
    </row>
    <row r="9320" spans="2:2" ht="15.6">
      <c r="B9320" s="197">
        <v>18.208978911879541</v>
      </c>
    </row>
    <row r="9321" spans="2:2" ht="15.6">
      <c r="B9321" s="197">
        <v>17.958565425671779</v>
      </c>
    </row>
    <row r="9322" spans="2:2" ht="15.6">
      <c r="B9322" s="197">
        <v>17.906640776736907</v>
      </c>
    </row>
    <row r="9323" spans="2:2" ht="15.6">
      <c r="B9323" s="197">
        <v>18.133645601766027</v>
      </c>
    </row>
    <row r="9324" spans="2:2" ht="15.6">
      <c r="B9324" s="197">
        <v>18.055420066814555</v>
      </c>
    </row>
    <row r="9325" spans="2:2" ht="15.6">
      <c r="B9325" s="197">
        <v>17.997963508555287</v>
      </c>
    </row>
    <row r="9326" spans="2:2" ht="15.6">
      <c r="B9326" s="197">
        <v>18.263982329899811</v>
      </c>
    </row>
    <row r="9327" spans="2:2" ht="15.6">
      <c r="B9327" s="197">
        <v>17.956639129548531</v>
      </c>
    </row>
    <row r="9328" spans="2:2" ht="15.6">
      <c r="B9328" s="197">
        <v>18.170835050312256</v>
      </c>
    </row>
    <row r="9329" spans="2:2" ht="15.6">
      <c r="B9329" s="197">
        <v>18.029365392395846</v>
      </c>
    </row>
    <row r="9330" spans="2:2" ht="15.6">
      <c r="B9330" s="197">
        <v>18.136099380629418</v>
      </c>
    </row>
    <row r="9331" spans="2:2" ht="15.6">
      <c r="B9331" s="197">
        <v>17.993468418835914</v>
      </c>
    </row>
    <row r="9332" spans="2:2" ht="15.6">
      <c r="B9332" s="197">
        <v>18.079759995452296</v>
      </c>
    </row>
    <row r="9333" spans="2:2" ht="15.6">
      <c r="B9333" s="197">
        <v>18.296013851067595</v>
      </c>
    </row>
    <row r="9334" spans="2:2" ht="15.6">
      <c r="B9334" s="197">
        <v>18.011934255306105</v>
      </c>
    </row>
    <row r="9335" spans="2:2" ht="15.6">
      <c r="B9335" s="197">
        <v>17.83897985514805</v>
      </c>
    </row>
    <row r="9336" spans="2:2" ht="15.6">
      <c r="B9336" s="197">
        <v>17.983900792084313</v>
      </c>
    </row>
    <row r="9337" spans="2:2" ht="15.6">
      <c r="B9337" s="197">
        <v>18.215909823830362</v>
      </c>
    </row>
    <row r="9338" spans="2:2" ht="15.6">
      <c r="B9338" s="197">
        <v>18.318832065491719</v>
      </c>
    </row>
    <row r="9339" spans="2:2" ht="15.6">
      <c r="B9339" s="197">
        <v>17.865075789521516</v>
      </c>
    </row>
    <row r="9340" spans="2:2" ht="15.6">
      <c r="B9340" s="197">
        <v>18.007062938778006</v>
      </c>
    </row>
    <row r="9341" spans="2:2" ht="15.6">
      <c r="B9341" s="197">
        <v>17.818642750143052</v>
      </c>
    </row>
    <row r="9342" spans="2:2" ht="15.6">
      <c r="B9342" s="197">
        <v>18.336381607787569</v>
      </c>
    </row>
    <row r="9343" spans="2:2" ht="15.6">
      <c r="B9343" s="197">
        <v>18.378996568834008</v>
      </c>
    </row>
    <row r="9344" spans="2:2" ht="15.6">
      <c r="B9344" s="197">
        <v>18.051280629768996</v>
      </c>
    </row>
    <row r="9345" spans="2:2" ht="15.6">
      <c r="B9345" s="197">
        <v>18.06336889400502</v>
      </c>
    </row>
    <row r="9346" spans="2:2" ht="15.6">
      <c r="B9346" s="197">
        <v>18.528316406924603</v>
      </c>
    </row>
    <row r="9347" spans="2:2" ht="15.6">
      <c r="B9347" s="197">
        <v>18.027585485557395</v>
      </c>
    </row>
    <row r="9348" spans="2:2" ht="15.6">
      <c r="B9348" s="197">
        <v>18.209203906599065</v>
      </c>
    </row>
    <row r="9349" spans="2:2" ht="15.6">
      <c r="B9349" s="197">
        <v>18.173744861650359</v>
      </c>
    </row>
    <row r="9350" spans="2:2" ht="15.6">
      <c r="B9350" s="197">
        <v>18.093117259912265</v>
      </c>
    </row>
    <row r="9351" spans="2:2" ht="15.6">
      <c r="B9351" s="197">
        <v>18.293126610355994</v>
      </c>
    </row>
    <row r="9352" spans="2:2" ht="15.6">
      <c r="B9352" s="197">
        <v>17.98579630499302</v>
      </c>
    </row>
    <row r="9353" spans="2:2" ht="15.6">
      <c r="B9353" s="197">
        <v>18.10773032816077</v>
      </c>
    </row>
    <row r="9354" spans="2:2" ht="15.6">
      <c r="B9354" s="197">
        <v>18.310969438831521</v>
      </c>
    </row>
    <row r="9355" spans="2:2" ht="15.6">
      <c r="B9355" s="197">
        <v>18.230489250999341</v>
      </c>
    </row>
    <row r="9356" spans="2:2" ht="15.6">
      <c r="B9356" s="197">
        <v>18.264406124856087</v>
      </c>
    </row>
    <row r="9357" spans="2:2" ht="15.6">
      <c r="B9357" s="197">
        <v>18.296109606514179</v>
      </c>
    </row>
    <row r="9358" spans="2:2" ht="15.6">
      <c r="B9358" s="197">
        <v>17.943402118938856</v>
      </c>
    </row>
    <row r="9359" spans="2:2" ht="15.6">
      <c r="B9359" s="197">
        <v>18.307090812788999</v>
      </c>
    </row>
    <row r="9360" spans="2:2" ht="15.6">
      <c r="B9360" s="197">
        <v>17.918619686798095</v>
      </c>
    </row>
    <row r="9361" spans="2:2" ht="15.6">
      <c r="B9361" s="197">
        <v>18.296343039383135</v>
      </c>
    </row>
    <row r="9362" spans="2:2" ht="15.6">
      <c r="B9362" s="197">
        <v>18.183910472076747</v>
      </c>
    </row>
    <row r="9363" spans="2:2" ht="15.6">
      <c r="B9363" s="197">
        <v>18.076215277232134</v>
      </c>
    </row>
    <row r="9364" spans="2:2" ht="15.6">
      <c r="B9364" s="197">
        <v>18.163627568157139</v>
      </c>
    </row>
    <row r="9365" spans="2:2" ht="15.6">
      <c r="B9365" s="197">
        <v>18.268652317341932</v>
      </c>
    </row>
    <row r="9366" spans="2:2" ht="15.6">
      <c r="B9366" s="197">
        <v>18.172952776678731</v>
      </c>
    </row>
    <row r="9367" spans="2:2" ht="15.6">
      <c r="B9367" s="197">
        <v>18.230242689929376</v>
      </c>
    </row>
    <row r="9368" spans="2:2" ht="15.6">
      <c r="B9368" s="197">
        <v>18.202488975671614</v>
      </c>
    </row>
    <row r="9369" spans="2:2" ht="15.6">
      <c r="B9369" s="197">
        <v>18.098915069748735</v>
      </c>
    </row>
    <row r="9370" spans="2:2" ht="15.6">
      <c r="B9370" s="197">
        <v>18.109075571837604</v>
      </c>
    </row>
    <row r="9371" spans="2:2" ht="15.6">
      <c r="B9371" s="197">
        <v>18.011006408500808</v>
      </c>
    </row>
    <row r="9372" spans="2:2" ht="15.6">
      <c r="B9372" s="197">
        <v>18.033843456114372</v>
      </c>
    </row>
    <row r="9373" spans="2:2" ht="15.6">
      <c r="B9373" s="197">
        <v>18.251277531904829</v>
      </c>
    </row>
    <row r="9374" spans="2:2" ht="15.6">
      <c r="B9374" s="197">
        <v>18.277203630397949</v>
      </c>
    </row>
    <row r="9375" spans="2:2" ht="15.6">
      <c r="B9375" s="197">
        <v>18.080551752039746</v>
      </c>
    </row>
    <row r="9376" spans="2:2" ht="15.6">
      <c r="B9376" s="197">
        <v>18.046906927781563</v>
      </c>
    </row>
    <row r="9377" spans="2:2" ht="15.6">
      <c r="B9377" s="197">
        <v>17.906454758051723</v>
      </c>
    </row>
    <row r="9378" spans="2:2" ht="15.6">
      <c r="B9378" s="197">
        <v>17.841016149351667</v>
      </c>
    </row>
    <row r="9379" spans="2:2" ht="15.6">
      <c r="B9379" s="197">
        <v>18.168337283967322</v>
      </c>
    </row>
    <row r="9380" spans="2:2" ht="15.6">
      <c r="B9380" s="197">
        <v>18.069332145105328</v>
      </c>
    </row>
    <row r="9381" spans="2:2" ht="15.6">
      <c r="B9381" s="197">
        <v>18.286733860895772</v>
      </c>
    </row>
    <row r="9382" spans="2:2" ht="15.6">
      <c r="B9382" s="197">
        <v>18.490426826107001</v>
      </c>
    </row>
    <row r="9383" spans="2:2" ht="15.6">
      <c r="B9383" s="197">
        <v>17.920381007816601</v>
      </c>
    </row>
    <row r="9384" spans="2:2" ht="15.6">
      <c r="B9384" s="197">
        <v>18.141152772397202</v>
      </c>
    </row>
    <row r="9385" spans="2:2" ht="15.6">
      <c r="B9385" s="197">
        <v>18.428971891671178</v>
      </c>
    </row>
    <row r="9386" spans="2:2" ht="15.6">
      <c r="B9386" s="197">
        <v>18.047392404239098</v>
      </c>
    </row>
    <row r="9387" spans="2:2" ht="15.6">
      <c r="B9387" s="197">
        <v>18.538264581339636</v>
      </c>
    </row>
    <row r="9388" spans="2:2" ht="15.6">
      <c r="B9388" s="197">
        <v>18.18925858650908</v>
      </c>
    </row>
    <row r="9389" spans="2:2" ht="15.6">
      <c r="B9389" s="197">
        <v>18.233560788258199</v>
      </c>
    </row>
    <row r="9390" spans="2:2" ht="15.6">
      <c r="B9390" s="197">
        <v>17.947023624990447</v>
      </c>
    </row>
    <row r="9391" spans="2:2" ht="15.6">
      <c r="B9391" s="197">
        <v>18.107030738810064</v>
      </c>
    </row>
    <row r="9392" spans="2:2" ht="15.6">
      <c r="B9392" s="197">
        <v>18.100880825867574</v>
      </c>
    </row>
    <row r="9393" spans="2:2" ht="15.6">
      <c r="B9393" s="197">
        <v>18.510765852319359</v>
      </c>
    </row>
    <row r="9394" spans="2:2" ht="15.6">
      <c r="B9394" s="197">
        <v>18.094219594064317</v>
      </c>
    </row>
    <row r="9395" spans="2:2" ht="15.6">
      <c r="B9395" s="197">
        <v>17.952128508555848</v>
      </c>
    </row>
    <row r="9396" spans="2:2" ht="15.6">
      <c r="B9396" s="197">
        <v>18.160075767368255</v>
      </c>
    </row>
    <row r="9397" spans="2:2" ht="15.6">
      <c r="B9397" s="197">
        <v>18.067013168685719</v>
      </c>
    </row>
    <row r="9398" spans="2:2" ht="15.6">
      <c r="B9398" s="197">
        <v>18.010095003144304</v>
      </c>
    </row>
    <row r="9399" spans="2:2" ht="15.6">
      <c r="B9399" s="197">
        <v>18.376657467024287</v>
      </c>
    </row>
    <row r="9400" spans="2:2" ht="15.6">
      <c r="B9400" s="197">
        <v>18.225739741273376</v>
      </c>
    </row>
    <row r="9401" spans="2:2" ht="15.6">
      <c r="B9401" s="197">
        <v>18.205774595242911</v>
      </c>
    </row>
    <row r="9402" spans="2:2" ht="15.6">
      <c r="B9402" s="197">
        <v>18.347483582946332</v>
      </c>
    </row>
    <row r="9403" spans="2:2" ht="15.6">
      <c r="B9403" s="197">
        <v>18.090283985042518</v>
      </c>
    </row>
    <row r="9404" spans="2:2" ht="15.6">
      <c r="B9404" s="197">
        <v>18.291362709311787</v>
      </c>
    </row>
    <row r="9405" spans="2:2" ht="15.6">
      <c r="B9405" s="197">
        <v>18.353461580887139</v>
      </c>
    </row>
    <row r="9406" spans="2:2" ht="15.6">
      <c r="B9406" s="197">
        <v>17.958558991947498</v>
      </c>
    </row>
    <row r="9407" spans="2:2" ht="15.6">
      <c r="B9407" s="197">
        <v>18.324408267968703</v>
      </c>
    </row>
    <row r="9408" spans="2:2" ht="15.6">
      <c r="B9408" s="197">
        <v>17.906144333008161</v>
      </c>
    </row>
    <row r="9409" spans="2:2" ht="15.6">
      <c r="B9409" s="197">
        <v>18.252071316801622</v>
      </c>
    </row>
    <row r="9410" spans="2:2" ht="15.6">
      <c r="B9410" s="197">
        <v>18.101129259004932</v>
      </c>
    </row>
    <row r="9411" spans="2:2" ht="15.6">
      <c r="B9411" s="197">
        <v>18.039191329894358</v>
      </c>
    </row>
    <row r="9412" spans="2:2" ht="15.6">
      <c r="B9412" s="197">
        <v>18.491940302497735</v>
      </c>
    </row>
    <row r="9413" spans="2:2" ht="15.6">
      <c r="B9413" s="197">
        <v>18.273983327077278</v>
      </c>
    </row>
    <row r="9414" spans="2:2" ht="15.6">
      <c r="B9414" s="197">
        <v>18.187512516775904</v>
      </c>
    </row>
    <row r="9415" spans="2:2" ht="15.6">
      <c r="B9415" s="197">
        <v>18.053015619081858</v>
      </c>
    </row>
    <row r="9416" spans="2:2" ht="15.6">
      <c r="B9416" s="197">
        <v>18.094332413262677</v>
      </c>
    </row>
    <row r="9417" spans="2:2" ht="15.6">
      <c r="B9417" s="197">
        <v>18.164118373842513</v>
      </c>
    </row>
    <row r="9418" spans="2:2" ht="15.6">
      <c r="B9418" s="197">
        <v>18.318282569741005</v>
      </c>
    </row>
    <row r="9419" spans="2:2" ht="15.6">
      <c r="B9419" s="197">
        <v>18.094027073831739</v>
      </c>
    </row>
    <row r="9420" spans="2:2" ht="15.6">
      <c r="B9420" s="197">
        <v>18.161486649844328</v>
      </c>
    </row>
    <row r="9421" spans="2:2" ht="15.6">
      <c r="B9421" s="197">
        <v>18.356364553313004</v>
      </c>
    </row>
    <row r="9422" spans="2:2" ht="15.6">
      <c r="B9422" s="197">
        <v>18.199887048645675</v>
      </c>
    </row>
    <row r="9423" spans="2:2" ht="15.6">
      <c r="B9423" s="197">
        <v>18.090938472723863</v>
      </c>
    </row>
    <row r="9424" spans="2:2" ht="15.6">
      <c r="B9424" s="197">
        <v>17.94592071162003</v>
      </c>
    </row>
    <row r="9425" spans="2:2" ht="15.6">
      <c r="B9425" s="197">
        <v>18.475563690598115</v>
      </c>
    </row>
    <row r="9426" spans="2:2" ht="15.6">
      <c r="B9426" s="197">
        <v>18.127101568362963</v>
      </c>
    </row>
    <row r="9427" spans="2:2" ht="15.6">
      <c r="B9427" s="197">
        <v>18.265870392438124</v>
      </c>
    </row>
    <row r="9428" spans="2:2" ht="15.6">
      <c r="B9428" s="197">
        <v>18.220374846948904</v>
      </c>
    </row>
    <row r="9429" spans="2:2" ht="15.6">
      <c r="B9429" s="197">
        <v>18.120781736532908</v>
      </c>
    </row>
    <row r="9430" spans="2:2" ht="15.6">
      <c r="B9430" s="197">
        <v>18.445607134706087</v>
      </c>
    </row>
    <row r="9431" spans="2:2" ht="15.6">
      <c r="B9431" s="197">
        <v>18.039655786398793</v>
      </c>
    </row>
    <row r="9432" spans="2:2" ht="15.6">
      <c r="B9432" s="197">
        <v>18.140468628991094</v>
      </c>
    </row>
    <row r="9433" spans="2:2" ht="15.6">
      <c r="B9433" s="197">
        <v>18.11685767804434</v>
      </c>
    </row>
    <row r="9434" spans="2:2" ht="15.6">
      <c r="B9434" s="197">
        <v>18.196705749512802</v>
      </c>
    </row>
    <row r="9435" spans="2:2" ht="15.6">
      <c r="B9435" s="197">
        <v>18.167914343162654</v>
      </c>
    </row>
    <row r="9436" spans="2:2" ht="15.6">
      <c r="B9436" s="197">
        <v>18.002512281288386</v>
      </c>
    </row>
    <row r="9437" spans="2:2" ht="15.6">
      <c r="B9437" s="197">
        <v>17.819581075411339</v>
      </c>
    </row>
    <row r="9438" spans="2:2" ht="15.6">
      <c r="B9438" s="197">
        <v>17.910385504943797</v>
      </c>
    </row>
    <row r="9439" spans="2:2" ht="15.6">
      <c r="B9439" s="197">
        <v>18.387519376896215</v>
      </c>
    </row>
    <row r="9440" spans="2:2" ht="15.6">
      <c r="B9440" s="197">
        <v>18.235954163916258</v>
      </c>
    </row>
    <row r="9441" spans="2:2" ht="15.6">
      <c r="B9441" s="197">
        <v>18.162651000763393</v>
      </c>
    </row>
    <row r="9442" spans="2:2" ht="15.6">
      <c r="B9442" s="197">
        <v>17.975002781754181</v>
      </c>
    </row>
    <row r="9443" spans="2:2" ht="15.6">
      <c r="B9443" s="197">
        <v>18.423093877386133</v>
      </c>
    </row>
    <row r="9444" spans="2:2" ht="15.6">
      <c r="B9444" s="197">
        <v>18.102073473779956</v>
      </c>
    </row>
    <row r="9445" spans="2:2" ht="15.6">
      <c r="B9445" s="197">
        <v>18.009631229764288</v>
      </c>
    </row>
    <row r="9446" spans="2:2" ht="15.6">
      <c r="B9446" s="197">
        <v>17.907782565840812</v>
      </c>
    </row>
    <row r="9447" spans="2:2" ht="15.6">
      <c r="B9447" s="197">
        <v>18.014912143392046</v>
      </c>
    </row>
    <row r="9448" spans="2:2" ht="15.6">
      <c r="B9448" s="197">
        <v>18.257303160296523</v>
      </c>
    </row>
    <row r="9449" spans="2:2" ht="15.6">
      <c r="B9449" s="197">
        <v>17.891216944750493</v>
      </c>
    </row>
    <row r="9450" spans="2:2" ht="15.6">
      <c r="B9450" s="197">
        <v>17.963200551327127</v>
      </c>
    </row>
    <row r="9451" spans="2:2" ht="15.6">
      <c r="B9451" s="197">
        <v>18.281887957822555</v>
      </c>
    </row>
    <row r="9452" spans="2:2" ht="15.6">
      <c r="B9452" s="197">
        <v>17.861859469066413</v>
      </c>
    </row>
    <row r="9453" spans="2:2" ht="15.6">
      <c r="B9453" s="197">
        <v>17.8077351840749</v>
      </c>
    </row>
    <row r="9454" spans="2:2" ht="15.6">
      <c r="B9454" s="197">
        <v>18.279774913408222</v>
      </c>
    </row>
    <row r="9455" spans="2:2" ht="15.6">
      <c r="B9455" s="197">
        <v>17.959020555204873</v>
      </c>
    </row>
    <row r="9456" spans="2:2" ht="15.6">
      <c r="B9456" s="197">
        <v>18.038892090070853</v>
      </c>
    </row>
    <row r="9457" spans="2:2" ht="15.6">
      <c r="B9457" s="197">
        <v>18.115595168585358</v>
      </c>
    </row>
    <row r="9458" spans="2:2" ht="15.6">
      <c r="B9458" s="197">
        <v>18.308004771037432</v>
      </c>
    </row>
    <row r="9459" spans="2:2" ht="15.6">
      <c r="B9459" s="197">
        <v>18.343652734405762</v>
      </c>
    </row>
    <row r="9460" spans="2:2" ht="15.6">
      <c r="B9460" s="197">
        <v>18.195214458976338</v>
      </c>
    </row>
    <row r="9461" spans="2:2" ht="15.6">
      <c r="B9461" s="197">
        <v>18.119744794185134</v>
      </c>
    </row>
    <row r="9462" spans="2:2" ht="15.6">
      <c r="B9462" s="197">
        <v>18.643076763587722</v>
      </c>
    </row>
    <row r="9463" spans="2:2" ht="15.6">
      <c r="B9463" s="197">
        <v>17.930079926922375</v>
      </c>
    </row>
    <row r="9464" spans="2:2" ht="15.6">
      <c r="B9464" s="197">
        <v>18.081481397396775</v>
      </c>
    </row>
    <row r="9465" spans="2:2" ht="15.6">
      <c r="B9465" s="197">
        <v>18.304521529967868</v>
      </c>
    </row>
    <row r="9466" spans="2:2" ht="15.6">
      <c r="B9466" s="197">
        <v>18.271486590276254</v>
      </c>
    </row>
    <row r="9467" spans="2:2" ht="15.6">
      <c r="B9467" s="197">
        <v>18.087930897928008</v>
      </c>
    </row>
    <row r="9468" spans="2:2" ht="15.6">
      <c r="B9468" s="197">
        <v>17.867537983615147</v>
      </c>
    </row>
    <row r="9469" spans="2:2" ht="15.6">
      <c r="B9469" s="197">
        <v>18.272486919291229</v>
      </c>
    </row>
    <row r="9470" spans="2:2" ht="15.6">
      <c r="B9470" s="197">
        <v>18.305972967478422</v>
      </c>
    </row>
    <row r="9471" spans="2:2" ht="15.6">
      <c r="B9471" s="197">
        <v>18.25080825402231</v>
      </c>
    </row>
    <row r="9472" spans="2:2" ht="15.6">
      <c r="B9472" s="197">
        <v>18.078254410009649</v>
      </c>
    </row>
    <row r="9473" spans="2:2" ht="15.6">
      <c r="B9473" s="197">
        <v>18.072821844711584</v>
      </c>
    </row>
    <row r="9474" spans="2:2" ht="15.6">
      <c r="B9474" s="197">
        <v>18.345180757885892</v>
      </c>
    </row>
    <row r="9475" spans="2:2" ht="15.6">
      <c r="B9475" s="197">
        <v>18.370110439486652</v>
      </c>
    </row>
    <row r="9476" spans="2:2" ht="15.6">
      <c r="B9476" s="197">
        <v>18.007476670609353</v>
      </c>
    </row>
    <row r="9477" spans="2:2" ht="15.6">
      <c r="B9477" s="197">
        <v>18.319746746675079</v>
      </c>
    </row>
    <row r="9478" spans="2:2" ht="15.6">
      <c r="B9478" s="197">
        <v>18.240733900312691</v>
      </c>
    </row>
    <row r="9479" spans="2:2" ht="15.6">
      <c r="B9479" s="197">
        <v>18.312521781458681</v>
      </c>
    </row>
    <row r="9480" spans="2:2" ht="15.6">
      <c r="B9480" s="197">
        <v>18.492148632853759</v>
      </c>
    </row>
    <row r="9481" spans="2:2" ht="15.6">
      <c r="B9481" s="197">
        <v>17.705449715486754</v>
      </c>
    </row>
    <row r="9482" spans="2:2" ht="15.6">
      <c r="B9482" s="197">
        <v>18.258147760901142</v>
      </c>
    </row>
    <row r="9483" spans="2:2" ht="15.6">
      <c r="B9483" s="197">
        <v>18.691495740132261</v>
      </c>
    </row>
    <row r="9484" spans="2:2" ht="15.6">
      <c r="B9484" s="197">
        <v>18.134279026889551</v>
      </c>
    </row>
    <row r="9485" spans="2:2" ht="15.6">
      <c r="B9485" s="197">
        <v>18.382995890713342</v>
      </c>
    </row>
    <row r="9486" spans="2:2" ht="15.6">
      <c r="B9486" s="197">
        <v>18.200635147347157</v>
      </c>
    </row>
    <row r="9487" spans="2:2" ht="15.6">
      <c r="B9487" s="197">
        <v>18.110874113270537</v>
      </c>
    </row>
    <row r="9488" spans="2:2" ht="15.6">
      <c r="B9488" s="197">
        <v>18.343136860922826</v>
      </c>
    </row>
    <row r="9489" spans="2:2" ht="15.6">
      <c r="B9489" s="197">
        <v>18.204307101895257</v>
      </c>
    </row>
    <row r="9490" spans="2:2" ht="15.6">
      <c r="B9490" s="197">
        <v>18.331308730231729</v>
      </c>
    </row>
    <row r="9491" spans="2:2" ht="15.6">
      <c r="B9491" s="197">
        <v>17.813504612195175</v>
      </c>
    </row>
    <row r="9492" spans="2:2" ht="15.6">
      <c r="B9492" s="197">
        <v>18.1718472637574</v>
      </c>
    </row>
    <row r="9493" spans="2:2" ht="15.6">
      <c r="B9493" s="197">
        <v>18.316337739941016</v>
      </c>
    </row>
    <row r="9494" spans="2:2" ht="15.6">
      <c r="B9494" s="197">
        <v>18.174980250819861</v>
      </c>
    </row>
    <row r="9495" spans="2:2" ht="15.6">
      <c r="B9495" s="197">
        <v>17.978094659831857</v>
      </c>
    </row>
    <row r="9496" spans="2:2" ht="15.6">
      <c r="B9496" s="197">
        <v>17.941916754645113</v>
      </c>
    </row>
    <row r="9497" spans="2:2" ht="15.6">
      <c r="B9497" s="197">
        <v>18.08267794996706</v>
      </c>
    </row>
    <row r="9498" spans="2:2" ht="15.6">
      <c r="B9498" s="197">
        <v>17.896624755619591</v>
      </c>
    </row>
    <row r="9499" spans="2:2" ht="15.6">
      <c r="B9499" s="197">
        <v>18.407717639718328</v>
      </c>
    </row>
    <row r="9500" spans="2:2" ht="15.6">
      <c r="B9500" s="197">
        <v>18.192816741597287</v>
      </c>
    </row>
    <row r="9501" spans="2:2" ht="15.6">
      <c r="B9501" s="197">
        <v>18.278899501294763</v>
      </c>
    </row>
    <row r="9502" spans="2:2" ht="15.6">
      <c r="B9502" s="197">
        <v>17.88235616994508</v>
      </c>
    </row>
    <row r="9503" spans="2:2" ht="15.6">
      <c r="B9503" s="197">
        <v>18.468414895241771</v>
      </c>
    </row>
    <row r="9504" spans="2:2" ht="15.6">
      <c r="B9504" s="197">
        <v>18.097055596434934</v>
      </c>
    </row>
    <row r="9505" spans="2:2" ht="15.6">
      <c r="B9505" s="197">
        <v>17.770615837210325</v>
      </c>
    </row>
    <row r="9506" spans="2:2" ht="15.6">
      <c r="B9506" s="197">
        <v>17.798486565911951</v>
      </c>
    </row>
    <row r="9507" spans="2:2" ht="15.6">
      <c r="B9507" s="197">
        <v>18.136798940835472</v>
      </c>
    </row>
    <row r="9508" spans="2:2" ht="15.6">
      <c r="B9508" s="197">
        <v>17.949877764296044</v>
      </c>
    </row>
    <row r="9509" spans="2:2" ht="15.6">
      <c r="B9509" s="197">
        <v>17.85042337776914</v>
      </c>
    </row>
    <row r="9510" spans="2:2" ht="15.6">
      <c r="B9510" s="197">
        <v>18.188301488196537</v>
      </c>
    </row>
    <row r="9511" spans="2:2" ht="15.6">
      <c r="B9511" s="197">
        <v>17.711430755412088</v>
      </c>
    </row>
    <row r="9512" spans="2:2" ht="15.6">
      <c r="B9512" s="197">
        <v>18.334426332457856</v>
      </c>
    </row>
    <row r="9513" spans="2:2" ht="15.6">
      <c r="B9513" s="197">
        <v>18.256668931723151</v>
      </c>
    </row>
    <row r="9514" spans="2:2" ht="15.6">
      <c r="B9514" s="197">
        <v>18.027811740446474</v>
      </c>
    </row>
    <row r="9515" spans="2:2" ht="15.6">
      <c r="B9515" s="197">
        <v>18.526507918261096</v>
      </c>
    </row>
    <row r="9516" spans="2:2" ht="15.6">
      <c r="B9516" s="197">
        <v>18.176638051900987</v>
      </c>
    </row>
    <row r="9517" spans="2:2" ht="15.6">
      <c r="B9517" s="197">
        <v>18.017207587584917</v>
      </c>
    </row>
    <row r="9518" spans="2:2" ht="15.6">
      <c r="B9518" s="197">
        <v>18.078893414984933</v>
      </c>
    </row>
    <row r="9519" spans="2:2" ht="15.6">
      <c r="B9519" s="197">
        <v>18.199328885679748</v>
      </c>
    </row>
    <row r="9520" spans="2:2" ht="15.6">
      <c r="B9520" s="197">
        <v>18.044249853267115</v>
      </c>
    </row>
    <row r="9521" spans="2:2" ht="15.6">
      <c r="B9521" s="197">
        <v>18.11566634214185</v>
      </c>
    </row>
    <row r="9522" spans="2:2" ht="15.6">
      <c r="B9522" s="197">
        <v>18.204457647142004</v>
      </c>
    </row>
    <row r="9523" spans="2:2" ht="15.6">
      <c r="B9523" s="197">
        <v>18.045674035605209</v>
      </c>
    </row>
    <row r="9524" spans="2:2" ht="15.6">
      <c r="B9524" s="197">
        <v>18.457125935103878</v>
      </c>
    </row>
    <row r="9525" spans="2:2" ht="15.6">
      <c r="B9525" s="197">
        <v>18.086845595275793</v>
      </c>
    </row>
    <row r="9526" spans="2:2" ht="15.6">
      <c r="B9526" s="197">
        <v>18.41170924897181</v>
      </c>
    </row>
    <row r="9527" spans="2:2" ht="15.6">
      <c r="B9527" s="197">
        <v>18.260278353929845</v>
      </c>
    </row>
    <row r="9528" spans="2:2" ht="15.6">
      <c r="B9528" s="197">
        <v>18.179404071770307</v>
      </c>
    </row>
    <row r="9529" spans="2:2" ht="15.6">
      <c r="B9529" s="197">
        <v>18.357274833169068</v>
      </c>
    </row>
    <row r="9530" spans="2:2" ht="15.6">
      <c r="B9530" s="197">
        <v>18.02259053545021</v>
      </c>
    </row>
    <row r="9531" spans="2:2" ht="15.6">
      <c r="B9531" s="197">
        <v>17.925879383768535</v>
      </c>
    </row>
    <row r="9532" spans="2:2" ht="15.6">
      <c r="B9532" s="197">
        <v>18.269958417688517</v>
      </c>
    </row>
    <row r="9533" spans="2:2" ht="15.6">
      <c r="B9533" s="197">
        <v>18.027127665394318</v>
      </c>
    </row>
    <row r="9534" spans="2:2" ht="15.6">
      <c r="B9534" s="197">
        <v>18.274945155649192</v>
      </c>
    </row>
    <row r="9535" spans="2:2" ht="15.6">
      <c r="B9535" s="197">
        <v>18.155187832144708</v>
      </c>
    </row>
    <row r="9536" spans="2:2" ht="15.6">
      <c r="B9536" s="197">
        <v>18.576821965567351</v>
      </c>
    </row>
    <row r="9537" spans="2:2" ht="15.6">
      <c r="B9537" s="197">
        <v>18.334977697852892</v>
      </c>
    </row>
    <row r="9538" spans="2:2" ht="15.6">
      <c r="B9538" s="197">
        <v>17.855033690703284</v>
      </c>
    </row>
    <row r="9539" spans="2:2" ht="15.6">
      <c r="B9539" s="197">
        <v>18.561088865590349</v>
      </c>
    </row>
    <row r="9540" spans="2:2" ht="15.6">
      <c r="B9540" s="197">
        <v>18.432529134371276</v>
      </c>
    </row>
    <row r="9541" spans="2:2" ht="15.6">
      <c r="B9541" s="197">
        <v>18.228742552406253</v>
      </c>
    </row>
    <row r="9542" spans="2:2" ht="15.6">
      <c r="B9542" s="197">
        <v>18.424865857863313</v>
      </c>
    </row>
    <row r="9543" spans="2:2" ht="15.6">
      <c r="B9543" s="197">
        <v>18.130543642843254</v>
      </c>
    </row>
    <row r="9544" spans="2:2" ht="15.6">
      <c r="B9544" s="197">
        <v>18.22809848461349</v>
      </c>
    </row>
    <row r="9545" spans="2:2" ht="15.6">
      <c r="B9545" s="197">
        <v>18.075142457433277</v>
      </c>
    </row>
    <row r="9546" spans="2:2" ht="15.6">
      <c r="B9546" s="197">
        <v>18.22418464008566</v>
      </c>
    </row>
    <row r="9547" spans="2:2" ht="15.6">
      <c r="B9547" s="197">
        <v>18.284497707225881</v>
      </c>
    </row>
    <row r="9548" spans="2:2" ht="15.6">
      <c r="B9548" s="197">
        <v>18.276514115651157</v>
      </c>
    </row>
    <row r="9549" spans="2:2" ht="15.6">
      <c r="B9549" s="197">
        <v>18.1972962028821</v>
      </c>
    </row>
    <row r="9550" spans="2:2" ht="15.6">
      <c r="B9550" s="197">
        <v>18.256449130846239</v>
      </c>
    </row>
    <row r="9551" spans="2:2" ht="15.6">
      <c r="B9551" s="197">
        <v>17.813675986440703</v>
      </c>
    </row>
    <row r="9552" spans="2:2" ht="15.6">
      <c r="B9552" s="197">
        <v>18.279419456769538</v>
      </c>
    </row>
    <row r="9553" spans="2:2" ht="15.6">
      <c r="B9553" s="197">
        <v>18.196724076747561</v>
      </c>
    </row>
    <row r="9554" spans="2:2" ht="15.6">
      <c r="B9554" s="197">
        <v>18.273372212877774</v>
      </c>
    </row>
    <row r="9555" spans="2:2" ht="15.6">
      <c r="B9555" s="197">
        <v>18.148407204030029</v>
      </c>
    </row>
    <row r="9556" spans="2:2" ht="15.6">
      <c r="B9556" s="197">
        <v>18.193615277511544</v>
      </c>
    </row>
    <row r="9557" spans="2:2" ht="15.6">
      <c r="B9557" s="197">
        <v>18.140989846040924</v>
      </c>
    </row>
    <row r="9558" spans="2:2" ht="15.6">
      <c r="B9558" s="197">
        <v>18.124520027399647</v>
      </c>
    </row>
    <row r="9559" spans="2:2" ht="15.6">
      <c r="B9559" s="197">
        <v>18.259614757643185</v>
      </c>
    </row>
    <row r="9560" spans="2:2" ht="15.6">
      <c r="B9560" s="197">
        <v>18.177814416302752</v>
      </c>
    </row>
    <row r="9561" spans="2:2" ht="15.6">
      <c r="B9561" s="197">
        <v>18.177487449513723</v>
      </c>
    </row>
    <row r="9562" spans="2:2" ht="15.6">
      <c r="B9562" s="197">
        <v>18.301830040542363</v>
      </c>
    </row>
    <row r="9563" spans="2:2" ht="15.6">
      <c r="B9563" s="197">
        <v>18.361718144373746</v>
      </c>
    </row>
    <row r="9564" spans="2:2" ht="15.6">
      <c r="B9564" s="197">
        <v>18.309843830619023</v>
      </c>
    </row>
    <row r="9565" spans="2:2" ht="15.6">
      <c r="B9565" s="197">
        <v>18.196479510301042</v>
      </c>
    </row>
    <row r="9566" spans="2:2" ht="15.6">
      <c r="B9566" s="197">
        <v>18.078950831232966</v>
      </c>
    </row>
    <row r="9567" spans="2:2" ht="15.6">
      <c r="B9567" s="197">
        <v>18.179689856612434</v>
      </c>
    </row>
    <row r="9568" spans="2:2" ht="15.6">
      <c r="B9568" s="197">
        <v>17.981897882309898</v>
      </c>
    </row>
    <row r="9569" spans="2:2" ht="15.6">
      <c r="B9569" s="197">
        <v>18.430928580234891</v>
      </c>
    </row>
    <row r="9570" spans="2:2" ht="15.6">
      <c r="B9570" s="197">
        <v>17.892712017722285</v>
      </c>
    </row>
    <row r="9571" spans="2:2" ht="15.6">
      <c r="B9571" s="197">
        <v>17.807657776122966</v>
      </c>
    </row>
    <row r="9572" spans="2:2" ht="15.6">
      <c r="B9572" s="197">
        <v>17.86998036380432</v>
      </c>
    </row>
    <row r="9573" spans="2:2" ht="15.6">
      <c r="B9573" s="197">
        <v>18.020129497183049</v>
      </c>
    </row>
    <row r="9574" spans="2:2" ht="15.6">
      <c r="B9574" s="197">
        <v>18.28887710756873</v>
      </c>
    </row>
    <row r="9575" spans="2:2" ht="15.6">
      <c r="B9575" s="197">
        <v>18.324804828243792</v>
      </c>
    </row>
    <row r="9576" spans="2:2" ht="15.6">
      <c r="B9576" s="197">
        <v>18.282532564931785</v>
      </c>
    </row>
    <row r="9577" spans="2:2" ht="15.6">
      <c r="B9577" s="197">
        <v>18.112053579085856</v>
      </c>
    </row>
    <row r="9578" spans="2:2" ht="15.6">
      <c r="B9578" s="197">
        <v>18.008025579746967</v>
      </c>
    </row>
    <row r="9579" spans="2:2" ht="15.6">
      <c r="B9579" s="197">
        <v>18.390144613382517</v>
      </c>
    </row>
    <row r="9580" spans="2:2" ht="15.6">
      <c r="B9580" s="197">
        <v>18.271254516848323</v>
      </c>
    </row>
    <row r="9581" spans="2:2" ht="15.6">
      <c r="B9581" s="197">
        <v>18.008175365063103</v>
      </c>
    </row>
    <row r="9582" spans="2:2" ht="15.6">
      <c r="B9582" s="197">
        <v>18.078894387633461</v>
      </c>
    </row>
    <row r="9583" spans="2:2" ht="15.6">
      <c r="B9583" s="197">
        <v>18.007514346638388</v>
      </c>
    </row>
    <row r="9584" spans="2:2" ht="15.6">
      <c r="B9584" s="197">
        <v>18.147076883403457</v>
      </c>
    </row>
    <row r="9585" spans="2:2" ht="15.6">
      <c r="B9585" s="197">
        <v>18.07489501816929</v>
      </c>
    </row>
    <row r="9586" spans="2:2" ht="15.6">
      <c r="B9586" s="197">
        <v>18.526274787159814</v>
      </c>
    </row>
    <row r="9587" spans="2:2" ht="15.6">
      <c r="B9587" s="197">
        <v>18.006155978762823</v>
      </c>
    </row>
    <row r="9588" spans="2:2" ht="15.6">
      <c r="B9588" s="197">
        <v>18.496205783563781</v>
      </c>
    </row>
    <row r="9589" spans="2:2" ht="15.6">
      <c r="B9589" s="197">
        <v>18.022998288310692</v>
      </c>
    </row>
    <row r="9590" spans="2:2" ht="15.6">
      <c r="B9590" s="197">
        <v>18.06154115273921</v>
      </c>
    </row>
    <row r="9591" spans="2:2" ht="15.6">
      <c r="B9591" s="197">
        <v>18.258259541370425</v>
      </c>
    </row>
    <row r="9592" spans="2:2" ht="15.6">
      <c r="B9592" s="197">
        <v>18.097286530541091</v>
      </c>
    </row>
    <row r="9593" spans="2:2" ht="15.6">
      <c r="B9593" s="197">
        <v>17.996942925686618</v>
      </c>
    </row>
    <row r="9594" spans="2:2" ht="15.6">
      <c r="B9594" s="197">
        <v>18.251220639934722</v>
      </c>
    </row>
    <row r="9595" spans="2:2" ht="15.6">
      <c r="B9595" s="197">
        <v>18.207962212275419</v>
      </c>
    </row>
    <row r="9596" spans="2:2" ht="15.6">
      <c r="B9596" s="197">
        <v>18.343641203292794</v>
      </c>
    </row>
    <row r="9597" spans="2:2" ht="15.6">
      <c r="B9597" s="197">
        <v>18.084989108916346</v>
      </c>
    </row>
    <row r="9598" spans="2:2" ht="15.6">
      <c r="B9598" s="197">
        <v>18.152150949663845</v>
      </c>
    </row>
    <row r="9599" spans="2:2" ht="15.6">
      <c r="B9599" s="197">
        <v>18.649883871140471</v>
      </c>
    </row>
    <row r="9600" spans="2:2" ht="15.6">
      <c r="B9600" s="197">
        <v>18.633674182024897</v>
      </c>
    </row>
    <row r="9601" spans="2:2" ht="15.6">
      <c r="B9601" s="197">
        <v>17.808922340956101</v>
      </c>
    </row>
    <row r="9602" spans="2:2" ht="15.6">
      <c r="B9602" s="197">
        <v>18.195108075006718</v>
      </c>
    </row>
    <row r="9603" spans="2:2" ht="15.6">
      <c r="B9603" s="197">
        <v>18.115996158470178</v>
      </c>
    </row>
    <row r="9604" spans="2:2" ht="15.6">
      <c r="B9604" s="197">
        <v>18.186770540206282</v>
      </c>
    </row>
    <row r="9605" spans="2:2" ht="15.6">
      <c r="B9605" s="197">
        <v>17.828881348169151</v>
      </c>
    </row>
    <row r="9606" spans="2:2" ht="15.6">
      <c r="B9606" s="197">
        <v>18.169897994194216</v>
      </c>
    </row>
    <row r="9607" spans="2:2" ht="15.6">
      <c r="B9607" s="197">
        <v>17.912262290756722</v>
      </c>
    </row>
    <row r="9608" spans="2:2" ht="15.6">
      <c r="B9608" s="197">
        <v>17.996962530396839</v>
      </c>
    </row>
    <row r="9609" spans="2:2" ht="15.6">
      <c r="B9609" s="197">
        <v>18.394866277781166</v>
      </c>
    </row>
    <row r="9610" spans="2:2" ht="15.6">
      <c r="B9610" s="197">
        <v>18.058285983657601</v>
      </c>
    </row>
    <row r="9611" spans="2:2" ht="15.6">
      <c r="B9611" s="197">
        <v>17.876544342564088</v>
      </c>
    </row>
    <row r="9612" spans="2:2" ht="15.6">
      <c r="B9612" s="197">
        <v>18.069872651617995</v>
      </c>
    </row>
    <row r="9613" spans="2:2" ht="15.6">
      <c r="B9613" s="197">
        <v>17.883793289745533</v>
      </c>
    </row>
    <row r="9614" spans="2:2" ht="15.6">
      <c r="B9614" s="197">
        <v>17.737433888249313</v>
      </c>
    </row>
    <row r="9615" spans="2:2" ht="15.6">
      <c r="B9615" s="197">
        <v>18.085047327016483</v>
      </c>
    </row>
    <row r="9616" spans="2:2" ht="15.6">
      <c r="B9616" s="197">
        <v>18.480040711209696</v>
      </c>
    </row>
    <row r="9617" spans="2:2" ht="15.6">
      <c r="B9617" s="197">
        <v>18.374233106949969</v>
      </c>
    </row>
    <row r="9618" spans="2:2" ht="15.6">
      <c r="B9618" s="197">
        <v>18.039875217188165</v>
      </c>
    </row>
    <row r="9619" spans="2:2" ht="15.6">
      <c r="B9619" s="197">
        <v>17.791378260276069</v>
      </c>
    </row>
    <row r="9620" spans="2:2" ht="15.6">
      <c r="B9620" s="197">
        <v>18.104718310214796</v>
      </c>
    </row>
    <row r="9621" spans="2:2" ht="15.6">
      <c r="B9621" s="197">
        <v>18.380080792042357</v>
      </c>
    </row>
    <row r="9622" spans="2:2" ht="15.6">
      <c r="B9622" s="197">
        <v>17.974281319892672</v>
      </c>
    </row>
    <row r="9623" spans="2:2" ht="15.6">
      <c r="B9623" s="197">
        <v>18.220830227865761</v>
      </c>
    </row>
    <row r="9624" spans="2:2" ht="15.6">
      <c r="B9624" s="197">
        <v>18.166888998393699</v>
      </c>
    </row>
    <row r="9625" spans="2:2" ht="15.6">
      <c r="B9625" s="197">
        <v>17.927879753628829</v>
      </c>
    </row>
    <row r="9626" spans="2:2" ht="15.6">
      <c r="B9626" s="197">
        <v>18.327682566442864</v>
      </c>
    </row>
    <row r="9627" spans="2:2" ht="15.6">
      <c r="B9627" s="197">
        <v>18.249049599136942</v>
      </c>
    </row>
    <row r="9628" spans="2:2" ht="15.6">
      <c r="B9628" s="197">
        <v>18.527701378652967</v>
      </c>
    </row>
    <row r="9629" spans="2:2" ht="15.6">
      <c r="B9629" s="197">
        <v>18.087256668204233</v>
      </c>
    </row>
    <row r="9630" spans="2:2" ht="15.6">
      <c r="B9630" s="197">
        <v>18.248411079995854</v>
      </c>
    </row>
    <row r="9631" spans="2:2" ht="15.6">
      <c r="B9631" s="197">
        <v>17.863536190508491</v>
      </c>
    </row>
    <row r="9632" spans="2:2" ht="15.6">
      <c r="B9632" s="197">
        <v>18.147074736282629</v>
      </c>
    </row>
    <row r="9633" spans="2:2" ht="15.6">
      <c r="B9633" s="197">
        <v>18.431342781471429</v>
      </c>
    </row>
    <row r="9634" spans="2:2" ht="15.6">
      <c r="B9634" s="197">
        <v>18.351010033972393</v>
      </c>
    </row>
    <row r="9635" spans="2:2" ht="15.6">
      <c r="B9635" s="197">
        <v>18.002592783529543</v>
      </c>
    </row>
    <row r="9636" spans="2:2" ht="15.6">
      <c r="B9636" s="197">
        <v>18.313739496071978</v>
      </c>
    </row>
    <row r="9637" spans="2:2" ht="15.6">
      <c r="B9637" s="197">
        <v>17.855997065194678</v>
      </c>
    </row>
    <row r="9638" spans="2:2" ht="15.6">
      <c r="B9638" s="197">
        <v>18.269469825407072</v>
      </c>
    </row>
    <row r="9639" spans="2:2" ht="15.6">
      <c r="B9639" s="197">
        <v>18.218701291066463</v>
      </c>
    </row>
    <row r="9640" spans="2:2" ht="15.6">
      <c r="B9640" s="197">
        <v>18.190837183424083</v>
      </c>
    </row>
    <row r="9641" spans="2:2" ht="15.6">
      <c r="B9641" s="197">
        <v>17.978741275535182</v>
      </c>
    </row>
    <row r="9642" spans="2:2" ht="15.6">
      <c r="B9642" s="197">
        <v>18.028213512165678</v>
      </c>
    </row>
    <row r="9643" spans="2:2" ht="15.6">
      <c r="B9643" s="197">
        <v>18.342780535485325</v>
      </c>
    </row>
    <row r="9644" spans="2:2" ht="15.6">
      <c r="B9644" s="197">
        <v>17.797851351606116</v>
      </c>
    </row>
    <row r="9645" spans="2:2" ht="15.6">
      <c r="B9645" s="197">
        <v>18.19739939876829</v>
      </c>
    </row>
    <row r="9646" spans="2:2" ht="15.6">
      <c r="B9646" s="197">
        <v>18.000220751808818</v>
      </c>
    </row>
    <row r="9647" spans="2:2" ht="15.6">
      <c r="B9647" s="197">
        <v>18.175210323186434</v>
      </c>
    </row>
    <row r="9648" spans="2:2" ht="15.6">
      <c r="B9648" s="197">
        <v>18.203626694146173</v>
      </c>
    </row>
    <row r="9649" spans="2:2" ht="15.6">
      <c r="B9649" s="197">
        <v>18.337956766799088</v>
      </c>
    </row>
    <row r="9650" spans="2:2" ht="15.6">
      <c r="B9650" s="197">
        <v>17.868673663981816</v>
      </c>
    </row>
    <row r="9651" spans="2:2" ht="15.6">
      <c r="B9651" s="197">
        <v>17.883677732120166</v>
      </c>
    </row>
    <row r="9652" spans="2:2" ht="15.6">
      <c r="B9652" s="197">
        <v>17.886098030852818</v>
      </c>
    </row>
    <row r="9653" spans="2:2" ht="15.6">
      <c r="B9653" s="197">
        <v>18.189899156133144</v>
      </c>
    </row>
    <row r="9654" spans="2:2" ht="15.6">
      <c r="B9654" s="197">
        <v>18.418627264250475</v>
      </c>
    </row>
    <row r="9655" spans="2:2" ht="15.6">
      <c r="B9655" s="197">
        <v>17.865545077270227</v>
      </c>
    </row>
    <row r="9656" spans="2:2" ht="15.6">
      <c r="B9656" s="197">
        <v>18.262991897731869</v>
      </c>
    </row>
    <row r="9657" spans="2:2" ht="15.6">
      <c r="B9657" s="197">
        <v>18.161513858848608</v>
      </c>
    </row>
    <row r="9658" spans="2:2" ht="15.6">
      <c r="B9658" s="197">
        <v>18.302073169439517</v>
      </c>
    </row>
    <row r="9659" spans="2:2" ht="15.6">
      <c r="B9659" s="197">
        <v>18.039867580713</v>
      </c>
    </row>
    <row r="9660" spans="2:2" ht="15.6">
      <c r="B9660" s="197">
        <v>18.188352665514977</v>
      </c>
    </row>
    <row r="9661" spans="2:2" ht="15.6">
      <c r="B9661" s="197">
        <v>18.13408122396751</v>
      </c>
    </row>
    <row r="9662" spans="2:2" ht="15.6">
      <c r="B9662" s="197">
        <v>18.039142769623115</v>
      </c>
    </row>
    <row r="9663" spans="2:2" ht="15.6">
      <c r="B9663" s="197">
        <v>17.921819469755043</v>
      </c>
    </row>
    <row r="9664" spans="2:2" ht="15.6">
      <c r="B9664" s="197">
        <v>17.955488596445953</v>
      </c>
    </row>
    <row r="9665" spans="2:2" ht="15.6">
      <c r="B9665" s="197">
        <v>18.093344832316696</v>
      </c>
    </row>
    <row r="9666" spans="2:2" ht="15.6">
      <c r="B9666" s="197">
        <v>18.018888534668349</v>
      </c>
    </row>
    <row r="9667" spans="2:2" ht="15.6">
      <c r="B9667" s="197">
        <v>17.555309709158891</v>
      </c>
    </row>
    <row r="9668" spans="2:2" ht="15.6">
      <c r="B9668" s="197">
        <v>18.039398116602783</v>
      </c>
    </row>
    <row r="9669" spans="2:2" ht="15.6">
      <c r="B9669" s="197">
        <v>18.156482285056136</v>
      </c>
    </row>
    <row r="9670" spans="2:2" ht="15.6">
      <c r="B9670" s="197">
        <v>17.997919551931663</v>
      </c>
    </row>
    <row r="9671" spans="2:2" ht="15.6">
      <c r="B9671" s="197">
        <v>18.592570293639199</v>
      </c>
    </row>
    <row r="9672" spans="2:2" ht="15.6">
      <c r="B9672" s="197">
        <v>17.817679987440439</v>
      </c>
    </row>
    <row r="9673" spans="2:2" ht="15.6">
      <c r="B9673" s="197">
        <v>18.231197145147966</v>
      </c>
    </row>
    <row r="9674" spans="2:2" ht="15.6">
      <c r="B9674" s="197">
        <v>18.284131940787905</v>
      </c>
    </row>
    <row r="9675" spans="2:2" ht="15.6">
      <c r="B9675" s="197">
        <v>17.957018881297437</v>
      </c>
    </row>
    <row r="9676" spans="2:2" ht="15.6">
      <c r="B9676" s="197">
        <v>17.92469217238904</v>
      </c>
    </row>
    <row r="9677" spans="2:2" ht="15.6">
      <c r="B9677" s="197">
        <v>18.510394183181752</v>
      </c>
    </row>
    <row r="9678" spans="2:2" ht="15.6">
      <c r="B9678" s="197">
        <v>18.33630157159833</v>
      </c>
    </row>
    <row r="9679" spans="2:2" ht="15.6">
      <c r="B9679" s="197">
        <v>17.875628330920804</v>
      </c>
    </row>
    <row r="9680" spans="2:2" ht="15.6">
      <c r="B9680" s="197">
        <v>18.239636807728182</v>
      </c>
    </row>
    <row r="9681" spans="2:2" ht="15.6">
      <c r="B9681" s="197">
        <v>18.342670958039108</v>
      </c>
    </row>
    <row r="9682" spans="2:2" ht="15.6">
      <c r="B9682" s="197">
        <v>18.346052899743352</v>
      </c>
    </row>
    <row r="9683" spans="2:2" ht="15.6">
      <c r="B9683" s="197">
        <v>18.090127085426733</v>
      </c>
    </row>
    <row r="9684" spans="2:2" ht="15.6">
      <c r="B9684" s="197">
        <v>18.352873871096016</v>
      </c>
    </row>
    <row r="9685" spans="2:2" ht="15.6">
      <c r="B9685" s="197">
        <v>18.117667877885072</v>
      </c>
    </row>
    <row r="9686" spans="2:2" ht="15.6">
      <c r="B9686" s="197">
        <v>18.043314247226508</v>
      </c>
    </row>
    <row r="9687" spans="2:2" ht="15.6">
      <c r="B9687" s="197">
        <v>17.922323635746778</v>
      </c>
    </row>
    <row r="9688" spans="2:2" ht="15.6">
      <c r="B9688" s="197">
        <v>18.603048705996432</v>
      </c>
    </row>
    <row r="9689" spans="2:2" ht="15.6">
      <c r="B9689" s="197">
        <v>18.21609197807031</v>
      </c>
    </row>
    <row r="9690" spans="2:2" ht="15.6">
      <c r="B9690" s="197">
        <v>18.123830040362122</v>
      </c>
    </row>
    <row r="9691" spans="2:2" ht="15.6">
      <c r="B9691" s="197">
        <v>18.170722754211965</v>
      </c>
    </row>
    <row r="9692" spans="2:2" ht="15.6">
      <c r="B9692" s="197">
        <v>18.46138124013325</v>
      </c>
    </row>
    <row r="9693" spans="2:2" ht="15.6">
      <c r="B9693" s="197">
        <v>18.112503158901923</v>
      </c>
    </row>
    <row r="9694" spans="2:2" ht="15.6">
      <c r="B9694" s="197">
        <v>17.904064069194948</v>
      </c>
    </row>
    <row r="9695" spans="2:2" ht="15.6">
      <c r="B9695" s="197">
        <v>17.996204037020288</v>
      </c>
    </row>
    <row r="9696" spans="2:2" ht="15.6">
      <c r="B9696" s="197">
        <v>17.702855566570005</v>
      </c>
    </row>
    <row r="9697" spans="2:2" ht="15.6">
      <c r="B9697" s="197">
        <v>18.335377147072702</v>
      </c>
    </row>
    <row r="9698" spans="2:2" ht="15.6">
      <c r="B9698" s="197">
        <v>18.044794264401279</v>
      </c>
    </row>
    <row r="9699" spans="2:2" ht="15.6">
      <c r="B9699" s="197">
        <v>18.235411585937399</v>
      </c>
    </row>
    <row r="9700" spans="2:2" ht="15.6">
      <c r="B9700" s="197">
        <v>18.19094364856517</v>
      </c>
    </row>
    <row r="9701" spans="2:2" ht="15.6">
      <c r="B9701" s="197">
        <v>18.076146114602274</v>
      </c>
    </row>
    <row r="9702" spans="2:2" ht="15.6">
      <c r="B9702" s="197">
        <v>18.326621804369157</v>
      </c>
    </row>
    <row r="9703" spans="2:2" ht="15.6">
      <c r="B9703" s="197">
        <v>18.356232498806339</v>
      </c>
    </row>
    <row r="9704" spans="2:2" ht="15.6">
      <c r="B9704" s="197">
        <v>18.24250678851935</v>
      </c>
    </row>
    <row r="9705" spans="2:2" ht="15.6">
      <c r="B9705" s="197">
        <v>18.157962124538333</v>
      </c>
    </row>
    <row r="9706" spans="2:2" ht="15.6">
      <c r="B9706" s="197">
        <v>18.747383715418628</v>
      </c>
    </row>
    <row r="9707" spans="2:2" ht="15.6">
      <c r="B9707" s="197">
        <v>18.122451309924244</v>
      </c>
    </row>
    <row r="9708" spans="2:2" ht="15.6">
      <c r="B9708" s="197">
        <v>17.993943751938122</v>
      </c>
    </row>
    <row r="9709" spans="2:2" ht="15.6">
      <c r="B9709" s="197">
        <v>17.900897145548882</v>
      </c>
    </row>
    <row r="9710" spans="2:2" ht="15.6">
      <c r="B9710" s="197">
        <v>18.057570673818446</v>
      </c>
    </row>
    <row r="9711" spans="2:2" ht="15.6">
      <c r="B9711" s="197">
        <v>18.122347846787271</v>
      </c>
    </row>
    <row r="9712" spans="2:2" ht="15.6">
      <c r="B9712" s="197">
        <v>18.057428440054405</v>
      </c>
    </row>
    <row r="9713" spans="2:2" ht="15.6">
      <c r="B9713" s="197">
        <v>17.93951360808158</v>
      </c>
    </row>
    <row r="9714" spans="2:2" ht="15.6">
      <c r="B9714" s="197">
        <v>18.116565573527474</v>
      </c>
    </row>
    <row r="9715" spans="2:2" ht="15.6">
      <c r="B9715" s="197">
        <v>18.350357118158769</v>
      </c>
    </row>
    <row r="9716" spans="2:2" ht="15.6">
      <c r="B9716" s="197">
        <v>18.017603367188038</v>
      </c>
    </row>
    <row r="9717" spans="2:2" ht="15.6">
      <c r="B9717" s="197">
        <v>18.386004443952565</v>
      </c>
    </row>
    <row r="9718" spans="2:2" ht="15.6">
      <c r="B9718" s="197">
        <v>18.169013642849311</v>
      </c>
    </row>
    <row r="9719" spans="2:2" ht="15.6">
      <c r="B9719" s="197">
        <v>18.316639029387108</v>
      </c>
    </row>
    <row r="9720" spans="2:2" ht="15.6">
      <c r="B9720" s="197">
        <v>18.230207531917728</v>
      </c>
    </row>
    <row r="9721" spans="2:2" ht="15.6">
      <c r="B9721" s="197">
        <v>18.381875982603699</v>
      </c>
    </row>
    <row r="9722" spans="2:2" ht="15.6">
      <c r="B9722" s="197">
        <v>18.558904159297363</v>
      </c>
    </row>
    <row r="9723" spans="2:2" ht="15.6">
      <c r="B9723" s="197">
        <v>18.023236283879644</v>
      </c>
    </row>
    <row r="9724" spans="2:2" ht="15.6">
      <c r="B9724" s="197">
        <v>18.072197542737172</v>
      </c>
    </row>
    <row r="9725" spans="2:2" ht="15.6">
      <c r="B9725" s="197">
        <v>18.19770840552858</v>
      </c>
    </row>
    <row r="9726" spans="2:2" ht="15.6">
      <c r="B9726" s="197">
        <v>18.223324631347687</v>
      </c>
    </row>
    <row r="9727" spans="2:2" ht="15.6">
      <c r="B9727" s="197">
        <v>18.149283981997055</v>
      </c>
    </row>
    <row r="9728" spans="2:2" ht="15.6">
      <c r="B9728" s="197">
        <v>18.194527390819662</v>
      </c>
    </row>
    <row r="9729" spans="2:2" ht="15.6">
      <c r="B9729" s="197">
        <v>18.085653757173453</v>
      </c>
    </row>
    <row r="9730" spans="2:2" ht="15.6">
      <c r="B9730" s="197">
        <v>18.133309190032371</v>
      </c>
    </row>
    <row r="9731" spans="2:2" ht="15.6">
      <c r="B9731" s="197">
        <v>18.119856338378032</v>
      </c>
    </row>
    <row r="9732" spans="2:2" ht="15.6">
      <c r="B9732" s="197">
        <v>18.288911814529492</v>
      </c>
    </row>
    <row r="9733" spans="2:2" ht="15.6">
      <c r="B9733" s="197">
        <v>18.086284571820862</v>
      </c>
    </row>
    <row r="9734" spans="2:2" ht="15.6">
      <c r="B9734" s="197">
        <v>18.246649350805718</v>
      </c>
    </row>
    <row r="9735" spans="2:2" ht="15.6">
      <c r="B9735" s="197">
        <v>18.177307957525802</v>
      </c>
    </row>
    <row r="9736" spans="2:2" ht="15.6">
      <c r="B9736" s="197">
        <v>18.388295901745686</v>
      </c>
    </row>
    <row r="9737" spans="2:2" ht="15.6">
      <c r="B9737" s="197">
        <v>18.006254431801452</v>
      </c>
    </row>
    <row r="9738" spans="2:2" ht="15.6">
      <c r="B9738" s="197">
        <v>18.039114250258333</v>
      </c>
    </row>
    <row r="9739" spans="2:2" ht="15.6">
      <c r="B9739" s="197">
        <v>18.357106675637294</v>
      </c>
    </row>
    <row r="9740" spans="2:2" ht="15.6">
      <c r="B9740" s="197">
        <v>18.188153616405238</v>
      </c>
    </row>
    <row r="9741" spans="2:2" ht="15.6">
      <c r="B9741" s="197">
        <v>18.29932442608542</v>
      </c>
    </row>
    <row r="9742" spans="2:2" ht="15.6">
      <c r="B9742" s="197">
        <v>18.160181542456378</v>
      </c>
    </row>
    <row r="9743" spans="2:2" ht="15.6">
      <c r="B9743" s="197">
        <v>18.337783045260785</v>
      </c>
    </row>
    <row r="9744" spans="2:2" ht="15.6">
      <c r="B9744" s="197">
        <v>17.994989296866201</v>
      </c>
    </row>
    <row r="9745" spans="2:2" ht="15.6">
      <c r="B9745" s="197">
        <v>18.297460384017818</v>
      </c>
    </row>
    <row r="9746" spans="2:2" ht="15.6">
      <c r="B9746" s="197">
        <v>18.258780496331607</v>
      </c>
    </row>
    <row r="9747" spans="2:2" ht="15.6">
      <c r="B9747" s="197">
        <v>17.963340043057585</v>
      </c>
    </row>
    <row r="9748" spans="2:2" ht="15.6">
      <c r="B9748" s="197">
        <v>18.383451781271091</v>
      </c>
    </row>
    <row r="9749" spans="2:2" ht="15.6">
      <c r="B9749" s="197">
        <v>18.096701389537749</v>
      </c>
    </row>
    <row r="9750" spans="2:2" ht="15.6">
      <c r="B9750" s="197">
        <v>17.955991544465682</v>
      </c>
    </row>
    <row r="9751" spans="2:2" ht="15.6">
      <c r="B9751" s="197">
        <v>18.131296782719222</v>
      </c>
    </row>
    <row r="9752" spans="2:2" ht="15.6">
      <c r="B9752" s="197">
        <v>18.286581852317422</v>
      </c>
    </row>
    <row r="9753" spans="2:2" ht="15.6">
      <c r="B9753" s="197">
        <v>17.881234086532881</v>
      </c>
    </row>
    <row r="9754" spans="2:2" ht="15.6">
      <c r="B9754" s="197">
        <v>18.651643369173176</v>
      </c>
    </row>
    <row r="9755" spans="2:2" ht="15.6">
      <c r="B9755" s="197">
        <v>18.296685818423121</v>
      </c>
    </row>
    <row r="9756" spans="2:2" ht="15.6">
      <c r="B9756" s="197">
        <v>17.955028119649246</v>
      </c>
    </row>
    <row r="9757" spans="2:2" ht="15.6">
      <c r="B9757" s="197">
        <v>18.375114720852167</v>
      </c>
    </row>
    <row r="9758" spans="2:2" ht="15.6">
      <c r="B9758" s="197">
        <v>18.423356288277514</v>
      </c>
    </row>
    <row r="9759" spans="2:2" ht="15.6">
      <c r="B9759" s="197">
        <v>18.009415924724909</v>
      </c>
    </row>
    <row r="9760" spans="2:2" ht="15.6">
      <c r="B9760" s="197">
        <v>18.306949836658138</v>
      </c>
    </row>
    <row r="9761" spans="2:2" ht="15.6">
      <c r="B9761" s="197">
        <v>18.158821092981242</v>
      </c>
    </row>
    <row r="9762" spans="2:2" ht="15.6">
      <c r="B9762" s="197">
        <v>17.906305203955231</v>
      </c>
    </row>
    <row r="9763" spans="2:2" ht="15.6">
      <c r="B9763" s="197">
        <v>17.927064315929659</v>
      </c>
    </row>
    <row r="9764" spans="2:2" ht="15.6">
      <c r="B9764" s="197">
        <v>18.240643387136434</v>
      </c>
    </row>
    <row r="9765" spans="2:2" ht="15.6">
      <c r="B9765" s="197">
        <v>17.944527363614075</v>
      </c>
    </row>
    <row r="9766" spans="2:2" ht="15.6">
      <c r="B9766" s="197">
        <v>18.174606997958765</v>
      </c>
    </row>
    <row r="9767" spans="2:2" ht="15.6">
      <c r="B9767" s="197">
        <v>17.797930754052398</v>
      </c>
    </row>
    <row r="9768" spans="2:2" ht="15.6">
      <c r="B9768" s="197">
        <v>18.258329969246773</v>
      </c>
    </row>
    <row r="9769" spans="2:2" ht="15.6">
      <c r="B9769" s="197">
        <v>18.09226845576308</v>
      </c>
    </row>
    <row r="9770" spans="2:2" ht="15.6">
      <c r="B9770" s="197">
        <v>18.145833065429667</v>
      </c>
    </row>
    <row r="9771" spans="2:2" ht="15.6">
      <c r="B9771" s="197">
        <v>18.286388715778752</v>
      </c>
    </row>
    <row r="9772" spans="2:2" ht="15.6">
      <c r="B9772" s="197">
        <v>17.940002642134779</v>
      </c>
    </row>
    <row r="9773" spans="2:2" ht="15.6">
      <c r="B9773" s="197">
        <v>17.881536740776934</v>
      </c>
    </row>
    <row r="9774" spans="2:2" ht="15.6">
      <c r="B9774" s="197">
        <v>18.19920897569277</v>
      </c>
    </row>
    <row r="9775" spans="2:2" ht="15.6">
      <c r="B9775" s="197">
        <v>18.050026772740242</v>
      </c>
    </row>
    <row r="9776" spans="2:2" ht="15.6">
      <c r="B9776" s="197">
        <v>18.128056034084384</v>
      </c>
    </row>
    <row r="9777" spans="2:2" ht="15.6">
      <c r="B9777" s="197">
        <v>18.26010513435731</v>
      </c>
    </row>
    <row r="9778" spans="2:2" ht="15.6">
      <c r="B9778" s="197">
        <v>17.884003739331</v>
      </c>
    </row>
    <row r="9779" spans="2:2" ht="15.6">
      <c r="B9779" s="197">
        <v>17.944142522915872</v>
      </c>
    </row>
    <row r="9780" spans="2:2" ht="15.6">
      <c r="B9780" s="197">
        <v>17.762795703453911</v>
      </c>
    </row>
    <row r="9781" spans="2:2" ht="15.6">
      <c r="B9781" s="197">
        <v>18.230640482607228</v>
      </c>
    </row>
    <row r="9782" spans="2:2" ht="15.6">
      <c r="B9782" s="197">
        <v>18.003890857314492</v>
      </c>
    </row>
    <row r="9783" spans="2:2" ht="15.6">
      <c r="B9783" s="197">
        <v>18.408500813895184</v>
      </c>
    </row>
    <row r="9784" spans="2:2" ht="15.6">
      <c r="B9784" s="197">
        <v>17.980317076783827</v>
      </c>
    </row>
    <row r="9785" spans="2:2" ht="15.6">
      <c r="B9785" s="197">
        <v>18.265505680491614</v>
      </c>
    </row>
    <row r="9786" spans="2:2" ht="15.6">
      <c r="B9786" s="197">
        <v>18.252136019918296</v>
      </c>
    </row>
    <row r="9787" spans="2:2" ht="15.6">
      <c r="B9787" s="197">
        <v>18.371026380149875</v>
      </c>
    </row>
    <row r="9788" spans="2:2" ht="15.6">
      <c r="B9788" s="197">
        <v>17.719515587048249</v>
      </c>
    </row>
    <row r="9789" spans="2:2" ht="15.6">
      <c r="B9789" s="197">
        <v>17.866974461234001</v>
      </c>
    </row>
    <row r="9790" spans="2:2" ht="15.6">
      <c r="B9790" s="197">
        <v>18.090860266506361</v>
      </c>
    </row>
    <row r="9791" spans="2:2" ht="15.6">
      <c r="B9791" s="197">
        <v>18.047252533110065</v>
      </c>
    </row>
    <row r="9792" spans="2:2" ht="15.6">
      <c r="B9792" s="197">
        <v>17.928214055067638</v>
      </c>
    </row>
    <row r="9793" spans="2:2" ht="15.6">
      <c r="B9793" s="197">
        <v>17.9118759251031</v>
      </c>
    </row>
    <row r="9794" spans="2:2" ht="15.6">
      <c r="B9794" s="197">
        <v>18.074253547591503</v>
      </c>
    </row>
    <row r="9795" spans="2:2" ht="15.6">
      <c r="B9795" s="197">
        <v>17.783783378314325</v>
      </c>
    </row>
    <row r="9796" spans="2:2" ht="15.6">
      <c r="B9796" s="197">
        <v>18.068321491445428</v>
      </c>
    </row>
    <row r="9797" spans="2:2" ht="15.6">
      <c r="B9797" s="197">
        <v>18.320261158223953</v>
      </c>
    </row>
    <row r="9798" spans="2:2" ht="15.6">
      <c r="B9798" s="197">
        <v>18.491701062662315</v>
      </c>
    </row>
    <row r="9799" spans="2:2" ht="15.6">
      <c r="B9799" s="197">
        <v>18.283642012513454</v>
      </c>
    </row>
    <row r="9800" spans="2:2" ht="15.6">
      <c r="B9800" s="197">
        <v>17.890765163926197</v>
      </c>
    </row>
    <row r="9801" spans="2:2" ht="15.6">
      <c r="B9801" s="197">
        <v>18.010149332729306</v>
      </c>
    </row>
    <row r="9802" spans="2:2" ht="15.6">
      <c r="B9802" s="197">
        <v>18.176226445663939</v>
      </c>
    </row>
    <row r="9803" spans="2:2" ht="15.6">
      <c r="B9803" s="197">
        <v>17.849919902140911</v>
      </c>
    </row>
    <row r="9804" spans="2:2" ht="15.6">
      <c r="B9804" s="197">
        <v>18.404246207194031</v>
      </c>
    </row>
    <row r="9805" spans="2:2" ht="15.6">
      <c r="B9805" s="197">
        <v>18.259161731029685</v>
      </c>
    </row>
    <row r="9806" spans="2:2" ht="15.6">
      <c r="B9806" s="197">
        <v>17.90538441248907</v>
      </c>
    </row>
    <row r="9807" spans="2:2" ht="15.6">
      <c r="B9807" s="197">
        <v>18.04147499154459</v>
      </c>
    </row>
    <row r="9808" spans="2:2" ht="15.6">
      <c r="B9808" s="197">
        <v>18.107296561894941</v>
      </c>
    </row>
    <row r="9809" spans="2:2" ht="15.6">
      <c r="B9809" s="197">
        <v>18.229653161242275</v>
      </c>
    </row>
    <row r="9810" spans="2:2" ht="15.6">
      <c r="B9810" s="197">
        <v>18.076905342824755</v>
      </c>
    </row>
    <row r="9811" spans="2:2" ht="15.6">
      <c r="B9811" s="197">
        <v>18.156944067252631</v>
      </c>
    </row>
    <row r="9812" spans="2:2" ht="15.6">
      <c r="B9812" s="197">
        <v>17.883603501603861</v>
      </c>
    </row>
    <row r="9813" spans="2:2" ht="15.6">
      <c r="B9813" s="197">
        <v>18.31650772189521</v>
      </c>
    </row>
    <row r="9814" spans="2:2" ht="15.6">
      <c r="B9814" s="197">
        <v>18.343489613424993</v>
      </c>
    </row>
    <row r="9815" spans="2:2" ht="15.6">
      <c r="B9815" s="197">
        <v>18.565531696511155</v>
      </c>
    </row>
    <row r="9816" spans="2:2" ht="15.6">
      <c r="B9816" s="197">
        <v>18.248963539692554</v>
      </c>
    </row>
    <row r="9817" spans="2:2" ht="15.6">
      <c r="B9817" s="197">
        <v>18.234337232557191</v>
      </c>
    </row>
    <row r="9818" spans="2:2" ht="15.6">
      <c r="B9818" s="197">
        <v>17.850530118680354</v>
      </c>
    </row>
    <row r="9819" spans="2:2" ht="15.6">
      <c r="B9819" s="197">
        <v>18.23085028251462</v>
      </c>
    </row>
    <row r="9820" spans="2:2" ht="15.6">
      <c r="B9820" s="197">
        <v>17.739887895746769</v>
      </c>
    </row>
    <row r="9821" spans="2:2" ht="15.6">
      <c r="B9821" s="197">
        <v>18.201147284759639</v>
      </c>
    </row>
    <row r="9822" spans="2:2" ht="15.6">
      <c r="B9822" s="197">
        <v>18.153136160106691</v>
      </c>
    </row>
    <row r="9823" spans="2:2" ht="15.6">
      <c r="B9823" s="197">
        <v>18.144112862314287</v>
      </c>
    </row>
    <row r="9824" spans="2:2" ht="15.6">
      <c r="B9824" s="197">
        <v>18.047827189977919</v>
      </c>
    </row>
    <row r="9825" spans="2:2" ht="15.6">
      <c r="B9825" s="197">
        <v>18.099409404443197</v>
      </c>
    </row>
    <row r="9826" spans="2:2" ht="15.6">
      <c r="B9826" s="197">
        <v>18.044929703284929</v>
      </c>
    </row>
    <row r="9827" spans="2:2" ht="15.6">
      <c r="B9827" s="197">
        <v>17.967922324580087</v>
      </c>
    </row>
    <row r="9828" spans="2:2" ht="15.6">
      <c r="B9828" s="197">
        <v>17.822438544646264</v>
      </c>
    </row>
    <row r="9829" spans="2:2" ht="15.6">
      <c r="B9829" s="197">
        <v>18.124190901587525</v>
      </c>
    </row>
    <row r="9830" spans="2:2" ht="15.6">
      <c r="B9830" s="197">
        <v>18.207044843282564</v>
      </c>
    </row>
    <row r="9831" spans="2:2" ht="15.6">
      <c r="B9831" s="197">
        <v>18.5193123448141</v>
      </c>
    </row>
    <row r="9832" spans="2:2" ht="15.6">
      <c r="B9832" s="197">
        <v>18.353833867863777</v>
      </c>
    </row>
    <row r="9833" spans="2:2" ht="15.6">
      <c r="B9833" s="197">
        <v>17.844233041235892</v>
      </c>
    </row>
    <row r="9834" spans="2:2" ht="15.6">
      <c r="B9834" s="197">
        <v>18.426510868577935</v>
      </c>
    </row>
    <row r="9835" spans="2:2" ht="15.6">
      <c r="B9835" s="197">
        <v>18.201433243332193</v>
      </c>
    </row>
    <row r="9836" spans="2:2" ht="15.6">
      <c r="B9836" s="197">
        <v>18.066995094825401</v>
      </c>
    </row>
    <row r="9837" spans="2:2" ht="15.6">
      <c r="B9837" s="197">
        <v>18.151008452852462</v>
      </c>
    </row>
    <row r="9838" spans="2:2" ht="15.6">
      <c r="B9838" s="197">
        <v>17.971103090494431</v>
      </c>
    </row>
    <row r="9839" spans="2:2" ht="15.6">
      <c r="B9839" s="197">
        <v>18.034052259568014</v>
      </c>
    </row>
    <row r="9840" spans="2:2" ht="15.6">
      <c r="B9840" s="197">
        <v>18.308983389035113</v>
      </c>
    </row>
    <row r="9841" spans="2:2" ht="15.6">
      <c r="B9841" s="197">
        <v>18.33773958411615</v>
      </c>
    </row>
    <row r="9842" spans="2:2" ht="15.6">
      <c r="B9842" s="197">
        <v>18.182644207742342</v>
      </c>
    </row>
    <row r="9843" spans="2:2" ht="15.6">
      <c r="B9843" s="197">
        <v>17.996078730441518</v>
      </c>
    </row>
    <row r="9844" spans="2:2" ht="15.6">
      <c r="B9844" s="197">
        <v>18.511665828789951</v>
      </c>
    </row>
    <row r="9845" spans="2:2" ht="15.6">
      <c r="B9845" s="197">
        <v>18.312594994639898</v>
      </c>
    </row>
    <row r="9846" spans="2:2" ht="15.6">
      <c r="B9846" s="197">
        <v>18.127128258055407</v>
      </c>
    </row>
    <row r="9847" spans="2:2" ht="15.6">
      <c r="B9847" s="197">
        <v>18.562164692422712</v>
      </c>
    </row>
    <row r="9848" spans="2:2" ht="15.6">
      <c r="B9848" s="197">
        <v>17.805938976806111</v>
      </c>
    </row>
    <row r="9849" spans="2:2" ht="15.6">
      <c r="B9849" s="197">
        <v>18.037358282910944</v>
      </c>
    </row>
    <row r="9850" spans="2:2" ht="15.6">
      <c r="B9850" s="197">
        <v>18.114040906607961</v>
      </c>
    </row>
    <row r="9851" spans="2:2" ht="15.6">
      <c r="B9851" s="197">
        <v>17.913591712014327</v>
      </c>
    </row>
    <row r="9852" spans="2:2" ht="15.6">
      <c r="B9852" s="197">
        <v>18.307896812741557</v>
      </c>
    </row>
    <row r="9853" spans="2:2" ht="15.6">
      <c r="B9853" s="197">
        <v>18.284716838775044</v>
      </c>
    </row>
    <row r="9854" spans="2:2" ht="15.6">
      <c r="B9854" s="197">
        <v>18.437216899148364</v>
      </c>
    </row>
    <row r="9855" spans="2:2" ht="15.6">
      <c r="B9855" s="197">
        <v>18.321878430832442</v>
      </c>
    </row>
    <row r="9856" spans="2:2" ht="15.6">
      <c r="B9856" s="197">
        <v>18.118067395567106</v>
      </c>
    </row>
    <row r="9857" spans="2:2" ht="15.6">
      <c r="B9857" s="197">
        <v>18.186640154879139</v>
      </c>
    </row>
    <row r="9858" spans="2:2" ht="15.6">
      <c r="B9858" s="197">
        <v>18.06835950862709</v>
      </c>
    </row>
    <row r="9859" spans="2:2" ht="15.6">
      <c r="B9859" s="197">
        <v>17.974148076357299</v>
      </c>
    </row>
    <row r="9860" spans="2:2" ht="15.6">
      <c r="B9860" s="197">
        <v>18.209936364820216</v>
      </c>
    </row>
    <row r="9861" spans="2:2" ht="15.6">
      <c r="B9861" s="197">
        <v>18.182395269953311</v>
      </c>
    </row>
    <row r="9862" spans="2:2" ht="15.6">
      <c r="B9862" s="197">
        <v>18.248333543224962</v>
      </c>
    </row>
    <row r="9863" spans="2:2" ht="15.6">
      <c r="B9863" s="197">
        <v>17.7981980285386</v>
      </c>
    </row>
    <row r="9864" spans="2:2" ht="15.6">
      <c r="B9864" s="197">
        <v>17.724745759543367</v>
      </c>
    </row>
    <row r="9865" spans="2:2" ht="15.6">
      <c r="B9865" s="197">
        <v>18.053123731945604</v>
      </c>
    </row>
    <row r="9866" spans="2:2" ht="15.6">
      <c r="B9866" s="197">
        <v>18.5234023294792</v>
      </c>
    </row>
    <row r="9867" spans="2:2" ht="15.6">
      <c r="B9867" s="197">
        <v>18.062062657082716</v>
      </c>
    </row>
    <row r="9868" spans="2:2" ht="15.6">
      <c r="B9868" s="197">
        <v>17.996324741877412</v>
      </c>
    </row>
    <row r="9869" spans="2:2" ht="15.6">
      <c r="B9869" s="197">
        <v>17.986991089109292</v>
      </c>
    </row>
    <row r="9870" spans="2:2" ht="15.6">
      <c r="B9870" s="197">
        <v>18.051653946836666</v>
      </c>
    </row>
    <row r="9871" spans="2:2" ht="15.6">
      <c r="B9871" s="197">
        <v>18.349534988604191</v>
      </c>
    </row>
    <row r="9872" spans="2:2" ht="15.6">
      <c r="B9872" s="197">
        <v>18.044078641838265</v>
      </c>
    </row>
    <row r="9873" spans="2:2" ht="15.6">
      <c r="B9873" s="197">
        <v>17.79201595522153</v>
      </c>
    </row>
    <row r="9874" spans="2:2" ht="15.6">
      <c r="B9874" s="197">
        <v>18.101618757574879</v>
      </c>
    </row>
    <row r="9875" spans="2:2" ht="15.6">
      <c r="B9875" s="197">
        <v>18.096743989792792</v>
      </c>
    </row>
    <row r="9876" spans="2:2" ht="15.6">
      <c r="B9876" s="197">
        <v>18.099913409946421</v>
      </c>
    </row>
    <row r="9877" spans="2:2" ht="15.6">
      <c r="B9877" s="197">
        <v>18.159695653049056</v>
      </c>
    </row>
    <row r="9878" spans="2:2" ht="15.6">
      <c r="B9878" s="197">
        <v>18.400936251100138</v>
      </c>
    </row>
    <row r="9879" spans="2:2" ht="15.6">
      <c r="B9879" s="197">
        <v>18.393672062346251</v>
      </c>
    </row>
    <row r="9880" spans="2:2" ht="15.6">
      <c r="B9880" s="197">
        <v>18.608433362203396</v>
      </c>
    </row>
    <row r="9881" spans="2:2" ht="15.6">
      <c r="B9881" s="197">
        <v>18.036787308803916</v>
      </c>
    </row>
    <row r="9882" spans="2:2" ht="15.6">
      <c r="B9882" s="197">
        <v>18.07531609159804</v>
      </c>
    </row>
    <row r="9883" spans="2:2" ht="15.6">
      <c r="B9883" s="197">
        <v>18.201264097339781</v>
      </c>
    </row>
    <row r="9884" spans="2:2" ht="15.6">
      <c r="B9884" s="197">
        <v>18.133706077305224</v>
      </c>
    </row>
    <row r="9885" spans="2:2" ht="15.6">
      <c r="B9885" s="197">
        <v>18.525062888313428</v>
      </c>
    </row>
    <row r="9886" spans="2:2" ht="15.6">
      <c r="B9886" s="197">
        <v>18.376837738498313</v>
      </c>
    </row>
    <row r="9887" spans="2:2" ht="15.6">
      <c r="B9887" s="197">
        <v>17.994462288244097</v>
      </c>
    </row>
    <row r="9888" spans="2:2" ht="15.6">
      <c r="B9888" s="197">
        <v>17.943341428573145</v>
      </c>
    </row>
    <row r="9889" spans="2:2" ht="15.6">
      <c r="B9889" s="197">
        <v>17.919574288694943</v>
      </c>
    </row>
    <row r="9890" spans="2:2" ht="15.6">
      <c r="B9890" s="197">
        <v>18.175477406875579</v>
      </c>
    </row>
    <row r="9891" spans="2:2" ht="15.6">
      <c r="B9891" s="197">
        <v>18.243338041336536</v>
      </c>
    </row>
    <row r="9892" spans="2:2" ht="15.6">
      <c r="B9892" s="197">
        <v>18.019185296140989</v>
      </c>
    </row>
    <row r="9893" spans="2:2" ht="15.6">
      <c r="B9893" s="197">
        <v>18.384812989067179</v>
      </c>
    </row>
    <row r="9894" spans="2:2" ht="15.6">
      <c r="B9894" s="197">
        <v>18.011988470623933</v>
      </c>
    </row>
    <row r="9895" spans="2:2" ht="15.6">
      <c r="B9895" s="197">
        <v>18.285718051560313</v>
      </c>
    </row>
    <row r="9896" spans="2:2" ht="15.6">
      <c r="B9896" s="197">
        <v>18.27054291777333</v>
      </c>
    </row>
    <row r="9897" spans="2:2" ht="15.6">
      <c r="B9897" s="197">
        <v>18.198265144870859</v>
      </c>
    </row>
    <row r="9898" spans="2:2" ht="15.6">
      <c r="B9898" s="197">
        <v>17.883387677527153</v>
      </c>
    </row>
    <row r="9899" spans="2:2" ht="15.6">
      <c r="B9899" s="197">
        <v>18.431391569403459</v>
      </c>
    </row>
    <row r="9900" spans="2:2" ht="15.6">
      <c r="B9900" s="197">
        <v>18.085965953812956</v>
      </c>
    </row>
    <row r="9901" spans="2:2" ht="15.6">
      <c r="B9901" s="197">
        <v>18.175995111243111</v>
      </c>
    </row>
    <row r="9902" spans="2:2" ht="15.6">
      <c r="B9902" s="197">
        <v>18.109637956466305</v>
      </c>
    </row>
    <row r="9903" spans="2:2" ht="15.6">
      <c r="B9903" s="197">
        <v>18.387631751671815</v>
      </c>
    </row>
    <row r="9904" spans="2:2" ht="15.6">
      <c r="B9904" s="197">
        <v>18.323856951681332</v>
      </c>
    </row>
    <row r="9905" spans="2:2" ht="15.6">
      <c r="B9905" s="197">
        <v>18.155616251106448</v>
      </c>
    </row>
    <row r="9906" spans="2:2" ht="15.6">
      <c r="B9906" s="197">
        <v>18.290012978186539</v>
      </c>
    </row>
    <row r="9907" spans="2:2" ht="15.6">
      <c r="B9907" s="197">
        <v>18.175444380826733</v>
      </c>
    </row>
    <row r="9908" spans="2:2" ht="15.6">
      <c r="B9908" s="197">
        <v>18.387581022797054</v>
      </c>
    </row>
    <row r="9909" spans="2:2" ht="15.6">
      <c r="B9909" s="197">
        <v>18.314931311438531</v>
      </c>
    </row>
    <row r="9910" spans="2:2" ht="15.6">
      <c r="B9910" s="197">
        <v>18.105344776446195</v>
      </c>
    </row>
    <row r="9911" spans="2:2" ht="15.6">
      <c r="B9911" s="197">
        <v>18.10062998880905</v>
      </c>
    </row>
    <row r="9912" spans="2:2" ht="15.6">
      <c r="B9912" s="197">
        <v>18.285048471229334</v>
      </c>
    </row>
    <row r="9913" spans="2:2" ht="15.6">
      <c r="B9913" s="197">
        <v>18.258382123010467</v>
      </c>
    </row>
    <row r="9914" spans="2:2" ht="15.6">
      <c r="B9914" s="197">
        <v>17.949084056013042</v>
      </c>
    </row>
    <row r="9915" spans="2:2" ht="15.6">
      <c r="B9915" s="197">
        <v>18.051122672456799</v>
      </c>
    </row>
    <row r="9916" spans="2:2" ht="15.6">
      <c r="B9916" s="197">
        <v>18.367443819612497</v>
      </c>
    </row>
    <row r="9917" spans="2:2" ht="15.6">
      <c r="B9917" s="197">
        <v>18.00186349527014</v>
      </c>
    </row>
    <row r="9918" spans="2:2" ht="15.6">
      <c r="B9918" s="197">
        <v>18.175392821365122</v>
      </c>
    </row>
    <row r="9919" spans="2:2" ht="15.6">
      <c r="B9919" s="197">
        <v>18.562999168544604</v>
      </c>
    </row>
    <row r="9920" spans="2:2" ht="15.6">
      <c r="B9920" s="197">
        <v>17.899790709916253</v>
      </c>
    </row>
    <row r="9921" spans="2:2" ht="15.6">
      <c r="B9921" s="197">
        <v>18.088795570942903</v>
      </c>
    </row>
    <row r="9922" spans="2:2" ht="15.6">
      <c r="B9922" s="197">
        <v>17.838032667641336</v>
      </c>
    </row>
    <row r="9923" spans="2:2" ht="15.6">
      <c r="B9923" s="197">
        <v>18.029884980184121</v>
      </c>
    </row>
    <row r="9924" spans="2:2" ht="15.6">
      <c r="B9924" s="197">
        <v>17.99895713529498</v>
      </c>
    </row>
    <row r="9925" spans="2:2" ht="15.6">
      <c r="B9925" s="197">
        <v>18.17833106077936</v>
      </c>
    </row>
    <row r="9926" spans="2:2" ht="15.6">
      <c r="B9926" s="197">
        <v>18.224135552605222</v>
      </c>
    </row>
    <row r="9927" spans="2:2" ht="15.6">
      <c r="B9927" s="197">
        <v>18.160983501610009</v>
      </c>
    </row>
    <row r="9928" spans="2:2" ht="15.6">
      <c r="B9928" s="197">
        <v>18.278580310267596</v>
      </c>
    </row>
    <row r="9929" spans="2:2" ht="15.6">
      <c r="B9929" s="197">
        <v>17.954842002833683</v>
      </c>
    </row>
    <row r="9930" spans="2:2" ht="15.6">
      <c r="B9930" s="197">
        <v>17.909316793178249</v>
      </c>
    </row>
    <row r="9931" spans="2:2" ht="15.6">
      <c r="B9931" s="197">
        <v>18.070558266891691</v>
      </c>
    </row>
    <row r="9932" spans="2:2" ht="15.6">
      <c r="B9932" s="197">
        <v>18.309140201328546</v>
      </c>
    </row>
    <row r="9933" spans="2:2" ht="15.6">
      <c r="B9933" s="197">
        <v>18.054580784193998</v>
      </c>
    </row>
    <row r="9934" spans="2:2" ht="15.6">
      <c r="B9934" s="197">
        <v>18.312745888527047</v>
      </c>
    </row>
    <row r="9935" spans="2:2" ht="15.6">
      <c r="B9935" s="197">
        <v>18.397476937152483</v>
      </c>
    </row>
    <row r="9936" spans="2:2" ht="15.6">
      <c r="B9936" s="197">
        <v>17.993465871043153</v>
      </c>
    </row>
    <row r="9937" spans="2:2" ht="15.6">
      <c r="B9937" s="197">
        <v>18.451970517404849</v>
      </c>
    </row>
    <row r="9938" spans="2:2" ht="15.6">
      <c r="B9938" s="197">
        <v>18.166207074516702</v>
      </c>
    </row>
    <row r="9939" spans="2:2" ht="15.6">
      <c r="B9939" s="197">
        <v>18.208521385687543</v>
      </c>
    </row>
    <row r="9940" spans="2:2" ht="15.6">
      <c r="B9940" s="197">
        <v>18.038960282101755</v>
      </c>
    </row>
    <row r="9941" spans="2:2" ht="15.6">
      <c r="B9941" s="197">
        <v>17.91682047611242</v>
      </c>
    </row>
    <row r="9942" spans="2:2" ht="15.6">
      <c r="B9942" s="197">
        <v>18.067570158781063</v>
      </c>
    </row>
    <row r="9943" spans="2:2" ht="15.6">
      <c r="B9943" s="197">
        <v>18.500229004117131</v>
      </c>
    </row>
    <row r="9944" spans="2:2" ht="15.6">
      <c r="B9944" s="197">
        <v>18.291235172752192</v>
      </c>
    </row>
    <row r="9945" spans="2:2" ht="15.6">
      <c r="B9945" s="197">
        <v>18.036292851690735</v>
      </c>
    </row>
    <row r="9946" spans="2:2" ht="15.6">
      <c r="B9946" s="197">
        <v>17.573352283715636</v>
      </c>
    </row>
    <row r="9947" spans="2:2" ht="15.6">
      <c r="B9947" s="197">
        <v>17.824883642913914</v>
      </c>
    </row>
    <row r="9948" spans="2:2" ht="15.6">
      <c r="B9948" s="197">
        <v>18.404962391326134</v>
      </c>
    </row>
    <row r="9949" spans="2:2" ht="15.6">
      <c r="B9949" s="197">
        <v>18.243320228479895</v>
      </c>
    </row>
    <row r="9950" spans="2:2" ht="15.6">
      <c r="B9950" s="197">
        <v>18.209574328217872</v>
      </c>
    </row>
    <row r="9951" spans="2:2" ht="15.6">
      <c r="B9951" s="197">
        <v>18.218524719541801</v>
      </c>
    </row>
    <row r="9952" spans="2:2" ht="15.6">
      <c r="B9952" s="197">
        <v>18.372592156885009</v>
      </c>
    </row>
    <row r="9953" spans="2:2" ht="15.6">
      <c r="B9953" s="197">
        <v>18.213593860928068</v>
      </c>
    </row>
    <row r="9954" spans="2:2" ht="15.6">
      <c r="B9954" s="197">
        <v>18.067329475107531</v>
      </c>
    </row>
    <row r="9955" spans="2:2" ht="15.6">
      <c r="B9955" s="197">
        <v>18.160629002964956</v>
      </c>
    </row>
    <row r="9956" spans="2:2" ht="15.6">
      <c r="B9956" s="197">
        <v>18.202912185035139</v>
      </c>
    </row>
    <row r="9957" spans="2:2" ht="15.6">
      <c r="B9957" s="197">
        <v>18.462609332023764</v>
      </c>
    </row>
    <row r="9958" spans="2:2" ht="15.6">
      <c r="B9958" s="197">
        <v>18.246544807817124</v>
      </c>
    </row>
    <row r="9959" spans="2:2" ht="15.6">
      <c r="B9959" s="197">
        <v>18.277915896005279</v>
      </c>
    </row>
    <row r="9960" spans="2:2" ht="15.6">
      <c r="B9960" s="197">
        <v>18.243969019915344</v>
      </c>
    </row>
    <row r="9961" spans="2:2" ht="15.6">
      <c r="B9961" s="197">
        <v>18.354442611032042</v>
      </c>
    </row>
    <row r="9962" spans="2:2" ht="15.6">
      <c r="B9962" s="197">
        <v>17.898030440177727</v>
      </c>
    </row>
    <row r="9963" spans="2:2" ht="15.6">
      <c r="B9963" s="197">
        <v>18.396524659057562</v>
      </c>
    </row>
    <row r="9964" spans="2:2" ht="15.6">
      <c r="B9964" s="197">
        <v>18.156266066616723</v>
      </c>
    </row>
    <row r="9965" spans="2:2" ht="15.6">
      <c r="B9965" s="197">
        <v>18.106995013079576</v>
      </c>
    </row>
    <row r="9966" spans="2:2" ht="15.6">
      <c r="B9966" s="197">
        <v>17.95556560046418</v>
      </c>
    </row>
    <row r="9967" spans="2:2" ht="15.6">
      <c r="B9967" s="197">
        <v>18.127161834456192</v>
      </c>
    </row>
    <row r="9968" spans="2:2" ht="15.6">
      <c r="B9968" s="197">
        <v>18.090803108016416</v>
      </c>
    </row>
    <row r="9969" spans="2:2" ht="15.6">
      <c r="B9969" s="197">
        <v>17.693765685488302</v>
      </c>
    </row>
    <row r="9970" spans="2:2" ht="15.6">
      <c r="B9970" s="197">
        <v>17.868813094323436</v>
      </c>
    </row>
    <row r="9971" spans="2:2" ht="15.6">
      <c r="B9971" s="197">
        <v>18.274599516517203</v>
      </c>
    </row>
    <row r="9972" spans="2:2" ht="15.6">
      <c r="B9972" s="197">
        <v>17.831683012485392</v>
      </c>
    </row>
    <row r="9973" spans="2:2" ht="15.6">
      <c r="B9973" s="197">
        <v>18.313068374454911</v>
      </c>
    </row>
    <row r="9974" spans="2:2" ht="15.6">
      <c r="B9974" s="197">
        <v>17.945966085077504</v>
      </c>
    </row>
    <row r="9975" spans="2:2" ht="15.6">
      <c r="B9975" s="197">
        <v>17.942535012656485</v>
      </c>
    </row>
    <row r="9976" spans="2:2" ht="15.6">
      <c r="B9976" s="197">
        <v>18.719878937855839</v>
      </c>
    </row>
    <row r="9977" spans="2:2" ht="15.6">
      <c r="B9977" s="197">
        <v>18.474510674035404</v>
      </c>
    </row>
    <row r="9978" spans="2:2" ht="15.6">
      <c r="B9978" s="197">
        <v>18.001577762983057</v>
      </c>
    </row>
    <row r="9979" spans="2:2" ht="15.6">
      <c r="B9979" s="197">
        <v>18.404527875539195</v>
      </c>
    </row>
    <row r="9980" spans="2:2" ht="15.6">
      <c r="B9980" s="197">
        <v>18.154497894214593</v>
      </c>
    </row>
    <row r="9981" spans="2:2" ht="15.6">
      <c r="B9981" s="197">
        <v>18.23868012223787</v>
      </c>
    </row>
    <row r="9982" spans="2:2" ht="15.6">
      <c r="B9982" s="197">
        <v>18.233918051098982</v>
      </c>
    </row>
    <row r="9983" spans="2:2" ht="15.6">
      <c r="B9983" s="197">
        <v>17.852915257180143</v>
      </c>
    </row>
    <row r="9984" spans="2:2" ht="15.6">
      <c r="B9984" s="197">
        <v>18.187871492394535</v>
      </c>
    </row>
    <row r="9985" spans="2:2" ht="15.6">
      <c r="B9985" s="197">
        <v>18.094652779290758</v>
      </c>
    </row>
    <row r="9986" spans="2:2" ht="15.6">
      <c r="B9986" s="197">
        <v>18.116805065946572</v>
      </c>
    </row>
    <row r="9987" spans="2:2" ht="15.6">
      <c r="B9987" s="197">
        <v>18.095321957602344</v>
      </c>
    </row>
    <row r="9988" spans="2:2" ht="15.6">
      <c r="B9988" s="197">
        <v>18.377913819248533</v>
      </c>
    </row>
    <row r="9989" spans="2:2" ht="15.6">
      <c r="B9989" s="197">
        <v>18.116830467486359</v>
      </c>
    </row>
    <row r="9990" spans="2:2" ht="15.6">
      <c r="B9990" s="197">
        <v>17.977054513773638</v>
      </c>
    </row>
    <row r="9991" spans="2:2" ht="15.6">
      <c r="B9991" s="197">
        <v>18.199333895358752</v>
      </c>
    </row>
    <row r="9992" spans="2:2" ht="15.6">
      <c r="B9992" s="197">
        <v>17.830650058540751</v>
      </c>
    </row>
    <row r="9993" spans="2:2" ht="15.6">
      <c r="B9993" s="197">
        <v>18.092939890029051</v>
      </c>
    </row>
    <row r="9994" spans="2:2" ht="15.6">
      <c r="B9994" s="197">
        <v>18.495286456649296</v>
      </c>
    </row>
    <row r="9995" spans="2:2" ht="15.6">
      <c r="B9995" s="197">
        <v>18.207873852724408</v>
      </c>
    </row>
    <row r="9996" spans="2:2" ht="15.6">
      <c r="B9996" s="197">
        <v>18.064150120238224</v>
      </c>
    </row>
    <row r="9997" spans="2:2" ht="15.6">
      <c r="B9997" s="197">
        <v>18.079519053835369</v>
      </c>
    </row>
    <row r="9998" spans="2:2" ht="15.6">
      <c r="B9998" s="197">
        <v>18.358611435455686</v>
      </c>
    </row>
    <row r="9999" spans="2:2" ht="15.6">
      <c r="B9999" s="197">
        <v>18.220108831169274</v>
      </c>
    </row>
    <row r="10000" spans="2:2" ht="15.6">
      <c r="B10000" s="197">
        <v>17.89920790165241</v>
      </c>
    </row>
    <row r="10001" spans="2:2" ht="15.6">
      <c r="B10001" s="197">
        <v>18.354180939322994</v>
      </c>
    </row>
    <row r="10002" spans="2:2" ht="15.6">
      <c r="B10002" s="197">
        <v>17.799716627129129</v>
      </c>
    </row>
    <row r="10003" spans="2:2" ht="15.6">
      <c r="B10003" s="197">
        <v>18.031736657223583</v>
      </c>
    </row>
    <row r="10004" spans="2:2" ht="15.6">
      <c r="B10004" s="197">
        <v>18.183559409535299</v>
      </c>
    </row>
    <row r="10005" spans="2:2" ht="15.6">
      <c r="B10005" s="197">
        <v>18.190333245457222</v>
      </c>
    </row>
    <row r="10006" spans="2:2" ht="15.6">
      <c r="B10006" s="197">
        <v>18.187592052977525</v>
      </c>
    </row>
    <row r="10007" spans="2:2" ht="15.6">
      <c r="B10007" s="197">
        <v>18.220469854526289</v>
      </c>
    </row>
    <row r="10008" spans="2:2" ht="15.6">
      <c r="B10008" s="197">
        <v>18.033606971806194</v>
      </c>
    </row>
    <row r="10009" spans="2:2" ht="15.6">
      <c r="B10009" s="197">
        <v>17.734947599401092</v>
      </c>
    </row>
    <row r="10010" spans="2:2" ht="15.6">
      <c r="B10010" s="197">
        <v>18.257578162329128</v>
      </c>
    </row>
    <row r="10011" spans="2:2" ht="15.6">
      <c r="B10011" s="197">
        <v>18.418058287417772</v>
      </c>
    </row>
    <row r="10012" spans="2:2" ht="15.6">
      <c r="B10012" s="197">
        <v>18.116163545132604</v>
      </c>
    </row>
    <row r="10013" spans="2:2" ht="15.6">
      <c r="B10013" s="197">
        <v>18.507881175850898</v>
      </c>
    </row>
    <row r="10014" spans="2:2" ht="15.6">
      <c r="B10014" s="197">
        <v>18.051427603381313</v>
      </c>
    </row>
    <row r="10015" spans="2:2" ht="15.6">
      <c r="B10015" s="197">
        <v>18.325811164068075</v>
      </c>
    </row>
    <row r="10016" spans="2:2" ht="15.6">
      <c r="B10016" s="197">
        <v>17.798402425844039</v>
      </c>
    </row>
    <row r="10017" spans="2:2" ht="15.6">
      <c r="B10017" s="197">
        <v>18.159875722405147</v>
      </c>
    </row>
    <row r="10018" spans="2:2" ht="15.6">
      <c r="B10018" s="197">
        <v>18.056789987241249</v>
      </c>
    </row>
    <row r="10019" spans="2:2" ht="15.6">
      <c r="B10019" s="197">
        <v>18.000037298731648</v>
      </c>
    </row>
    <row r="10020" spans="2:2" ht="15.6">
      <c r="B10020" s="197">
        <v>18.261030583305974</v>
      </c>
    </row>
    <row r="10021" spans="2:2" ht="15.6">
      <c r="B10021" s="197">
        <v>17.974107446122243</v>
      </c>
    </row>
    <row r="10022" spans="2:2" ht="15.6">
      <c r="B10022" s="197">
        <v>18.28740323489227</v>
      </c>
    </row>
    <row r="10023" spans="2:2" ht="15.6">
      <c r="B10023" s="197">
        <v>18.136320989976603</v>
      </c>
    </row>
    <row r="10024" spans="2:2" ht="15.6">
      <c r="B10024" s="197">
        <v>18.49923000196674</v>
      </c>
    </row>
    <row r="10025" spans="2:2" ht="15.6">
      <c r="B10025" s="197">
        <v>18.245660502390468</v>
      </c>
    </row>
    <row r="10026" spans="2:2" ht="15.6">
      <c r="B10026" s="197">
        <v>18.095346880503644</v>
      </c>
    </row>
    <row r="10027" spans="2:2" ht="15.6">
      <c r="B10027" s="197">
        <v>18.127540168047609</v>
      </c>
    </row>
    <row r="10028" spans="2:2" ht="15.6">
      <c r="B10028" s="197">
        <v>17.980525462181507</v>
      </c>
    </row>
    <row r="10029" spans="2:2" ht="15.6">
      <c r="B10029" s="197">
        <v>18.209908671298951</v>
      </c>
    </row>
    <row r="10030" spans="2:2" ht="15.6">
      <c r="B10030" s="197">
        <v>18.080688594802837</v>
      </c>
    </row>
    <row r="10031" spans="2:2" ht="15.6">
      <c r="B10031" s="197">
        <v>18.047766503614987</v>
      </c>
    </row>
    <row r="10032" spans="2:2" ht="15.6">
      <c r="B10032" s="197">
        <v>18.258771098524935</v>
      </c>
    </row>
    <row r="10033" spans="2:2" ht="15.6">
      <c r="B10033" s="197">
        <v>18.138534162920521</v>
      </c>
    </row>
    <row r="10034" spans="2:2" ht="15.6">
      <c r="B10034" s="197">
        <v>18.210211539889023</v>
      </c>
    </row>
    <row r="10035" spans="2:2" ht="15.6">
      <c r="B10035" s="197">
        <v>18.109769152154776</v>
      </c>
    </row>
    <row r="10036" spans="2:2" ht="15.6">
      <c r="B10036" s="197">
        <v>18.021540344950907</v>
      </c>
    </row>
    <row r="10037" spans="2:2" ht="15.6">
      <c r="B10037" s="197">
        <v>18.192409435358499</v>
      </c>
    </row>
    <row r="10038" spans="2:2" ht="15.6">
      <c r="B10038" s="197">
        <v>18.071698221665518</v>
      </c>
    </row>
    <row r="10039" spans="2:2" ht="15.6">
      <c r="B10039" s="197">
        <v>18.445032550073098</v>
      </c>
    </row>
    <row r="10040" spans="2:2" ht="15.6">
      <c r="B10040" s="197">
        <v>18.063674552647722</v>
      </c>
    </row>
    <row r="10041" spans="2:2" ht="15.6">
      <c r="B10041" s="197">
        <v>17.97316534860477</v>
      </c>
    </row>
    <row r="10042" spans="2:2" ht="15.6">
      <c r="B10042" s="197">
        <v>18.185965494590203</v>
      </c>
    </row>
    <row r="10043" spans="2:2" ht="15.6">
      <c r="B10043" s="197">
        <v>18.032855856304057</v>
      </c>
    </row>
    <row r="10044" spans="2:2" ht="15.6">
      <c r="B10044" s="197">
        <v>18.239007506935724</v>
      </c>
    </row>
    <row r="10045" spans="2:2" ht="15.6">
      <c r="B10045" s="197">
        <v>17.878161204093868</v>
      </c>
    </row>
    <row r="10046" spans="2:2" ht="15.6">
      <c r="B10046" s="197">
        <v>18.220119481393969</v>
      </c>
    </row>
    <row r="10047" spans="2:2" ht="15.6">
      <c r="B10047" s="197">
        <v>18.330959795341617</v>
      </c>
    </row>
    <row r="10048" spans="2:2" ht="15.6">
      <c r="B10048" s="197">
        <v>18.218084310919544</v>
      </c>
    </row>
    <row r="10049" spans="2:2" ht="15.6">
      <c r="B10049" s="197">
        <v>17.898376446736751</v>
      </c>
    </row>
    <row r="10050" spans="2:2" ht="15.6">
      <c r="B10050" s="197">
        <v>17.967921477078921</v>
      </c>
    </row>
    <row r="10051" spans="2:2" ht="15.6">
      <c r="B10051" s="197">
        <v>18.216590520439812</v>
      </c>
    </row>
    <row r="10052" spans="2:2" ht="15.6">
      <c r="B10052" s="197">
        <v>17.806228607331253</v>
      </c>
    </row>
    <row r="10053" spans="2:2" ht="15.6">
      <c r="B10053" s="197">
        <v>18.117751932389421</v>
      </c>
    </row>
    <row r="10054" spans="2:2" ht="15.6">
      <c r="B10054" s="197">
        <v>18.047060931654837</v>
      </c>
    </row>
    <row r="10055" spans="2:2" ht="15.6">
      <c r="B10055" s="197">
        <v>18.156783897631335</v>
      </c>
    </row>
  </sheetData>
  <conditionalFormatting sqref="D17:F20 F26 E21:F22 L4:L5 D33:F40 E27:F32 L12:L16">
    <cfRule type="colorScale" priority="2">
      <colorScale>
        <cfvo type="num" val="-0.5"/>
        <cfvo type="num" val="0"/>
        <cfvo type="num" val="0.5"/>
        <color rgb="FFF8696B"/>
        <color theme="0"/>
        <color rgb="FF63BE7B"/>
      </colorScale>
    </cfRule>
  </conditionalFormatting>
  <conditionalFormatting sqref="D7:H11">
    <cfRule type="colorScale" priority="1">
      <colorScale>
        <cfvo type="num" val="-0.5"/>
        <cfvo type="num" val="0"/>
        <cfvo type="num" val="0.5"/>
        <color rgb="FFF8696B"/>
        <color theme="0"/>
        <color rgb="FF63BE7B"/>
      </colorScale>
    </cfRule>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90AF-E453-4917-94B8-9095AC8E8DD7}">
  <dimension ref="A1:P82"/>
  <sheetViews>
    <sheetView zoomScale="62" workbookViewId="0">
      <selection activeCell="G7" sqref="G7"/>
    </sheetView>
  </sheetViews>
  <sheetFormatPr defaultRowHeight="14.1"/>
  <cols>
    <col min="1" max="1" width="36" bestFit="1" customWidth="1"/>
    <col min="2" max="2" width="36" hidden="1" customWidth="1"/>
    <col min="3" max="6" width="10.125" bestFit="1" customWidth="1"/>
    <col min="7" max="7" width="14.125" bestFit="1" customWidth="1"/>
    <col min="8" max="14" width="10.125" bestFit="1" customWidth="1"/>
    <col min="15" max="16" width="11.125" bestFit="1" customWidth="1"/>
  </cols>
  <sheetData>
    <row r="1" spans="1:16">
      <c r="A1" s="746"/>
      <c r="B1" s="746"/>
    </row>
    <row r="2" spans="1:16">
      <c r="A2" s="746" t="s">
        <v>639</v>
      </c>
      <c r="B2" s="746"/>
    </row>
    <row r="3" spans="1:16">
      <c r="A3" s="746"/>
      <c r="B3" s="746"/>
    </row>
    <row r="4" spans="1:16">
      <c r="A4" s="746" t="s">
        <v>640</v>
      </c>
      <c r="B4" s="746" t="s">
        <v>641</v>
      </c>
      <c r="C4" t="s">
        <v>642</v>
      </c>
      <c r="D4" t="s">
        <v>643</v>
      </c>
      <c r="E4" t="s">
        <v>644</v>
      </c>
      <c r="F4" t="s">
        <v>645</v>
      </c>
      <c r="G4" t="s">
        <v>646</v>
      </c>
      <c r="H4" t="s">
        <v>647</v>
      </c>
      <c r="I4" t="s">
        <v>648</v>
      </c>
      <c r="J4" t="s">
        <v>649</v>
      </c>
      <c r="K4" t="s">
        <v>650</v>
      </c>
      <c r="L4" t="s">
        <v>651</v>
      </c>
      <c r="M4" t="s">
        <v>652</v>
      </c>
      <c r="N4" t="s">
        <v>653</v>
      </c>
      <c r="O4" t="s">
        <v>654</v>
      </c>
      <c r="P4" t="s">
        <v>655</v>
      </c>
    </row>
    <row r="5" spans="1:16">
      <c r="A5" s="746" t="s">
        <v>656</v>
      </c>
      <c r="B5" s="747">
        <v>41636</v>
      </c>
      <c r="C5" s="745">
        <v>42000</v>
      </c>
      <c r="D5" s="745">
        <v>42364</v>
      </c>
      <c r="E5" s="745">
        <v>42735</v>
      </c>
      <c r="F5" s="745">
        <v>43099</v>
      </c>
      <c r="G5" s="745">
        <v>43463</v>
      </c>
      <c r="H5" s="745">
        <v>43827</v>
      </c>
      <c r="I5" s="745">
        <v>44191</v>
      </c>
      <c r="J5" s="745">
        <v>44555</v>
      </c>
      <c r="K5" s="745">
        <v>44926</v>
      </c>
      <c r="L5" s="745">
        <v>45290</v>
      </c>
      <c r="M5" s="745">
        <v>45654</v>
      </c>
      <c r="N5" s="745">
        <v>45654</v>
      </c>
      <c r="O5" s="745">
        <v>46022</v>
      </c>
      <c r="P5" s="745">
        <v>46387</v>
      </c>
    </row>
    <row r="6" spans="1:16">
      <c r="A6" s="746" t="s">
        <v>223</v>
      </c>
      <c r="B6" s="748">
        <v>52708</v>
      </c>
      <c r="C6" s="23">
        <v>55870</v>
      </c>
      <c r="D6" s="23">
        <v>55355</v>
      </c>
      <c r="E6" s="23">
        <v>59387</v>
      </c>
      <c r="F6" s="23">
        <v>62761</v>
      </c>
      <c r="G6" s="23">
        <v>70848</v>
      </c>
      <c r="H6" s="23">
        <v>67906</v>
      </c>
      <c r="I6" s="23">
        <v>72900</v>
      </c>
      <c r="J6" s="23">
        <v>74718</v>
      </c>
      <c r="K6" s="23">
        <v>63054</v>
      </c>
      <c r="L6" s="23">
        <v>54228</v>
      </c>
      <c r="M6" s="23">
        <v>53101</v>
      </c>
      <c r="N6" s="23">
        <v>53101</v>
      </c>
      <c r="O6" s="23">
        <v>53501</v>
      </c>
      <c r="P6" s="23">
        <v>57298</v>
      </c>
    </row>
    <row r="7" spans="1:16">
      <c r="A7" s="746" t="s">
        <v>657</v>
      </c>
      <c r="B7" s="748">
        <v>52708</v>
      </c>
      <c r="C7" s="23">
        <v>55870</v>
      </c>
      <c r="D7" s="23">
        <v>55355</v>
      </c>
      <c r="E7" s="23">
        <v>59387</v>
      </c>
      <c r="F7" s="23">
        <v>62761</v>
      </c>
      <c r="G7" s="23">
        <v>70848</v>
      </c>
      <c r="H7" s="23">
        <v>67906</v>
      </c>
      <c r="I7" s="23">
        <v>72900</v>
      </c>
      <c r="J7" s="23">
        <v>74718</v>
      </c>
      <c r="K7" s="23">
        <v>63054</v>
      </c>
      <c r="L7" s="23">
        <v>54228</v>
      </c>
      <c r="M7" s="23">
        <v>53101</v>
      </c>
      <c r="N7" s="23">
        <v>53101</v>
      </c>
    </row>
    <row r="8" spans="1:16">
      <c r="A8" s="746" t="s">
        <v>658</v>
      </c>
      <c r="B8" s="748">
        <v>21187</v>
      </c>
      <c r="C8" s="23">
        <v>20261</v>
      </c>
      <c r="D8" s="23">
        <v>20676</v>
      </c>
      <c r="E8" s="23">
        <v>23154</v>
      </c>
      <c r="F8" s="23">
        <v>23663</v>
      </c>
      <c r="G8" s="23">
        <v>27111</v>
      </c>
      <c r="H8" s="23">
        <v>29825</v>
      </c>
      <c r="I8" s="23">
        <v>30812</v>
      </c>
      <c r="J8" s="23">
        <v>32898</v>
      </c>
      <c r="K8" s="23">
        <v>36188</v>
      </c>
      <c r="L8" s="23">
        <v>32517</v>
      </c>
      <c r="M8" s="23">
        <v>35756</v>
      </c>
      <c r="N8" s="23">
        <v>35756</v>
      </c>
    </row>
    <row r="9" spans="1:16">
      <c r="A9" s="746" t="s">
        <v>659</v>
      </c>
      <c r="B9" s="748">
        <v>21187</v>
      </c>
      <c r="C9" s="23">
        <v>20261</v>
      </c>
      <c r="D9" s="23">
        <v>20676</v>
      </c>
      <c r="E9" s="23">
        <v>23154</v>
      </c>
      <c r="F9" s="23">
        <v>23663</v>
      </c>
      <c r="G9" s="23">
        <v>27111</v>
      </c>
      <c r="H9" s="23">
        <v>29825</v>
      </c>
      <c r="I9" s="23">
        <v>30812</v>
      </c>
      <c r="J9" s="23">
        <v>32898</v>
      </c>
      <c r="K9" s="23">
        <v>36188</v>
      </c>
      <c r="L9" s="23">
        <v>32517</v>
      </c>
      <c r="M9" s="23">
        <v>35756</v>
      </c>
      <c r="N9" s="23">
        <v>35756</v>
      </c>
    </row>
    <row r="10" spans="1:16">
      <c r="A10" s="746" t="s">
        <v>282</v>
      </c>
      <c r="B10" s="748">
        <v>31521</v>
      </c>
      <c r="C10" s="23">
        <v>35609</v>
      </c>
      <c r="D10" s="23">
        <v>34679</v>
      </c>
      <c r="E10" s="23">
        <v>36233</v>
      </c>
      <c r="F10" s="23">
        <v>39098</v>
      </c>
      <c r="G10" s="23">
        <v>43737</v>
      </c>
      <c r="H10" s="23">
        <v>38081</v>
      </c>
      <c r="I10" s="23">
        <v>42088</v>
      </c>
      <c r="J10" s="23">
        <v>41820</v>
      </c>
      <c r="K10" s="23">
        <v>26866</v>
      </c>
      <c r="L10" s="23">
        <v>21711</v>
      </c>
      <c r="M10" s="23">
        <v>17345</v>
      </c>
      <c r="N10" s="23">
        <v>17345</v>
      </c>
      <c r="O10" s="23">
        <v>20172</v>
      </c>
      <c r="P10" s="23">
        <v>23389</v>
      </c>
    </row>
    <row r="11" spans="1:16">
      <c r="A11" s="746" t="s">
        <v>660</v>
      </c>
      <c r="B11" s="746">
        <v>0</v>
      </c>
      <c r="C11">
        <v>0</v>
      </c>
      <c r="D11">
        <v>0</v>
      </c>
      <c r="E11">
        <v>0</v>
      </c>
      <c r="F11">
        <v>0</v>
      </c>
      <c r="G11">
        <v>0</v>
      </c>
      <c r="H11">
        <v>0</v>
      </c>
      <c r="I11">
        <v>0</v>
      </c>
      <c r="J11">
        <v>0</v>
      </c>
      <c r="K11">
        <v>0</v>
      </c>
      <c r="L11">
        <v>0</v>
      </c>
      <c r="M11">
        <v>0</v>
      </c>
      <c r="N11">
        <v>0</v>
      </c>
    </row>
    <row r="12" spans="1:16">
      <c r="A12" s="746" t="s">
        <v>661</v>
      </c>
      <c r="B12" s="748">
        <v>18990</v>
      </c>
      <c r="C12" s="23">
        <v>19967</v>
      </c>
      <c r="D12" s="23">
        <v>20311</v>
      </c>
      <c r="E12" s="23">
        <v>21256</v>
      </c>
      <c r="F12" s="23">
        <v>20938</v>
      </c>
      <c r="G12" s="23">
        <v>20493</v>
      </c>
      <c r="H12" s="23">
        <v>15053</v>
      </c>
      <c r="I12" s="23">
        <v>19149</v>
      </c>
      <c r="J12" s="23">
        <v>21107</v>
      </c>
      <c r="K12" s="23">
        <v>25492</v>
      </c>
      <c r="L12" s="23">
        <v>21833</v>
      </c>
      <c r="M12" s="23">
        <v>22769</v>
      </c>
      <c r="N12" s="23">
        <v>22420</v>
      </c>
    </row>
    <row r="13" spans="1:16">
      <c r="A13" s="746" t="s">
        <v>662</v>
      </c>
      <c r="B13" s="748">
        <v>8088</v>
      </c>
      <c r="C13" s="23">
        <v>8136</v>
      </c>
      <c r="D13" s="23">
        <v>7930</v>
      </c>
      <c r="E13" s="23">
        <v>8377</v>
      </c>
      <c r="F13" s="23">
        <v>7452</v>
      </c>
      <c r="G13" s="23">
        <v>6950</v>
      </c>
      <c r="H13" s="23">
        <v>6350</v>
      </c>
      <c r="I13" s="23">
        <v>6180</v>
      </c>
      <c r="J13" s="23">
        <v>6543</v>
      </c>
      <c r="K13" s="23">
        <v>7002</v>
      </c>
      <c r="L13" s="23">
        <v>5634</v>
      </c>
      <c r="M13" s="23">
        <v>5507</v>
      </c>
      <c r="N13" s="23">
        <v>5507</v>
      </c>
    </row>
    <row r="14" spans="1:16">
      <c r="A14" s="746" t="s">
        <v>663</v>
      </c>
      <c r="B14" s="748">
        <v>10611</v>
      </c>
      <c r="C14" s="23">
        <v>11537</v>
      </c>
      <c r="D14" s="23">
        <v>12128</v>
      </c>
      <c r="E14" s="23">
        <v>12685</v>
      </c>
      <c r="F14" s="23">
        <v>13035</v>
      </c>
      <c r="G14" s="23">
        <v>13543</v>
      </c>
      <c r="H14" s="23">
        <v>13362</v>
      </c>
      <c r="I14" s="23">
        <v>13556</v>
      </c>
      <c r="J14" s="23">
        <v>15190</v>
      </c>
      <c r="K14" s="23">
        <v>17528</v>
      </c>
      <c r="L14" s="23">
        <v>16046</v>
      </c>
      <c r="M14" s="23">
        <v>16546</v>
      </c>
      <c r="N14" s="23">
        <v>16546</v>
      </c>
    </row>
    <row r="15" spans="1:16">
      <c r="A15" s="746" t="s">
        <v>664</v>
      </c>
      <c r="B15" s="746">
        <v>291</v>
      </c>
      <c r="C15">
        <v>294</v>
      </c>
      <c r="D15">
        <v>253</v>
      </c>
      <c r="E15">
        <v>194</v>
      </c>
      <c r="F15">
        <v>451</v>
      </c>
      <c r="G15">
        <v>0</v>
      </c>
      <c r="H15" s="23">
        <v>-4659</v>
      </c>
      <c r="I15">
        <v>-587</v>
      </c>
      <c r="J15">
        <v>-626</v>
      </c>
      <c r="K15">
        <v>962</v>
      </c>
      <c r="L15">
        <v>153</v>
      </c>
      <c r="M15">
        <v>716</v>
      </c>
      <c r="N15">
        <v>367</v>
      </c>
    </row>
    <row r="16" spans="1:16">
      <c r="A16" s="746" t="s">
        <v>665</v>
      </c>
      <c r="B16" s="748">
        <v>12531</v>
      </c>
      <c r="C16" s="23">
        <v>15642</v>
      </c>
      <c r="D16" s="23">
        <v>14368</v>
      </c>
      <c r="E16" s="23">
        <v>14977</v>
      </c>
      <c r="F16" s="23">
        <v>18160</v>
      </c>
      <c r="G16" s="23">
        <v>23244</v>
      </c>
      <c r="H16" s="23">
        <v>23028</v>
      </c>
      <c r="I16" s="23">
        <v>22939</v>
      </c>
      <c r="J16" s="23">
        <v>20713</v>
      </c>
      <c r="K16" s="23">
        <v>1374</v>
      </c>
      <c r="L16">
        <v>-122</v>
      </c>
      <c r="M16" s="23">
        <v>-5424</v>
      </c>
      <c r="N16" s="23">
        <v>-5075</v>
      </c>
      <c r="O16" s="23">
        <v>2602</v>
      </c>
      <c r="P16" s="23">
        <v>6346</v>
      </c>
    </row>
    <row r="17" spans="1:16">
      <c r="A17" s="746" t="s">
        <v>666</v>
      </c>
      <c r="B17" s="746">
        <v>72</v>
      </c>
      <c r="C17">
        <v>-865</v>
      </c>
      <c r="D17">
        <v>105</v>
      </c>
      <c r="E17" s="23">
        <v>1209</v>
      </c>
      <c r="F17">
        <v>349</v>
      </c>
      <c r="G17">
        <v>368</v>
      </c>
      <c r="H17">
        <v>-313</v>
      </c>
      <c r="I17">
        <v>504</v>
      </c>
      <c r="J17">
        <v>482</v>
      </c>
      <c r="K17" s="23">
        <v>-1166</v>
      </c>
      <c r="L17">
        <v>-629</v>
      </c>
      <c r="M17">
        <v>16</v>
      </c>
      <c r="N17">
        <v>-205</v>
      </c>
    </row>
    <row r="18" spans="1:16">
      <c r="A18" s="746" t="s">
        <v>667</v>
      </c>
      <c r="B18" s="746">
        <v>140</v>
      </c>
      <c r="C18">
        <v>51</v>
      </c>
      <c r="D18">
        <v>213</v>
      </c>
      <c r="E18">
        <v>511</v>
      </c>
      <c r="F18">
        <v>205</v>
      </c>
      <c r="G18">
        <v>30</v>
      </c>
      <c r="H18">
        <v>6</v>
      </c>
      <c r="I18">
        <v>357</v>
      </c>
      <c r="J18">
        <v>453</v>
      </c>
      <c r="K18">
        <v>-93</v>
      </c>
      <c r="L18">
        <v>-457</v>
      </c>
      <c r="M18">
        <v>-211</v>
      </c>
      <c r="N18">
        <v>-291</v>
      </c>
    </row>
    <row r="19" spans="1:16">
      <c r="A19" s="746" t="s">
        <v>668</v>
      </c>
      <c r="B19" s="746">
        <v>244</v>
      </c>
      <c r="C19">
        <v>192</v>
      </c>
      <c r="D19">
        <v>337</v>
      </c>
      <c r="E19">
        <v>733</v>
      </c>
      <c r="F19">
        <v>646</v>
      </c>
      <c r="G19">
        <v>468</v>
      </c>
      <c r="H19">
        <v>489</v>
      </c>
      <c r="I19">
        <v>629</v>
      </c>
      <c r="J19">
        <v>597</v>
      </c>
      <c r="K19">
        <v>496</v>
      </c>
      <c r="L19">
        <v>878</v>
      </c>
      <c r="M19" s="23">
        <v>1034</v>
      </c>
      <c r="N19" s="23">
        <v>1034</v>
      </c>
    </row>
    <row r="20" spans="1:16">
      <c r="A20" s="746" t="s">
        <v>669</v>
      </c>
      <c r="B20" s="746">
        <v>104</v>
      </c>
      <c r="C20">
        <v>141</v>
      </c>
      <c r="D20">
        <v>124</v>
      </c>
      <c r="E20">
        <v>222</v>
      </c>
      <c r="F20">
        <v>441</v>
      </c>
      <c r="G20">
        <v>438</v>
      </c>
      <c r="H20">
        <v>483</v>
      </c>
      <c r="I20">
        <v>272</v>
      </c>
      <c r="J20">
        <v>144</v>
      </c>
      <c r="K20">
        <v>589</v>
      </c>
      <c r="L20" s="23">
        <v>1335</v>
      </c>
      <c r="M20" s="23">
        <v>1245</v>
      </c>
      <c r="N20" s="23">
        <v>1325</v>
      </c>
    </row>
    <row r="21" spans="1:16">
      <c r="A21" s="746" t="s">
        <v>670</v>
      </c>
      <c r="B21" s="746" t="s">
        <v>671</v>
      </c>
      <c r="C21">
        <v>0</v>
      </c>
      <c r="D21">
        <v>0</v>
      </c>
      <c r="E21">
        <v>0</v>
      </c>
      <c r="F21">
        <v>0</v>
      </c>
      <c r="G21">
        <v>0</v>
      </c>
      <c r="H21">
        <v>0</v>
      </c>
      <c r="I21">
        <v>0</v>
      </c>
      <c r="J21">
        <v>0</v>
      </c>
      <c r="K21">
        <v>0</v>
      </c>
      <c r="L21">
        <v>0</v>
      </c>
      <c r="M21">
        <v>0</v>
      </c>
    </row>
    <row r="22" spans="1:16">
      <c r="A22" s="746" t="s">
        <v>672</v>
      </c>
      <c r="B22" s="746">
        <v>69</v>
      </c>
      <c r="C22">
        <v>69</v>
      </c>
      <c r="D22">
        <v>95</v>
      </c>
      <c r="E22" t="s">
        <v>671</v>
      </c>
      <c r="F22" t="s">
        <v>671</v>
      </c>
      <c r="G22" t="s">
        <v>671</v>
      </c>
      <c r="H22" t="s">
        <v>671</v>
      </c>
      <c r="I22" t="s">
        <v>671</v>
      </c>
      <c r="J22" t="s">
        <v>671</v>
      </c>
      <c r="K22" t="s">
        <v>671</v>
      </c>
      <c r="L22" t="s">
        <v>671</v>
      </c>
      <c r="M22" t="s">
        <v>671</v>
      </c>
    </row>
    <row r="23" spans="1:16">
      <c r="A23" s="746" t="s">
        <v>673</v>
      </c>
      <c r="B23" s="746">
        <v>-137</v>
      </c>
      <c r="C23">
        <v>-985</v>
      </c>
      <c r="D23">
        <v>-203</v>
      </c>
      <c r="E23">
        <v>698</v>
      </c>
      <c r="F23">
        <v>144</v>
      </c>
      <c r="G23">
        <v>338</v>
      </c>
      <c r="H23">
        <v>-319</v>
      </c>
      <c r="I23">
        <v>147</v>
      </c>
      <c r="J23">
        <v>29</v>
      </c>
      <c r="K23" s="23">
        <v>-1073</v>
      </c>
      <c r="L23">
        <v>-172</v>
      </c>
      <c r="M23">
        <v>227</v>
      </c>
      <c r="N23">
        <v>86</v>
      </c>
    </row>
    <row r="24" spans="1:16">
      <c r="A24" s="746" t="s">
        <v>674</v>
      </c>
      <c r="B24" s="748">
        <v>12459</v>
      </c>
      <c r="C24" s="23">
        <v>16507</v>
      </c>
      <c r="D24" s="23">
        <v>14263</v>
      </c>
      <c r="E24" s="23">
        <v>13768</v>
      </c>
      <c r="F24" s="23">
        <v>17811</v>
      </c>
      <c r="G24" s="23">
        <v>22876</v>
      </c>
      <c r="H24" s="23">
        <v>23341</v>
      </c>
      <c r="I24" s="23">
        <v>22435</v>
      </c>
      <c r="J24" s="23">
        <v>20231</v>
      </c>
      <c r="K24" s="23">
        <v>2540</v>
      </c>
      <c r="L24">
        <v>507</v>
      </c>
      <c r="M24" s="23">
        <v>-5440</v>
      </c>
      <c r="N24" s="23">
        <v>-4870</v>
      </c>
      <c r="O24" s="23">
        <v>2460</v>
      </c>
      <c r="P24" s="23">
        <v>6275</v>
      </c>
    </row>
    <row r="25" spans="1:16">
      <c r="A25" s="746" t="s">
        <v>675</v>
      </c>
      <c r="B25" s="746">
        <v>-152</v>
      </c>
      <c r="C25">
        <v>706</v>
      </c>
      <c r="D25">
        <v>51</v>
      </c>
      <c r="E25">
        <v>832</v>
      </c>
      <c r="F25" s="23">
        <v>-2541</v>
      </c>
      <c r="G25">
        <v>-441</v>
      </c>
      <c r="H25">
        <v>-717</v>
      </c>
      <c r="I25" s="23">
        <v>-2643</v>
      </c>
      <c r="J25" s="23">
        <v>-1472</v>
      </c>
      <c r="K25" s="23">
        <v>-5228</v>
      </c>
      <c r="L25">
        <v>-255</v>
      </c>
      <c r="M25" s="23">
        <v>5770</v>
      </c>
      <c r="N25" s="23">
        <v>6340</v>
      </c>
    </row>
    <row r="26" spans="1:16">
      <c r="A26" s="746" t="s">
        <v>676</v>
      </c>
      <c r="B26" s="746" t="s">
        <v>671</v>
      </c>
      <c r="C26" t="s">
        <v>671</v>
      </c>
      <c r="D26" t="s">
        <v>671</v>
      </c>
      <c r="E26">
        <v>100</v>
      </c>
      <c r="F26">
        <v>113</v>
      </c>
      <c r="G26" t="s">
        <v>671</v>
      </c>
      <c r="H26" t="s">
        <v>671</v>
      </c>
      <c r="I26" t="s">
        <v>671</v>
      </c>
      <c r="J26" t="s">
        <v>671</v>
      </c>
      <c r="K26" t="s">
        <v>671</v>
      </c>
      <c r="L26" t="s">
        <v>671</v>
      </c>
      <c r="M26" t="s">
        <v>671</v>
      </c>
    </row>
    <row r="27" spans="1:16">
      <c r="A27" s="746" t="s">
        <v>677</v>
      </c>
      <c r="B27" s="746" t="s">
        <v>671</v>
      </c>
      <c r="C27" t="s">
        <v>671</v>
      </c>
      <c r="D27" t="s">
        <v>671</v>
      </c>
      <c r="E27" t="s">
        <v>671</v>
      </c>
      <c r="F27" t="s">
        <v>671</v>
      </c>
      <c r="G27">
        <v>129</v>
      </c>
      <c r="H27">
        <v>-277</v>
      </c>
      <c r="I27">
        <v>133</v>
      </c>
      <c r="J27">
        <v>130</v>
      </c>
      <c r="K27">
        <v>787</v>
      </c>
      <c r="L27">
        <v>36</v>
      </c>
      <c r="M27" t="s">
        <v>671</v>
      </c>
    </row>
    <row r="28" spans="1:16">
      <c r="A28" s="746" t="s">
        <v>678</v>
      </c>
      <c r="B28" s="746">
        <v>39</v>
      </c>
      <c r="C28" t="s">
        <v>671</v>
      </c>
      <c r="D28">
        <v>12</v>
      </c>
      <c r="E28">
        <v>187</v>
      </c>
      <c r="F28" t="s">
        <v>671</v>
      </c>
      <c r="G28" t="s">
        <v>671</v>
      </c>
      <c r="H28" t="s">
        <v>671</v>
      </c>
      <c r="I28">
        <v>7</v>
      </c>
      <c r="J28">
        <v>287</v>
      </c>
      <c r="K28">
        <v>151</v>
      </c>
      <c r="L28">
        <v>45</v>
      </c>
      <c r="M28" s="23">
        <v>3631</v>
      </c>
      <c r="N28" s="23">
        <v>3574</v>
      </c>
    </row>
    <row r="29" spans="1:16" ht="27.95">
      <c r="A29" s="746" t="s">
        <v>679</v>
      </c>
      <c r="B29" s="746" t="s">
        <v>671</v>
      </c>
      <c r="C29" t="s">
        <v>671</v>
      </c>
      <c r="D29" t="s">
        <v>671</v>
      </c>
      <c r="E29">
        <v>-693</v>
      </c>
      <c r="F29">
        <v>-387</v>
      </c>
      <c r="G29">
        <v>-494</v>
      </c>
      <c r="H29">
        <v>600</v>
      </c>
      <c r="I29">
        <v>-937</v>
      </c>
      <c r="J29" s="23">
        <v>-1369</v>
      </c>
      <c r="K29" s="23">
        <v>-1166</v>
      </c>
      <c r="L29">
        <v>-153</v>
      </c>
      <c r="M29">
        <v>-156</v>
      </c>
      <c r="N29">
        <v>12</v>
      </c>
    </row>
    <row r="30" spans="1:16">
      <c r="A30" s="746" t="s">
        <v>680</v>
      </c>
      <c r="B30" s="746" t="s">
        <v>671</v>
      </c>
      <c r="C30" t="s">
        <v>671</v>
      </c>
      <c r="D30" t="s">
        <v>671</v>
      </c>
      <c r="E30" t="s">
        <v>671</v>
      </c>
      <c r="F30" t="s">
        <v>671</v>
      </c>
      <c r="G30" t="s">
        <v>671</v>
      </c>
      <c r="H30" t="s">
        <v>671</v>
      </c>
      <c r="I30" t="s">
        <v>671</v>
      </c>
      <c r="J30" t="s">
        <v>671</v>
      </c>
      <c r="K30">
        <v>204</v>
      </c>
      <c r="L30" t="s">
        <v>671</v>
      </c>
      <c r="M30">
        <v>-560</v>
      </c>
      <c r="N30">
        <v>-560</v>
      </c>
    </row>
    <row r="31" spans="1:16">
      <c r="A31" s="746" t="s">
        <v>681</v>
      </c>
      <c r="B31" s="746">
        <v>201</v>
      </c>
      <c r="C31">
        <v>295</v>
      </c>
      <c r="D31">
        <v>354</v>
      </c>
      <c r="E31" t="s">
        <v>671</v>
      </c>
      <c r="F31" t="s">
        <v>671</v>
      </c>
      <c r="G31">
        <v>-72</v>
      </c>
      <c r="H31">
        <v>280</v>
      </c>
      <c r="I31">
        <v>124</v>
      </c>
      <c r="J31">
        <v>48</v>
      </c>
      <c r="K31" s="23">
        <v>1038</v>
      </c>
      <c r="L31">
        <v>222</v>
      </c>
      <c r="M31" s="23">
        <v>2481</v>
      </c>
    </row>
    <row r="32" spans="1:16">
      <c r="A32" s="746" t="s">
        <v>682</v>
      </c>
      <c r="B32" s="746">
        <v>-515</v>
      </c>
      <c r="C32">
        <v>411</v>
      </c>
      <c r="D32">
        <v>-315</v>
      </c>
      <c r="E32">
        <v>-506</v>
      </c>
      <c r="F32" s="23">
        <v>-2651</v>
      </c>
      <c r="G32">
        <v>-226</v>
      </c>
      <c r="H32" s="23">
        <v>-1262</v>
      </c>
      <c r="I32" s="23">
        <v>-2164</v>
      </c>
      <c r="J32" s="23">
        <v>-2263</v>
      </c>
      <c r="K32" s="23">
        <v>-4946</v>
      </c>
      <c r="L32">
        <v>-273</v>
      </c>
      <c r="M32">
        <v>-242</v>
      </c>
      <c r="N32">
        <v>-512</v>
      </c>
    </row>
    <row r="33" spans="1:16">
      <c r="A33" s="746" t="s">
        <v>683</v>
      </c>
      <c r="B33" s="746" t="s">
        <v>671</v>
      </c>
      <c r="C33" t="s">
        <v>671</v>
      </c>
      <c r="D33" t="s">
        <v>671</v>
      </c>
      <c r="E33" t="s">
        <v>671</v>
      </c>
      <c r="F33" t="s">
        <v>671</v>
      </c>
      <c r="G33">
        <v>222</v>
      </c>
      <c r="H33">
        <v>-171</v>
      </c>
      <c r="I33">
        <v>127</v>
      </c>
      <c r="J33">
        <v>-596</v>
      </c>
      <c r="K33">
        <v>-109</v>
      </c>
      <c r="L33">
        <v>197</v>
      </c>
      <c r="M33">
        <v>-242</v>
      </c>
    </row>
    <row r="34" spans="1:16">
      <c r="A34" s="746" t="s">
        <v>684</v>
      </c>
      <c r="B34" s="746">
        <v>123</v>
      </c>
      <c r="C34" t="s">
        <v>671</v>
      </c>
      <c r="D34" t="s">
        <v>671</v>
      </c>
      <c r="E34" s="23">
        <v>1744</v>
      </c>
      <c r="F34">
        <v>384</v>
      </c>
      <c r="G34">
        <v>-72</v>
      </c>
      <c r="H34">
        <v>113</v>
      </c>
      <c r="I34">
        <v>67</v>
      </c>
      <c r="J34" s="23">
        <v>2291</v>
      </c>
      <c r="K34" s="23">
        <v>-1187</v>
      </c>
      <c r="L34">
        <v>-329</v>
      </c>
      <c r="M34">
        <v>858</v>
      </c>
      <c r="N34" s="23">
        <v>1219</v>
      </c>
    </row>
    <row r="35" spans="1:16">
      <c r="A35" s="746" t="s">
        <v>685</v>
      </c>
      <c r="B35" s="748">
        <v>12611</v>
      </c>
      <c r="C35" s="23">
        <v>15801</v>
      </c>
      <c r="D35" s="23">
        <v>14212</v>
      </c>
      <c r="E35" s="23">
        <v>12936</v>
      </c>
      <c r="F35" s="23">
        <v>20352</v>
      </c>
      <c r="G35" s="23">
        <v>23317</v>
      </c>
      <c r="H35" s="23">
        <v>24058</v>
      </c>
      <c r="I35" s="23">
        <v>25078</v>
      </c>
      <c r="J35" s="23">
        <v>21703</v>
      </c>
      <c r="K35" s="23">
        <v>7768</v>
      </c>
      <c r="L35">
        <v>762</v>
      </c>
      <c r="M35" s="23">
        <v>-11210</v>
      </c>
      <c r="N35" s="23">
        <v>-11210</v>
      </c>
      <c r="O35" s="23">
        <v>2460</v>
      </c>
      <c r="P35" s="23">
        <v>6275</v>
      </c>
    </row>
    <row r="36" spans="1:16">
      <c r="A36" s="746" t="s">
        <v>686</v>
      </c>
      <c r="B36" s="748">
        <v>2991</v>
      </c>
      <c r="C36" s="23">
        <v>4097</v>
      </c>
      <c r="D36" s="23">
        <v>2792</v>
      </c>
      <c r="E36" s="23">
        <v>2620</v>
      </c>
      <c r="F36" s="23">
        <v>10751</v>
      </c>
      <c r="G36" s="23">
        <v>2264</v>
      </c>
      <c r="H36" s="23">
        <v>3010</v>
      </c>
      <c r="I36" s="23">
        <v>4179</v>
      </c>
      <c r="J36" s="23">
        <v>1835</v>
      </c>
      <c r="K36">
        <v>-249</v>
      </c>
      <c r="L36">
        <v>-913</v>
      </c>
      <c r="M36" s="23">
        <v>8023</v>
      </c>
      <c r="N36" s="23">
        <v>8023</v>
      </c>
    </row>
    <row r="37" spans="1:16">
      <c r="A37" s="746" t="s">
        <v>687</v>
      </c>
      <c r="B37" s="748">
        <v>3514</v>
      </c>
      <c r="C37" s="23">
        <v>4381</v>
      </c>
      <c r="D37" s="23">
        <v>3710</v>
      </c>
      <c r="E37" s="23">
        <v>2088</v>
      </c>
      <c r="F37" s="23">
        <v>9233</v>
      </c>
      <c r="G37" s="23">
        <v>3872</v>
      </c>
      <c r="H37" s="23">
        <v>2488</v>
      </c>
      <c r="I37" s="23">
        <v>2410</v>
      </c>
      <c r="J37" s="23">
        <v>2577</v>
      </c>
      <c r="K37" s="23">
        <v>4909</v>
      </c>
      <c r="L37" s="23">
        <v>1096</v>
      </c>
      <c r="M37" s="23">
        <v>1956</v>
      </c>
    </row>
    <row r="38" spans="1:16">
      <c r="A38" s="746" t="s">
        <v>688</v>
      </c>
      <c r="B38" s="746">
        <v>-523</v>
      </c>
      <c r="C38">
        <v>-284</v>
      </c>
      <c r="D38">
        <v>-918</v>
      </c>
      <c r="E38">
        <v>532</v>
      </c>
      <c r="F38" s="23">
        <v>1518</v>
      </c>
      <c r="G38" s="23">
        <v>-1608</v>
      </c>
      <c r="H38">
        <v>522</v>
      </c>
      <c r="I38" s="23">
        <v>1769</v>
      </c>
      <c r="J38">
        <v>-742</v>
      </c>
      <c r="K38" s="23">
        <v>-5158</v>
      </c>
      <c r="L38" s="23">
        <v>-2009</v>
      </c>
      <c r="M38" s="23">
        <v>6067</v>
      </c>
    </row>
    <row r="39" spans="1:16">
      <c r="A39" s="746" t="s">
        <v>689</v>
      </c>
      <c r="B39" s="746" t="s">
        <v>671</v>
      </c>
      <c r="C39">
        <v>0</v>
      </c>
      <c r="D39" t="s">
        <v>671</v>
      </c>
      <c r="E39" t="s">
        <v>671</v>
      </c>
      <c r="F39" t="s">
        <v>671</v>
      </c>
      <c r="G39" t="s">
        <v>671</v>
      </c>
      <c r="H39" t="s">
        <v>671</v>
      </c>
      <c r="I39" t="s">
        <v>671</v>
      </c>
      <c r="J39" t="s">
        <v>671</v>
      </c>
      <c r="K39" t="s">
        <v>671</v>
      </c>
      <c r="L39" t="s">
        <v>671</v>
      </c>
      <c r="M39" t="s">
        <v>671</v>
      </c>
    </row>
    <row r="40" spans="1:16">
      <c r="A40" s="746" t="s">
        <v>690</v>
      </c>
      <c r="B40" s="748">
        <v>9620</v>
      </c>
      <c r="C40" s="23">
        <v>11704</v>
      </c>
      <c r="D40" s="23">
        <v>11420</v>
      </c>
      <c r="E40" s="23">
        <v>10316</v>
      </c>
      <c r="F40" s="23">
        <v>9601</v>
      </c>
      <c r="G40" s="23">
        <v>21053</v>
      </c>
      <c r="H40" s="23">
        <v>21048</v>
      </c>
      <c r="I40" s="23">
        <v>20899</v>
      </c>
      <c r="J40" s="23">
        <v>19868</v>
      </c>
      <c r="K40" s="23">
        <v>8017</v>
      </c>
      <c r="L40" s="23">
        <v>1675</v>
      </c>
      <c r="M40" s="23">
        <v>-19233</v>
      </c>
      <c r="N40" s="23">
        <v>-19233</v>
      </c>
      <c r="O40" s="23">
        <v>-1859</v>
      </c>
      <c r="P40">
        <v>980</v>
      </c>
    </row>
    <row r="41" spans="1:16">
      <c r="A41" s="746" t="s">
        <v>691</v>
      </c>
      <c r="B41" s="746">
        <v>0</v>
      </c>
      <c r="C41">
        <v>0</v>
      </c>
      <c r="D41">
        <v>0</v>
      </c>
      <c r="E41">
        <v>0</v>
      </c>
      <c r="F41">
        <v>0</v>
      </c>
      <c r="G41">
        <v>0</v>
      </c>
      <c r="H41">
        <v>0</v>
      </c>
      <c r="I41">
        <v>0</v>
      </c>
      <c r="J41">
        <v>0</v>
      </c>
      <c r="K41">
        <v>0</v>
      </c>
      <c r="L41">
        <v>0</v>
      </c>
      <c r="M41">
        <v>0</v>
      </c>
      <c r="N41">
        <v>0</v>
      </c>
    </row>
    <row r="42" spans="1:16">
      <c r="A42" s="746" t="s">
        <v>692</v>
      </c>
      <c r="B42" s="746">
        <v>0</v>
      </c>
      <c r="C42">
        <v>0</v>
      </c>
      <c r="D42">
        <v>0</v>
      </c>
      <c r="E42">
        <v>0</v>
      </c>
      <c r="F42">
        <v>0</v>
      </c>
      <c r="G42">
        <v>0</v>
      </c>
      <c r="H42">
        <v>0</v>
      </c>
      <c r="I42">
        <v>0</v>
      </c>
      <c r="J42">
        <v>0</v>
      </c>
      <c r="K42">
        <v>0</v>
      </c>
      <c r="L42">
        <v>0</v>
      </c>
      <c r="M42">
        <v>0</v>
      </c>
      <c r="N42">
        <v>0</v>
      </c>
    </row>
    <row r="43" spans="1:16">
      <c r="A43" s="746" t="s">
        <v>693</v>
      </c>
      <c r="B43" s="746">
        <v>0</v>
      </c>
      <c r="C43">
        <v>0</v>
      </c>
      <c r="D43">
        <v>0</v>
      </c>
      <c r="E43">
        <v>0</v>
      </c>
      <c r="F43">
        <v>0</v>
      </c>
      <c r="G43">
        <v>0</v>
      </c>
      <c r="H43">
        <v>0</v>
      </c>
      <c r="I43">
        <v>0</v>
      </c>
      <c r="J43">
        <v>0</v>
      </c>
      <c r="K43">
        <v>0</v>
      </c>
      <c r="L43">
        <v>0</v>
      </c>
      <c r="M43">
        <v>0</v>
      </c>
      <c r="N43">
        <v>0</v>
      </c>
    </row>
    <row r="44" spans="1:16">
      <c r="A44" s="746" t="s">
        <v>694</v>
      </c>
      <c r="B44" s="748">
        <v>9620</v>
      </c>
      <c r="C44" s="23">
        <v>11704</v>
      </c>
      <c r="D44" s="23">
        <v>11420</v>
      </c>
      <c r="E44" s="23">
        <v>10316</v>
      </c>
      <c r="F44" s="23">
        <v>9601</v>
      </c>
      <c r="G44" s="23">
        <v>21053</v>
      </c>
      <c r="H44" s="23">
        <v>21048</v>
      </c>
      <c r="I44" s="23">
        <v>20899</v>
      </c>
      <c r="J44" s="23">
        <v>19868</v>
      </c>
      <c r="K44" s="23">
        <v>8017</v>
      </c>
      <c r="L44" s="23">
        <v>1675</v>
      </c>
      <c r="M44" s="23">
        <v>-19233</v>
      </c>
      <c r="N44" s="23">
        <v>-19233</v>
      </c>
    </row>
    <row r="45" spans="1:16">
      <c r="A45" s="746" t="s">
        <v>695</v>
      </c>
      <c r="B45" s="746">
        <v>0</v>
      </c>
      <c r="C45">
        <v>0</v>
      </c>
      <c r="D45">
        <v>0</v>
      </c>
      <c r="E45">
        <v>0</v>
      </c>
      <c r="F45">
        <v>0</v>
      </c>
      <c r="G45">
        <v>0</v>
      </c>
      <c r="H45">
        <v>0</v>
      </c>
      <c r="I45">
        <v>0</v>
      </c>
      <c r="J45">
        <v>0</v>
      </c>
      <c r="K45">
        <v>3</v>
      </c>
      <c r="L45">
        <v>-14</v>
      </c>
      <c r="M45">
        <v>-477</v>
      </c>
      <c r="N45">
        <v>-477</v>
      </c>
    </row>
    <row r="46" spans="1:16">
      <c r="A46" s="746" t="s">
        <v>696</v>
      </c>
      <c r="B46" s="748">
        <v>9620</v>
      </c>
      <c r="C46" s="23">
        <v>11704</v>
      </c>
      <c r="D46" s="23">
        <v>11420</v>
      </c>
      <c r="E46" s="23">
        <v>10316</v>
      </c>
      <c r="F46" s="23">
        <v>9601</v>
      </c>
      <c r="G46" s="23">
        <v>21053</v>
      </c>
      <c r="H46" s="23">
        <v>21048</v>
      </c>
      <c r="I46" s="23">
        <v>20899</v>
      </c>
      <c r="J46" s="23">
        <v>19868</v>
      </c>
      <c r="K46" s="23">
        <v>8014</v>
      </c>
      <c r="L46" s="23">
        <v>1689</v>
      </c>
      <c r="M46" s="23">
        <v>-18756</v>
      </c>
      <c r="N46" s="23">
        <v>-18756</v>
      </c>
      <c r="O46" s="23">
        <v>-1859</v>
      </c>
      <c r="P46">
        <v>980</v>
      </c>
    </row>
    <row r="47" spans="1:16">
      <c r="A47" s="746" t="s">
        <v>697</v>
      </c>
      <c r="B47" s="746">
        <v>0</v>
      </c>
      <c r="C47">
        <v>0</v>
      </c>
      <c r="D47">
        <v>0</v>
      </c>
      <c r="E47">
        <v>0</v>
      </c>
      <c r="F47">
        <v>0</v>
      </c>
      <c r="G47">
        <v>0</v>
      </c>
      <c r="H47">
        <v>0</v>
      </c>
      <c r="I47">
        <v>0</v>
      </c>
      <c r="J47">
        <v>0</v>
      </c>
      <c r="K47">
        <v>0</v>
      </c>
      <c r="L47">
        <v>0</v>
      </c>
      <c r="M47">
        <v>0</v>
      </c>
      <c r="N47">
        <v>0</v>
      </c>
    </row>
    <row r="48" spans="1:16">
      <c r="A48" s="746" t="s">
        <v>698</v>
      </c>
      <c r="B48" s="746">
        <v>0</v>
      </c>
      <c r="C48">
        <v>0</v>
      </c>
      <c r="D48">
        <v>0</v>
      </c>
      <c r="E48">
        <v>0</v>
      </c>
      <c r="F48">
        <v>0</v>
      </c>
      <c r="G48">
        <v>0</v>
      </c>
      <c r="H48">
        <v>0</v>
      </c>
      <c r="I48">
        <v>0</v>
      </c>
      <c r="J48">
        <v>0</v>
      </c>
      <c r="K48">
        <v>0</v>
      </c>
      <c r="L48">
        <v>0</v>
      </c>
      <c r="M48">
        <v>0</v>
      </c>
      <c r="N48">
        <v>0</v>
      </c>
    </row>
    <row r="49" spans="1:16">
      <c r="A49" s="746" t="s">
        <v>699</v>
      </c>
      <c r="B49" s="748">
        <v>9620</v>
      </c>
      <c r="C49" s="23">
        <v>11704</v>
      </c>
      <c r="D49" s="23">
        <v>11420</v>
      </c>
      <c r="E49" s="23">
        <v>10316</v>
      </c>
      <c r="F49" s="23">
        <v>9601</v>
      </c>
      <c r="G49" s="23">
        <v>21053</v>
      </c>
      <c r="H49" s="23">
        <v>21048</v>
      </c>
      <c r="I49" s="23">
        <v>20899</v>
      </c>
      <c r="J49" s="23">
        <v>19868</v>
      </c>
      <c r="K49" s="23">
        <v>8014</v>
      </c>
      <c r="L49" s="23">
        <v>1689</v>
      </c>
      <c r="M49" s="23">
        <v>-18756</v>
      </c>
      <c r="N49" s="23">
        <v>-18756</v>
      </c>
      <c r="O49" s="23">
        <v>-1859</v>
      </c>
      <c r="P49">
        <v>980</v>
      </c>
    </row>
    <row r="50" spans="1:16">
      <c r="A50" s="746"/>
      <c r="B50" s="746"/>
    </row>
    <row r="51" spans="1:16">
      <c r="A51" s="746" t="s">
        <v>700</v>
      </c>
      <c r="B51" s="748">
        <v>9521</v>
      </c>
      <c r="C51" s="23">
        <v>12163</v>
      </c>
      <c r="D51" s="23">
        <v>11453</v>
      </c>
      <c r="E51" s="23">
        <v>11149</v>
      </c>
      <c r="F51" s="23">
        <v>13492</v>
      </c>
      <c r="G51" s="23">
        <v>20630</v>
      </c>
      <c r="H51" s="23">
        <v>20665</v>
      </c>
      <c r="I51" s="23">
        <v>18026</v>
      </c>
      <c r="J51" s="23">
        <v>18808</v>
      </c>
      <c r="K51" s="23">
        <v>3856</v>
      </c>
      <c r="L51" s="23">
        <v>1482</v>
      </c>
      <c r="M51" s="23">
        <v>-3738</v>
      </c>
      <c r="N51" s="23">
        <v>-12334</v>
      </c>
      <c r="O51" s="23">
        <v>2102</v>
      </c>
      <c r="P51" s="23">
        <v>5026</v>
      </c>
    </row>
    <row r="52" spans="1:16">
      <c r="A52" s="746" t="s">
        <v>701</v>
      </c>
      <c r="B52" s="746">
        <v>-99</v>
      </c>
      <c r="C52">
        <v>459</v>
      </c>
      <c r="D52">
        <v>33</v>
      </c>
      <c r="E52">
        <v>833</v>
      </c>
      <c r="F52" s="23">
        <v>3891</v>
      </c>
      <c r="G52">
        <v>-423</v>
      </c>
      <c r="H52">
        <v>-383</v>
      </c>
      <c r="I52" s="23">
        <v>-2873</v>
      </c>
      <c r="J52" s="23">
        <v>-1060</v>
      </c>
      <c r="K52" s="23">
        <v>-4158</v>
      </c>
      <c r="L52">
        <v>-207</v>
      </c>
      <c r="M52" s="23">
        <v>15018</v>
      </c>
      <c r="N52" s="23">
        <v>6422</v>
      </c>
    </row>
    <row r="53" spans="1:16">
      <c r="A53" s="746" t="s">
        <v>702</v>
      </c>
      <c r="B53" s="746">
        <v>0</v>
      </c>
      <c r="C53">
        <v>0</v>
      </c>
      <c r="D53">
        <v>0</v>
      </c>
      <c r="E53">
        <v>0</v>
      </c>
      <c r="F53">
        <v>0</v>
      </c>
      <c r="G53">
        <v>0</v>
      </c>
      <c r="H53">
        <v>0</v>
      </c>
      <c r="I53">
        <v>0</v>
      </c>
      <c r="J53">
        <v>0</v>
      </c>
      <c r="K53">
        <v>0</v>
      </c>
      <c r="L53">
        <v>0</v>
      </c>
      <c r="M53">
        <v>0</v>
      </c>
      <c r="N53">
        <v>0</v>
      </c>
    </row>
    <row r="54" spans="1:16">
      <c r="A54" s="746"/>
      <c r="B54" s="746"/>
    </row>
    <row r="55" spans="1:16">
      <c r="A55" s="746" t="s">
        <v>703</v>
      </c>
      <c r="B55" s="748">
        <v>4970</v>
      </c>
      <c r="C55" s="23">
        <v>4901</v>
      </c>
      <c r="D55" s="23">
        <v>4742</v>
      </c>
      <c r="E55" s="23">
        <v>4730</v>
      </c>
      <c r="F55" s="23">
        <v>4701</v>
      </c>
      <c r="G55" s="23">
        <v>4611</v>
      </c>
      <c r="H55" s="23">
        <v>4417</v>
      </c>
      <c r="I55" s="23">
        <v>4199</v>
      </c>
      <c r="J55" s="23">
        <v>4059</v>
      </c>
      <c r="K55" s="23">
        <v>4108</v>
      </c>
      <c r="L55" s="23">
        <v>4190</v>
      </c>
      <c r="M55" s="23">
        <v>4280</v>
      </c>
      <c r="N55" s="23">
        <v>4319</v>
      </c>
    </row>
    <row r="56" spans="1:16">
      <c r="A56" s="746" t="s">
        <v>704</v>
      </c>
      <c r="B56" s="746">
        <v>1.94</v>
      </c>
      <c r="C56">
        <v>2.39</v>
      </c>
      <c r="D56">
        <v>2.41</v>
      </c>
      <c r="E56">
        <v>2.1800000000000002</v>
      </c>
      <c r="F56">
        <v>2.04</v>
      </c>
      <c r="G56">
        <v>4.57</v>
      </c>
      <c r="H56">
        <v>4.7699999999999996</v>
      </c>
      <c r="I56">
        <v>4.9800000000000004</v>
      </c>
      <c r="J56">
        <v>4.8899999999999997</v>
      </c>
      <c r="K56">
        <v>1.95</v>
      </c>
      <c r="L56">
        <v>0.4</v>
      </c>
      <c r="M56">
        <v>-4.38</v>
      </c>
      <c r="N56">
        <v>-4.38</v>
      </c>
      <c r="O56">
        <v>-0.28999999999999998</v>
      </c>
      <c r="P56">
        <v>0.42</v>
      </c>
    </row>
    <row r="57" spans="1:16">
      <c r="A57" s="746" t="s">
        <v>705</v>
      </c>
      <c r="B57" s="746">
        <v>1.94</v>
      </c>
      <c r="C57">
        <v>2.39</v>
      </c>
      <c r="D57">
        <v>2.41</v>
      </c>
      <c r="E57">
        <v>2.1800000000000002</v>
      </c>
      <c r="F57">
        <v>2.04</v>
      </c>
      <c r="G57">
        <v>4.57</v>
      </c>
      <c r="H57">
        <v>4.7699999999999996</v>
      </c>
      <c r="I57">
        <v>4.9800000000000004</v>
      </c>
      <c r="J57">
        <v>4.8899999999999997</v>
      </c>
      <c r="K57">
        <v>1.95</v>
      </c>
      <c r="L57">
        <v>0.4</v>
      </c>
      <c r="M57">
        <v>-4.38</v>
      </c>
      <c r="N57">
        <v>-4.38</v>
      </c>
      <c r="O57">
        <v>-0.28999999999999998</v>
      </c>
      <c r="P57">
        <v>0.42</v>
      </c>
    </row>
    <row r="58" spans="1:16">
      <c r="A58" s="746" t="s">
        <v>706</v>
      </c>
      <c r="B58" s="746">
        <v>1.92</v>
      </c>
      <c r="C58">
        <v>2.48</v>
      </c>
      <c r="D58">
        <v>2.42</v>
      </c>
      <c r="E58">
        <v>2.36</v>
      </c>
      <c r="F58">
        <v>2.87</v>
      </c>
      <c r="G58">
        <v>4.47</v>
      </c>
      <c r="H58">
        <v>4.68</v>
      </c>
      <c r="I58">
        <v>4.29</v>
      </c>
      <c r="J58">
        <v>4.63</v>
      </c>
      <c r="K58">
        <v>0.94</v>
      </c>
      <c r="L58">
        <v>0.35</v>
      </c>
      <c r="M58">
        <v>-0.87</v>
      </c>
      <c r="N58">
        <v>-2.87</v>
      </c>
      <c r="O58">
        <v>0.48</v>
      </c>
      <c r="P58">
        <v>1.1599999999999999</v>
      </c>
    </row>
    <row r="59" spans="1:16">
      <c r="A59" s="746"/>
      <c r="B59" s="746"/>
    </row>
    <row r="60" spans="1:16">
      <c r="A60" s="746" t="s">
        <v>707</v>
      </c>
      <c r="B60" s="748">
        <v>5097</v>
      </c>
      <c r="C60" s="23">
        <v>5056</v>
      </c>
      <c r="D60" s="23">
        <v>4894</v>
      </c>
      <c r="E60" s="23">
        <v>4875</v>
      </c>
      <c r="F60" s="23">
        <v>4835</v>
      </c>
      <c r="G60" s="23">
        <v>4701</v>
      </c>
      <c r="H60" s="23">
        <v>4473</v>
      </c>
      <c r="I60" s="23">
        <v>4232</v>
      </c>
      <c r="J60" s="23">
        <v>4090</v>
      </c>
      <c r="K60" s="23">
        <v>4123</v>
      </c>
      <c r="L60" s="23">
        <v>4212</v>
      </c>
      <c r="M60" s="23">
        <v>4280</v>
      </c>
      <c r="N60" s="23">
        <v>4319</v>
      </c>
    </row>
    <row r="61" spans="1:16">
      <c r="A61" s="746" t="s">
        <v>708</v>
      </c>
      <c r="B61" s="746">
        <v>1.89</v>
      </c>
      <c r="C61">
        <v>2.31</v>
      </c>
      <c r="D61">
        <v>2.33</v>
      </c>
      <c r="E61">
        <v>2.12</v>
      </c>
      <c r="F61">
        <v>1.99</v>
      </c>
      <c r="G61">
        <v>4.4800000000000004</v>
      </c>
      <c r="H61">
        <v>4.71</v>
      </c>
      <c r="I61">
        <v>4.9400000000000004</v>
      </c>
      <c r="J61">
        <v>4.8600000000000003</v>
      </c>
      <c r="K61">
        <v>1.94</v>
      </c>
      <c r="L61">
        <v>0.4</v>
      </c>
      <c r="M61">
        <v>-4.38</v>
      </c>
      <c r="N61">
        <v>-4.38</v>
      </c>
      <c r="O61">
        <v>-0.28999999999999998</v>
      </c>
      <c r="P61">
        <v>0.42</v>
      </c>
    </row>
    <row r="62" spans="1:16">
      <c r="A62" s="746" t="s">
        <v>709</v>
      </c>
      <c r="B62" s="746">
        <v>1.89</v>
      </c>
      <c r="C62">
        <v>2.31</v>
      </c>
      <c r="D62">
        <v>2.33</v>
      </c>
      <c r="E62">
        <v>2.12</v>
      </c>
      <c r="F62">
        <v>1.99</v>
      </c>
      <c r="G62">
        <v>4.4800000000000004</v>
      </c>
      <c r="H62">
        <v>4.71</v>
      </c>
      <c r="I62">
        <v>4.9400000000000004</v>
      </c>
      <c r="J62">
        <v>4.8600000000000003</v>
      </c>
      <c r="K62">
        <v>1.94</v>
      </c>
      <c r="L62">
        <v>0.4</v>
      </c>
      <c r="M62">
        <v>-4.38</v>
      </c>
      <c r="N62">
        <v>-4.38</v>
      </c>
      <c r="O62">
        <v>-0.28999999999999998</v>
      </c>
      <c r="P62">
        <v>0.42</v>
      </c>
    </row>
    <row r="63" spans="1:16">
      <c r="A63" s="746" t="s">
        <v>710</v>
      </c>
      <c r="B63" s="746">
        <v>1.87</v>
      </c>
      <c r="C63">
        <v>2.4</v>
      </c>
      <c r="D63">
        <v>2.34</v>
      </c>
      <c r="E63">
        <v>2.29</v>
      </c>
      <c r="F63">
        <v>2.79</v>
      </c>
      <c r="G63">
        <v>4.3899999999999997</v>
      </c>
      <c r="H63">
        <v>4.62</v>
      </c>
      <c r="I63">
        <v>4.26</v>
      </c>
      <c r="J63">
        <v>4.5999999999999996</v>
      </c>
      <c r="K63">
        <v>0.93</v>
      </c>
      <c r="L63">
        <v>0.35</v>
      </c>
      <c r="M63">
        <v>-0.87</v>
      </c>
      <c r="N63">
        <v>-2.88</v>
      </c>
      <c r="O63">
        <v>0.48</v>
      </c>
      <c r="P63">
        <v>1.1599999999999999</v>
      </c>
    </row>
    <row r="64" spans="1:16">
      <c r="A64" s="746"/>
      <c r="B64" s="746"/>
    </row>
    <row r="65" spans="1:16">
      <c r="A65" s="746" t="s">
        <v>711</v>
      </c>
      <c r="B65" s="746"/>
    </row>
    <row r="66" spans="1:16">
      <c r="A66" s="746" t="s">
        <v>712</v>
      </c>
      <c r="B66" s="746" t="s">
        <v>713</v>
      </c>
      <c r="C66" t="s">
        <v>713</v>
      </c>
      <c r="D66" t="s">
        <v>713</v>
      </c>
      <c r="E66" t="s">
        <v>713</v>
      </c>
      <c r="F66" t="s">
        <v>713</v>
      </c>
      <c r="G66" t="s">
        <v>713</v>
      </c>
      <c r="H66" t="s">
        <v>713</v>
      </c>
      <c r="I66" t="s">
        <v>713</v>
      </c>
      <c r="J66" t="s">
        <v>713</v>
      </c>
      <c r="K66" t="s">
        <v>713</v>
      </c>
      <c r="L66" t="s">
        <v>713</v>
      </c>
      <c r="M66" t="s">
        <v>713</v>
      </c>
    </row>
    <row r="67" spans="1:16">
      <c r="A67" s="746" t="s">
        <v>224</v>
      </c>
      <c r="B67" s="748">
        <v>20563</v>
      </c>
      <c r="C67" s="23">
        <v>24191</v>
      </c>
      <c r="D67" s="23">
        <v>23079</v>
      </c>
      <c r="E67" s="23">
        <v>22767</v>
      </c>
      <c r="F67" s="23">
        <v>26289</v>
      </c>
      <c r="G67" s="23">
        <v>32329</v>
      </c>
      <c r="H67" s="23">
        <v>34039</v>
      </c>
      <c r="I67" s="23">
        <v>35357</v>
      </c>
      <c r="J67" s="23">
        <v>32683</v>
      </c>
      <c r="K67" s="23">
        <v>14587</v>
      </c>
      <c r="L67" s="23">
        <v>9674</v>
      </c>
      <c r="M67" s="23">
        <v>6105</v>
      </c>
      <c r="N67" s="23">
        <v>6304</v>
      </c>
      <c r="O67" s="23">
        <v>13016</v>
      </c>
      <c r="P67" s="23">
        <v>17951</v>
      </c>
    </row>
    <row r="68" spans="1:16">
      <c r="A68" s="746" t="s">
        <v>714</v>
      </c>
      <c r="B68" s="746">
        <v>39.01</v>
      </c>
      <c r="C68">
        <v>43.3</v>
      </c>
      <c r="D68">
        <v>41.69</v>
      </c>
      <c r="E68">
        <v>38.340000000000003</v>
      </c>
      <c r="F68">
        <v>41.89</v>
      </c>
      <c r="G68">
        <v>45.63</v>
      </c>
      <c r="H68">
        <v>50.13</v>
      </c>
      <c r="I68">
        <v>48.5</v>
      </c>
      <c r="J68">
        <v>43.74</v>
      </c>
      <c r="K68">
        <v>23.13</v>
      </c>
      <c r="L68">
        <v>17.84</v>
      </c>
      <c r="M68">
        <v>11.5</v>
      </c>
      <c r="N68">
        <v>11.87</v>
      </c>
      <c r="O68">
        <v>24.33</v>
      </c>
      <c r="P68">
        <v>31.33</v>
      </c>
    </row>
    <row r="69" spans="1:16">
      <c r="A69" s="746" t="s">
        <v>715</v>
      </c>
      <c r="B69" s="748">
        <v>13773</v>
      </c>
      <c r="C69" s="23">
        <v>16811</v>
      </c>
      <c r="D69" s="23">
        <v>15258</v>
      </c>
      <c r="E69" s="23">
        <v>16501</v>
      </c>
      <c r="F69" s="23">
        <v>19537</v>
      </c>
      <c r="G69" s="23">
        <v>24809</v>
      </c>
      <c r="H69" s="23">
        <v>24835</v>
      </c>
      <c r="I69" s="23">
        <v>24875</v>
      </c>
      <c r="J69" s="23">
        <v>22730</v>
      </c>
      <c r="K69" s="23">
        <v>3459</v>
      </c>
      <c r="L69" s="23">
        <v>1827</v>
      </c>
      <c r="M69" s="23">
        <v>-3846</v>
      </c>
      <c r="N69" s="23">
        <v>-3647</v>
      </c>
    </row>
    <row r="70" spans="1:16">
      <c r="A70" s="746" t="s">
        <v>445</v>
      </c>
      <c r="B70" s="748">
        <v>12531</v>
      </c>
      <c r="C70" s="23">
        <v>15642</v>
      </c>
      <c r="D70" s="23">
        <v>14368</v>
      </c>
      <c r="E70" s="23">
        <v>14977</v>
      </c>
      <c r="F70" s="23">
        <v>18160</v>
      </c>
      <c r="G70" s="23">
        <v>23244</v>
      </c>
      <c r="H70" s="23">
        <v>23028</v>
      </c>
      <c r="I70" s="23">
        <v>22939</v>
      </c>
      <c r="J70" s="23">
        <v>20713</v>
      </c>
      <c r="K70" s="23">
        <v>1374</v>
      </c>
      <c r="L70">
        <v>-122</v>
      </c>
      <c r="M70" s="23">
        <v>-5424</v>
      </c>
      <c r="N70" s="23">
        <v>-5075</v>
      </c>
      <c r="O70" s="23">
        <v>2602</v>
      </c>
      <c r="P70" s="23">
        <v>6346</v>
      </c>
    </row>
    <row r="71" spans="1:16">
      <c r="A71" s="746" t="s">
        <v>716</v>
      </c>
      <c r="B71" s="746">
        <v>59.8</v>
      </c>
      <c r="C71">
        <v>63.74</v>
      </c>
      <c r="D71">
        <v>62.65</v>
      </c>
      <c r="E71">
        <v>61.01</v>
      </c>
      <c r="F71">
        <v>62.3</v>
      </c>
      <c r="G71">
        <v>61.73</v>
      </c>
      <c r="H71">
        <v>56.08</v>
      </c>
      <c r="I71">
        <v>57.73</v>
      </c>
      <c r="J71">
        <v>55.97</v>
      </c>
      <c r="K71">
        <v>42.61</v>
      </c>
      <c r="L71">
        <v>40.04</v>
      </c>
      <c r="M71">
        <v>32.659999999999997</v>
      </c>
      <c r="N71">
        <v>32.659999999999997</v>
      </c>
      <c r="O71">
        <v>37.700000000000003</v>
      </c>
      <c r="P71">
        <v>40.82</v>
      </c>
    </row>
    <row r="72" spans="1:16">
      <c r="A72" s="746" t="s">
        <v>235</v>
      </c>
      <c r="B72" s="746">
        <v>23.77</v>
      </c>
      <c r="C72">
        <v>28</v>
      </c>
      <c r="D72">
        <v>25.96</v>
      </c>
      <c r="E72">
        <v>25.22</v>
      </c>
      <c r="F72">
        <v>28.94</v>
      </c>
      <c r="G72">
        <v>32.81</v>
      </c>
      <c r="H72">
        <v>33.909999999999997</v>
      </c>
      <c r="I72">
        <v>31.47</v>
      </c>
      <c r="J72">
        <v>27.72</v>
      </c>
      <c r="K72">
        <v>2.1800000000000002</v>
      </c>
      <c r="L72">
        <v>-0.23</v>
      </c>
      <c r="M72">
        <v>-10.210000000000001</v>
      </c>
      <c r="N72">
        <v>-9.56</v>
      </c>
      <c r="O72">
        <v>4.8600000000000003</v>
      </c>
      <c r="P72">
        <v>11.07</v>
      </c>
    </row>
    <row r="73" spans="1:16">
      <c r="A73" s="746" t="s">
        <v>206</v>
      </c>
      <c r="B73" s="746">
        <v>18.059999999999999</v>
      </c>
      <c r="C73">
        <v>21.77</v>
      </c>
      <c r="D73">
        <v>20.69</v>
      </c>
      <c r="E73">
        <v>18.77</v>
      </c>
      <c r="F73">
        <v>21.5</v>
      </c>
      <c r="G73">
        <v>29.12</v>
      </c>
      <c r="H73">
        <v>30.43</v>
      </c>
      <c r="I73">
        <v>24.73</v>
      </c>
      <c r="J73">
        <v>25.17</v>
      </c>
      <c r="K73">
        <v>6.12</v>
      </c>
      <c r="L73">
        <v>2.73</v>
      </c>
      <c r="M73">
        <v>-7.04</v>
      </c>
      <c r="N73">
        <v>-23.23</v>
      </c>
      <c r="O73">
        <v>3.93</v>
      </c>
      <c r="P73">
        <v>8.77</v>
      </c>
    </row>
    <row r="74" spans="1:16">
      <c r="A74" s="746" t="s">
        <v>717</v>
      </c>
      <c r="B74" s="749">
        <v>489851.3</v>
      </c>
      <c r="C74" s="687">
        <v>523617.62</v>
      </c>
      <c r="D74" s="687">
        <v>515890.03</v>
      </c>
      <c r="E74" s="687">
        <v>560254.71999999997</v>
      </c>
      <c r="F74" s="687">
        <v>611110.03</v>
      </c>
      <c r="G74" s="687">
        <v>659664.80000000005</v>
      </c>
      <c r="H74" s="687">
        <v>612870.04</v>
      </c>
      <c r="I74" s="687">
        <v>659132.01</v>
      </c>
      <c r="J74" s="687">
        <v>616994.22</v>
      </c>
      <c r="K74" s="687">
        <v>478043.97</v>
      </c>
      <c r="L74" s="687">
        <v>434519.23</v>
      </c>
      <c r="M74" s="687">
        <v>487612.49</v>
      </c>
      <c r="N74" s="687">
        <v>437759.44</v>
      </c>
    </row>
    <row r="75" spans="1:16">
      <c r="A75" s="746" t="s">
        <v>718</v>
      </c>
      <c r="B75" s="746">
        <v>0.9</v>
      </c>
      <c r="C75">
        <v>0.9</v>
      </c>
      <c r="D75">
        <v>0.96</v>
      </c>
      <c r="E75">
        <v>1.04</v>
      </c>
      <c r="F75">
        <v>1.08</v>
      </c>
      <c r="G75">
        <v>1.2</v>
      </c>
      <c r="H75">
        <v>1.26</v>
      </c>
      <c r="I75">
        <v>1.32</v>
      </c>
      <c r="J75">
        <v>1.39</v>
      </c>
      <c r="K75">
        <v>1.46</v>
      </c>
      <c r="L75">
        <v>0.74</v>
      </c>
      <c r="M75">
        <v>0.38</v>
      </c>
      <c r="N75">
        <v>0.38</v>
      </c>
      <c r="O75">
        <v>0.03</v>
      </c>
      <c r="P75">
        <v>0.11</v>
      </c>
    </row>
    <row r="76" spans="1:16">
      <c r="A76" s="746" t="s">
        <v>719</v>
      </c>
      <c r="B76" s="748">
        <v>4479</v>
      </c>
      <c r="C76" s="23">
        <v>4409</v>
      </c>
      <c r="D76" s="23">
        <v>4556</v>
      </c>
      <c r="E76" s="23">
        <v>4925</v>
      </c>
      <c r="F76" s="23">
        <v>5072</v>
      </c>
      <c r="G76" s="23">
        <v>5541</v>
      </c>
      <c r="H76" s="23">
        <v>5578</v>
      </c>
      <c r="I76" s="23">
        <v>5568</v>
      </c>
      <c r="J76" s="23">
        <v>5644</v>
      </c>
      <c r="K76" s="23">
        <v>5997</v>
      </c>
      <c r="L76" s="23">
        <v>3088</v>
      </c>
      <c r="M76" s="23">
        <v>1599</v>
      </c>
      <c r="N76" s="23">
        <v>1621</v>
      </c>
    </row>
    <row r="77" spans="1:16">
      <c r="A77" s="746" t="s">
        <v>720</v>
      </c>
      <c r="B77" s="746">
        <v>246</v>
      </c>
      <c r="C77">
        <v>276</v>
      </c>
      <c r="D77">
        <v>258</v>
      </c>
      <c r="E77">
        <v>135</v>
      </c>
      <c r="F77">
        <v>313</v>
      </c>
      <c r="G77">
        <v>496</v>
      </c>
      <c r="H77">
        <v>472</v>
      </c>
      <c r="I77">
        <v>338</v>
      </c>
      <c r="J77">
        <v>398</v>
      </c>
      <c r="K77">
        <v>785</v>
      </c>
      <c r="L77" s="23">
        <v>1500</v>
      </c>
      <c r="M77" s="23">
        <v>1500</v>
      </c>
      <c r="N77" s="23">
        <v>1529</v>
      </c>
    </row>
    <row r="78" spans="1:16">
      <c r="A78" s="746" t="s">
        <v>463</v>
      </c>
      <c r="B78" s="748">
        <v>6790</v>
      </c>
      <c r="C78" s="23">
        <v>7380</v>
      </c>
      <c r="D78" s="23">
        <v>7821</v>
      </c>
      <c r="E78" s="23">
        <v>6266</v>
      </c>
      <c r="F78" s="23">
        <v>6752</v>
      </c>
      <c r="G78" s="23">
        <v>7520</v>
      </c>
      <c r="H78" s="23">
        <v>9204</v>
      </c>
      <c r="I78" s="23">
        <v>10482</v>
      </c>
      <c r="J78" s="23">
        <v>9953</v>
      </c>
      <c r="K78" s="23">
        <v>11128</v>
      </c>
      <c r="L78" s="23">
        <v>7847</v>
      </c>
      <c r="M78" s="23">
        <v>9951</v>
      </c>
      <c r="N78" s="23">
        <v>9951</v>
      </c>
    </row>
    <row r="79" spans="1:16">
      <c r="A79" s="746" t="s">
        <v>721</v>
      </c>
      <c r="B79" s="746">
        <v>270</v>
      </c>
      <c r="C79">
        <v>257</v>
      </c>
      <c r="D79">
        <v>253</v>
      </c>
      <c r="E79">
        <v>282</v>
      </c>
      <c r="F79">
        <v>264</v>
      </c>
      <c r="G79">
        <v>231</v>
      </c>
      <c r="H79">
        <v>185</v>
      </c>
      <c r="I79">
        <v>416</v>
      </c>
      <c r="J79">
        <v>798</v>
      </c>
      <c r="K79">
        <v>729</v>
      </c>
      <c r="L79">
        <v>407</v>
      </c>
      <c r="M79">
        <v>248</v>
      </c>
    </row>
    <row r="80" spans="1:16" ht="27.95">
      <c r="A80" s="746" t="s">
        <v>722</v>
      </c>
      <c r="B80" s="746" t="s">
        <v>723</v>
      </c>
    </row>
    <row r="82" spans="2:13">
      <c r="B82" t="s">
        <v>724</v>
      </c>
      <c r="C82" s="23"/>
      <c r="D82" s="23"/>
      <c r="E82" s="23"/>
      <c r="F82" s="23"/>
      <c r="G82" s="23"/>
      <c r="H82" s="23"/>
      <c r="I82" s="23"/>
      <c r="J82" s="23"/>
      <c r="K82" s="23"/>
      <c r="L82" s="23"/>
      <c r="M82" s="2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8947-B353-4AF2-ACAC-BB6E6A66AB84}">
  <dimension ref="A1:L103"/>
  <sheetViews>
    <sheetView workbookViewId="0">
      <selection activeCell="L60" sqref="L60"/>
    </sheetView>
  </sheetViews>
  <sheetFormatPr defaultRowHeight="14.1"/>
  <cols>
    <col min="1" max="1" width="36" bestFit="1" customWidth="1"/>
    <col min="2" max="12" width="10.125" bestFit="1" customWidth="1"/>
  </cols>
  <sheetData>
    <row r="1" spans="1:12">
      <c r="A1" s="746"/>
    </row>
    <row r="2" spans="1:12">
      <c r="A2" s="746" t="s">
        <v>725</v>
      </c>
    </row>
    <row r="3" spans="1:12">
      <c r="A3" s="746"/>
    </row>
    <row r="4" spans="1:12">
      <c r="A4" s="746" t="s">
        <v>640</v>
      </c>
      <c r="B4" t="s">
        <v>642</v>
      </c>
      <c r="C4" t="s">
        <v>643</v>
      </c>
      <c r="D4" t="s">
        <v>644</v>
      </c>
      <c r="E4" t="s">
        <v>645</v>
      </c>
      <c r="F4" t="s">
        <v>646</v>
      </c>
      <c r="G4" t="s">
        <v>647</v>
      </c>
      <c r="H4" t="s">
        <v>648</v>
      </c>
      <c r="I4" t="s">
        <v>649</v>
      </c>
      <c r="J4" t="s">
        <v>650</v>
      </c>
      <c r="K4" t="s">
        <v>651</v>
      </c>
      <c r="L4" t="s">
        <v>652</v>
      </c>
    </row>
    <row r="5" spans="1:12">
      <c r="A5" s="746" t="s">
        <v>656</v>
      </c>
      <c r="B5" s="745">
        <v>42000</v>
      </c>
      <c r="C5" s="745">
        <v>42364</v>
      </c>
      <c r="D5" s="745">
        <v>42735</v>
      </c>
      <c r="E5" s="745">
        <v>43099</v>
      </c>
      <c r="F5" s="745">
        <v>43463</v>
      </c>
      <c r="G5" s="745">
        <v>43827</v>
      </c>
      <c r="H5" s="745">
        <v>44191</v>
      </c>
      <c r="I5" s="745">
        <v>44555</v>
      </c>
      <c r="J5" s="745">
        <v>44926</v>
      </c>
      <c r="K5" s="745">
        <v>45290</v>
      </c>
      <c r="L5" s="745">
        <v>45654</v>
      </c>
    </row>
    <row r="6" spans="1:12">
      <c r="A6" s="746" t="s">
        <v>299</v>
      </c>
    </row>
    <row r="7" spans="1:12">
      <c r="A7" s="746" t="s">
        <v>726</v>
      </c>
      <c r="B7" s="23">
        <v>14054</v>
      </c>
      <c r="C7" s="23">
        <v>25313</v>
      </c>
      <c r="D7" s="23">
        <v>17099</v>
      </c>
      <c r="E7" s="23">
        <v>14002</v>
      </c>
      <c r="F7" s="23">
        <v>11650</v>
      </c>
      <c r="G7" s="23">
        <v>13123</v>
      </c>
      <c r="H7" s="23">
        <v>23895</v>
      </c>
      <c r="I7" s="23">
        <v>28413</v>
      </c>
      <c r="J7" s="23">
        <v>28338</v>
      </c>
      <c r="K7" s="23">
        <v>25034</v>
      </c>
      <c r="L7" s="23">
        <v>22062</v>
      </c>
    </row>
    <row r="8" spans="1:12">
      <c r="A8" s="746" t="s">
        <v>727</v>
      </c>
      <c r="B8" s="23">
        <v>2561</v>
      </c>
      <c r="C8" s="23">
        <v>15308</v>
      </c>
      <c r="D8" s="23">
        <v>5560</v>
      </c>
      <c r="E8" s="23">
        <v>3433</v>
      </c>
      <c r="F8" s="23">
        <v>3019</v>
      </c>
      <c r="G8" s="23">
        <v>4194</v>
      </c>
      <c r="H8" s="23">
        <v>5865</v>
      </c>
      <c r="I8" s="23">
        <v>4827</v>
      </c>
      <c r="J8" s="23">
        <v>11144</v>
      </c>
      <c r="K8" s="23">
        <v>7079</v>
      </c>
      <c r="L8" s="23">
        <v>8249</v>
      </c>
    </row>
    <row r="9" spans="1:12">
      <c r="A9" s="746" t="s">
        <v>728</v>
      </c>
      <c r="B9" s="23">
        <v>11493</v>
      </c>
      <c r="C9" s="23">
        <v>10005</v>
      </c>
      <c r="D9" s="23">
        <v>11539</v>
      </c>
      <c r="E9" s="23">
        <v>10569</v>
      </c>
      <c r="F9" s="23">
        <v>8631</v>
      </c>
      <c r="G9" s="23">
        <v>8929</v>
      </c>
      <c r="H9" s="23">
        <v>18030</v>
      </c>
      <c r="I9" s="23">
        <v>23586</v>
      </c>
      <c r="J9" s="23">
        <v>17194</v>
      </c>
      <c r="K9" s="23">
        <v>17955</v>
      </c>
      <c r="L9" s="23">
        <v>13813</v>
      </c>
    </row>
    <row r="10" spans="1:12">
      <c r="A10" s="746" t="s">
        <v>729</v>
      </c>
      <c r="B10" s="23">
        <v>4427</v>
      </c>
      <c r="C10" s="23">
        <v>4787</v>
      </c>
      <c r="D10" s="23">
        <v>4690</v>
      </c>
      <c r="E10" s="23">
        <v>5607</v>
      </c>
      <c r="F10" s="23">
        <v>6722</v>
      </c>
      <c r="G10" s="23">
        <v>7659</v>
      </c>
      <c r="H10" s="23">
        <v>6782</v>
      </c>
      <c r="I10" s="23">
        <v>9457</v>
      </c>
      <c r="J10" s="23">
        <v>4133</v>
      </c>
      <c r="K10" s="23">
        <v>3402</v>
      </c>
      <c r="L10" s="23">
        <v>3478</v>
      </c>
    </row>
    <row r="11" spans="1:12">
      <c r="A11" s="746" t="s">
        <v>730</v>
      </c>
      <c r="B11" s="23">
        <v>4427</v>
      </c>
      <c r="C11" s="23">
        <v>4787</v>
      </c>
      <c r="D11" s="23">
        <v>4690</v>
      </c>
      <c r="E11" s="23">
        <v>5607</v>
      </c>
      <c r="F11" s="23">
        <v>6722</v>
      </c>
      <c r="G11" s="23">
        <v>7659</v>
      </c>
      <c r="H11" s="23">
        <v>6782</v>
      </c>
      <c r="I11" s="23">
        <v>9457</v>
      </c>
      <c r="J11" s="23">
        <v>4133</v>
      </c>
      <c r="K11" s="23">
        <v>3402</v>
      </c>
      <c r="L11" s="23">
        <v>3478</v>
      </c>
    </row>
    <row r="12" spans="1:12">
      <c r="A12" s="746" t="s">
        <v>731</v>
      </c>
      <c r="B12">
        <v>0</v>
      </c>
      <c r="C12">
        <v>0</v>
      </c>
      <c r="D12">
        <v>0</v>
      </c>
      <c r="E12">
        <v>0</v>
      </c>
      <c r="F12">
        <v>0</v>
      </c>
      <c r="G12">
        <v>0</v>
      </c>
      <c r="H12">
        <v>0</v>
      </c>
      <c r="I12">
        <v>0</v>
      </c>
      <c r="J12">
        <v>0</v>
      </c>
      <c r="K12">
        <v>0</v>
      </c>
      <c r="L12">
        <v>0</v>
      </c>
    </row>
    <row r="13" spans="1:12">
      <c r="A13" s="746" t="s">
        <v>732</v>
      </c>
      <c r="B13" s="23">
        <v>4273</v>
      </c>
      <c r="C13" s="23">
        <v>5167</v>
      </c>
      <c r="D13" s="23">
        <v>5553</v>
      </c>
      <c r="E13" s="23">
        <v>6983</v>
      </c>
      <c r="F13" s="23">
        <v>7253</v>
      </c>
      <c r="G13" s="23">
        <v>8744</v>
      </c>
      <c r="H13" s="23">
        <v>8427</v>
      </c>
      <c r="I13" s="23">
        <v>10776</v>
      </c>
      <c r="J13" s="23">
        <v>13224</v>
      </c>
      <c r="K13" s="23">
        <v>11127</v>
      </c>
      <c r="L13" s="23">
        <v>12198</v>
      </c>
    </row>
    <row r="14" spans="1:12">
      <c r="A14" s="746" t="s">
        <v>733</v>
      </c>
      <c r="B14">
        <v>462</v>
      </c>
      <c r="C14">
        <v>532</v>
      </c>
      <c r="D14">
        <v>695</v>
      </c>
      <c r="E14">
        <v>738</v>
      </c>
      <c r="F14">
        <v>813</v>
      </c>
      <c r="G14">
        <v>840</v>
      </c>
      <c r="H14">
        <v>908</v>
      </c>
      <c r="I14" s="23">
        <v>1441</v>
      </c>
      <c r="J14" s="23">
        <v>1517</v>
      </c>
      <c r="K14" s="23">
        <v>1166</v>
      </c>
      <c r="L14" s="23">
        <v>1344</v>
      </c>
    </row>
    <row r="15" spans="1:12">
      <c r="A15" s="746" t="s">
        <v>734</v>
      </c>
      <c r="B15" s="23">
        <v>2375</v>
      </c>
      <c r="C15" s="23">
        <v>2893</v>
      </c>
      <c r="D15" s="23">
        <v>3190</v>
      </c>
      <c r="E15" s="23">
        <v>4213</v>
      </c>
      <c r="F15" s="23">
        <v>4511</v>
      </c>
      <c r="G15" s="23">
        <v>6225</v>
      </c>
      <c r="H15" s="23">
        <v>5693</v>
      </c>
      <c r="I15" s="23">
        <v>6656</v>
      </c>
      <c r="J15" s="23">
        <v>7565</v>
      </c>
      <c r="K15" s="23">
        <v>6203</v>
      </c>
      <c r="L15" s="23">
        <v>7432</v>
      </c>
    </row>
    <row r="16" spans="1:12">
      <c r="A16" s="746" t="s">
        <v>735</v>
      </c>
      <c r="B16" s="23">
        <v>1436</v>
      </c>
      <c r="C16" s="23">
        <v>1742</v>
      </c>
      <c r="D16" s="23">
        <v>1668</v>
      </c>
      <c r="E16" s="23">
        <v>2032</v>
      </c>
      <c r="F16" s="23">
        <v>1929</v>
      </c>
      <c r="G16" s="23">
        <v>1679</v>
      </c>
      <c r="H16" s="23">
        <v>1826</v>
      </c>
      <c r="I16" s="23">
        <v>2679</v>
      </c>
      <c r="J16" s="23">
        <v>4142</v>
      </c>
      <c r="K16" s="23">
        <v>3758</v>
      </c>
      <c r="L16" s="23">
        <v>3422</v>
      </c>
    </row>
    <row r="17" spans="1:12">
      <c r="A17" s="746" t="s">
        <v>736</v>
      </c>
      <c r="B17">
        <v>0</v>
      </c>
      <c r="C17">
        <v>0</v>
      </c>
      <c r="D17">
        <v>0</v>
      </c>
      <c r="E17">
        <v>0</v>
      </c>
      <c r="F17">
        <v>0</v>
      </c>
      <c r="G17">
        <v>0</v>
      </c>
      <c r="H17">
        <v>0</v>
      </c>
      <c r="I17">
        <v>0</v>
      </c>
      <c r="J17">
        <v>0</v>
      </c>
      <c r="K17">
        <v>0</v>
      </c>
      <c r="L17">
        <v>0</v>
      </c>
    </row>
    <row r="18" spans="1:12">
      <c r="A18" s="746" t="s">
        <v>737</v>
      </c>
      <c r="B18" s="23">
        <v>4976</v>
      </c>
      <c r="C18" s="23">
        <v>5089</v>
      </c>
      <c r="D18" s="23">
        <v>8166</v>
      </c>
      <c r="E18" s="23">
        <v>2908</v>
      </c>
      <c r="F18" s="23">
        <v>3162</v>
      </c>
      <c r="G18" s="23">
        <v>1713</v>
      </c>
      <c r="H18" s="23">
        <v>8145</v>
      </c>
      <c r="I18" s="23">
        <v>9072</v>
      </c>
      <c r="J18" s="23">
        <v>4712</v>
      </c>
      <c r="K18" s="23">
        <v>3706</v>
      </c>
      <c r="L18" s="23">
        <v>9586</v>
      </c>
    </row>
    <row r="19" spans="1:12">
      <c r="A19" s="746" t="s">
        <v>738</v>
      </c>
      <c r="B19">
        <v>354</v>
      </c>
      <c r="C19">
        <v>445</v>
      </c>
      <c r="D19">
        <v>382</v>
      </c>
      <c r="E19">
        <v>279</v>
      </c>
      <c r="F19">
        <v>180</v>
      </c>
      <c r="G19">
        <v>280</v>
      </c>
      <c r="H19">
        <v>692</v>
      </c>
      <c r="I19">
        <v>656</v>
      </c>
      <c r="J19" s="23">
        <v>1264</v>
      </c>
      <c r="K19" s="23">
        <v>1175</v>
      </c>
      <c r="L19" s="23">
        <v>1081</v>
      </c>
    </row>
    <row r="20" spans="1:12">
      <c r="A20" s="746" t="s">
        <v>739</v>
      </c>
      <c r="B20" t="s">
        <v>671</v>
      </c>
      <c r="C20" t="s">
        <v>671</v>
      </c>
      <c r="D20" s="23">
        <v>5210</v>
      </c>
      <c r="E20" t="s">
        <v>671</v>
      </c>
      <c r="F20" t="s">
        <v>671</v>
      </c>
      <c r="G20">
        <v>0</v>
      </c>
      <c r="H20" s="23">
        <v>5400</v>
      </c>
      <c r="I20" s="23">
        <v>6942</v>
      </c>
      <c r="J20">
        <v>0</v>
      </c>
      <c r="K20" t="s">
        <v>671</v>
      </c>
      <c r="L20" t="s">
        <v>671</v>
      </c>
    </row>
    <row r="21" spans="1:12">
      <c r="A21" s="746" t="s">
        <v>740</v>
      </c>
      <c r="B21" s="23">
        <v>1958</v>
      </c>
      <c r="C21" s="23">
        <v>2036</v>
      </c>
      <c r="D21">
        <v>907</v>
      </c>
      <c r="E21">
        <v>840</v>
      </c>
      <c r="F21" s="23">
        <v>1122</v>
      </c>
      <c r="G21" s="23">
        <v>1209</v>
      </c>
      <c r="H21" s="23">
        <v>1232</v>
      </c>
      <c r="I21">
        <v>874</v>
      </c>
      <c r="J21" t="s">
        <v>671</v>
      </c>
      <c r="K21" t="s">
        <v>671</v>
      </c>
      <c r="L21" t="s">
        <v>671</v>
      </c>
    </row>
    <row r="22" spans="1:12">
      <c r="A22" s="746" t="s">
        <v>741</v>
      </c>
      <c r="B22" s="23">
        <v>2664</v>
      </c>
      <c r="C22" s="23">
        <v>2608</v>
      </c>
      <c r="D22" s="23">
        <v>1667</v>
      </c>
      <c r="E22" s="23">
        <v>1789</v>
      </c>
      <c r="F22" s="23">
        <v>1860</v>
      </c>
      <c r="G22">
        <v>224</v>
      </c>
      <c r="H22">
        <v>821</v>
      </c>
      <c r="I22">
        <v>600</v>
      </c>
      <c r="J22" s="23">
        <v>3448</v>
      </c>
      <c r="K22" s="23">
        <v>2531</v>
      </c>
      <c r="L22" s="23">
        <v>8505</v>
      </c>
    </row>
    <row r="23" spans="1:12">
      <c r="A23" s="746" t="s">
        <v>742</v>
      </c>
      <c r="B23" s="23">
        <v>27730</v>
      </c>
      <c r="C23" s="23">
        <v>40356</v>
      </c>
      <c r="D23" s="23">
        <v>35508</v>
      </c>
      <c r="E23" s="23">
        <v>29500</v>
      </c>
      <c r="F23" s="23">
        <v>28787</v>
      </c>
      <c r="G23" s="23">
        <v>31239</v>
      </c>
      <c r="H23" s="23">
        <v>47249</v>
      </c>
      <c r="I23" s="23">
        <v>57718</v>
      </c>
      <c r="J23" s="23">
        <v>50407</v>
      </c>
      <c r="K23" s="23">
        <v>43269</v>
      </c>
      <c r="L23" s="23">
        <v>47324</v>
      </c>
    </row>
    <row r="24" spans="1:12">
      <c r="A24" s="746" t="s">
        <v>743</v>
      </c>
      <c r="B24" s="23">
        <v>33238</v>
      </c>
      <c r="C24" s="23">
        <v>31858</v>
      </c>
      <c r="D24" s="23">
        <v>36171</v>
      </c>
      <c r="E24" s="23">
        <v>41109</v>
      </c>
      <c r="F24" s="23">
        <v>48976</v>
      </c>
      <c r="G24" s="23">
        <v>56014</v>
      </c>
      <c r="H24" s="23">
        <v>57188</v>
      </c>
      <c r="I24" s="23">
        <v>63794</v>
      </c>
      <c r="J24" s="23">
        <v>81347</v>
      </c>
      <c r="K24" s="23">
        <v>97152</v>
      </c>
      <c r="L24" s="23">
        <v>108376</v>
      </c>
    </row>
    <row r="25" spans="1:12">
      <c r="A25" s="746" t="s">
        <v>744</v>
      </c>
      <c r="B25" s="23">
        <v>79709</v>
      </c>
      <c r="C25" s="23">
        <v>83396</v>
      </c>
      <c r="D25" s="23">
        <v>90105</v>
      </c>
      <c r="E25" s="23">
        <v>100395</v>
      </c>
      <c r="F25" s="23">
        <v>114318</v>
      </c>
      <c r="G25" s="23">
        <v>129335</v>
      </c>
      <c r="H25" s="23">
        <v>134833</v>
      </c>
      <c r="I25" s="23">
        <v>149088</v>
      </c>
      <c r="J25" s="23">
        <v>174733</v>
      </c>
      <c r="K25" s="23">
        <v>195162</v>
      </c>
      <c r="L25" s="23">
        <v>210569</v>
      </c>
    </row>
    <row r="26" spans="1:12">
      <c r="A26" s="746" t="s">
        <v>745</v>
      </c>
      <c r="B26" s="23">
        <v>46471</v>
      </c>
      <c r="C26" s="23">
        <v>51538</v>
      </c>
      <c r="D26" s="23">
        <v>53934</v>
      </c>
      <c r="E26" s="23">
        <v>59286</v>
      </c>
      <c r="F26" s="23">
        <v>65342</v>
      </c>
      <c r="G26" s="23">
        <v>73321</v>
      </c>
      <c r="H26" s="23">
        <v>77645</v>
      </c>
      <c r="I26" s="23">
        <v>85294</v>
      </c>
      <c r="J26" s="23">
        <v>93386</v>
      </c>
      <c r="K26" s="23">
        <v>98010</v>
      </c>
      <c r="L26" s="23">
        <v>102193</v>
      </c>
    </row>
    <row r="27" spans="1:12">
      <c r="A27" s="746" t="s">
        <v>746</v>
      </c>
      <c r="B27" s="23">
        <v>7986</v>
      </c>
      <c r="C27" s="23">
        <v>7851</v>
      </c>
      <c r="D27" s="23">
        <v>9804</v>
      </c>
      <c r="E27" s="23">
        <v>11377</v>
      </c>
      <c r="F27" s="23">
        <v>8360</v>
      </c>
      <c r="G27" s="23">
        <v>7760</v>
      </c>
      <c r="H27" s="23">
        <v>7326</v>
      </c>
      <c r="I27" s="23">
        <v>7122</v>
      </c>
      <c r="J27" s="23">
        <v>10463</v>
      </c>
      <c r="K27" s="23">
        <v>10454</v>
      </c>
      <c r="L27" s="23">
        <v>9913</v>
      </c>
    </row>
    <row r="28" spans="1:12">
      <c r="A28" s="746" t="s">
        <v>747</v>
      </c>
      <c r="B28">
        <v>577</v>
      </c>
      <c r="C28" s="23">
        <v>1891</v>
      </c>
      <c r="D28" s="23">
        <v>3388</v>
      </c>
      <c r="E28" s="23">
        <v>1938</v>
      </c>
      <c r="F28" s="23">
        <v>1764</v>
      </c>
      <c r="G28" s="23">
        <v>3239</v>
      </c>
      <c r="H28" s="23">
        <v>2174</v>
      </c>
      <c r="I28">
        <v>824</v>
      </c>
      <c r="J28" s="23">
        <v>4551</v>
      </c>
      <c r="K28" s="23">
        <v>4625</v>
      </c>
      <c r="L28" s="23">
        <v>4530</v>
      </c>
    </row>
    <row r="29" spans="1:12">
      <c r="A29" s="746" t="s">
        <v>748</v>
      </c>
      <c r="B29" s="23">
        <v>7097</v>
      </c>
      <c r="C29" s="23">
        <v>5960</v>
      </c>
      <c r="D29" s="23">
        <v>6180</v>
      </c>
      <c r="E29" s="23">
        <v>8579</v>
      </c>
      <c r="F29" s="23">
        <v>6042</v>
      </c>
      <c r="G29" s="23">
        <v>3967</v>
      </c>
      <c r="H29" s="23">
        <v>5152</v>
      </c>
      <c r="I29" s="23">
        <v>6298</v>
      </c>
      <c r="J29" s="23">
        <v>5912</v>
      </c>
      <c r="K29" s="23">
        <v>5829</v>
      </c>
      <c r="L29" s="23">
        <v>5383</v>
      </c>
    </row>
    <row r="30" spans="1:12">
      <c r="A30" s="746" t="s">
        <v>749</v>
      </c>
      <c r="B30">
        <v>312</v>
      </c>
      <c r="C30" t="s">
        <v>671</v>
      </c>
      <c r="D30">
        <v>236</v>
      </c>
      <c r="E30">
        <v>860</v>
      </c>
      <c r="F30">
        <v>554</v>
      </c>
      <c r="G30">
        <v>554</v>
      </c>
      <c r="H30" t="s">
        <v>671</v>
      </c>
      <c r="I30" t="s">
        <v>671</v>
      </c>
      <c r="J30" t="s">
        <v>671</v>
      </c>
      <c r="K30" t="s">
        <v>671</v>
      </c>
      <c r="L30" t="s">
        <v>671</v>
      </c>
    </row>
    <row r="31" spans="1:12">
      <c r="A31" s="746" t="s">
        <v>750</v>
      </c>
      <c r="B31" s="23">
        <v>22946</v>
      </c>
      <c r="C31" s="23">
        <v>23000</v>
      </c>
      <c r="D31" s="23">
        <v>31844</v>
      </c>
      <c r="E31" s="23">
        <v>41263</v>
      </c>
      <c r="F31" s="23">
        <v>41840</v>
      </c>
      <c r="G31" s="23">
        <v>41511</v>
      </c>
      <c r="H31" s="23">
        <v>41328</v>
      </c>
      <c r="I31" s="23">
        <v>39772</v>
      </c>
      <c r="J31" s="23">
        <v>39886</v>
      </c>
      <c r="K31" s="23">
        <v>40697</v>
      </c>
      <c r="L31" s="23">
        <v>30872</v>
      </c>
    </row>
    <row r="32" spans="1:12">
      <c r="A32" s="746" t="s">
        <v>751</v>
      </c>
      <c r="B32" s="23">
        <v>15307</v>
      </c>
      <c r="C32" s="23">
        <v>15265</v>
      </c>
      <c r="D32" s="23">
        <v>23593</v>
      </c>
      <c r="E32" s="23">
        <v>37134</v>
      </c>
      <c r="F32" s="23">
        <v>36349</v>
      </c>
      <c r="G32" s="23">
        <v>37103</v>
      </c>
      <c r="H32" s="23">
        <v>35997</v>
      </c>
      <c r="I32" s="23">
        <v>34233</v>
      </c>
      <c r="J32" s="23">
        <v>33609</v>
      </c>
      <c r="K32" s="23">
        <v>32180</v>
      </c>
      <c r="L32" s="23">
        <v>28384</v>
      </c>
    </row>
    <row r="33" spans="1:12">
      <c r="A33" s="746" t="s">
        <v>752</v>
      </c>
      <c r="B33" s="23">
        <v>10861</v>
      </c>
      <c r="C33" s="23">
        <v>11332</v>
      </c>
      <c r="D33" s="23">
        <v>14099</v>
      </c>
      <c r="E33" s="23">
        <v>24389</v>
      </c>
      <c r="F33" s="23">
        <v>24513</v>
      </c>
      <c r="G33" s="23">
        <v>26276</v>
      </c>
      <c r="H33" s="23">
        <v>26971</v>
      </c>
      <c r="I33" s="23">
        <v>26963</v>
      </c>
      <c r="J33" s="23">
        <v>27591</v>
      </c>
      <c r="K33" s="23">
        <v>27591</v>
      </c>
      <c r="L33" s="23">
        <v>24693</v>
      </c>
    </row>
    <row r="34" spans="1:12">
      <c r="A34" s="746" t="s">
        <v>753</v>
      </c>
      <c r="B34" s="23">
        <v>4446</v>
      </c>
      <c r="C34" s="23">
        <v>3933</v>
      </c>
      <c r="D34" s="23">
        <v>9494</v>
      </c>
      <c r="E34" s="23">
        <v>12745</v>
      </c>
      <c r="F34" s="23">
        <v>11836</v>
      </c>
      <c r="G34" s="23">
        <v>10827</v>
      </c>
      <c r="H34" s="23">
        <v>9026</v>
      </c>
      <c r="I34" s="23">
        <v>7270</v>
      </c>
      <c r="J34" s="23">
        <v>6018</v>
      </c>
      <c r="K34" s="23">
        <v>4589</v>
      </c>
      <c r="L34" s="23">
        <v>3691</v>
      </c>
    </row>
    <row r="35" spans="1:12">
      <c r="A35" s="746" t="s">
        <v>754</v>
      </c>
      <c r="B35">
        <v>636</v>
      </c>
      <c r="C35">
        <v>623</v>
      </c>
      <c r="D35">
        <v>347</v>
      </c>
      <c r="E35">
        <v>714</v>
      </c>
      <c r="F35" s="23">
        <v>1507</v>
      </c>
      <c r="G35" s="23">
        <v>1641</v>
      </c>
      <c r="H35" s="23">
        <v>1502</v>
      </c>
      <c r="I35" t="s">
        <v>671</v>
      </c>
      <c r="J35" t="s">
        <v>671</v>
      </c>
      <c r="K35" t="s">
        <v>671</v>
      </c>
      <c r="L35" t="s">
        <v>671</v>
      </c>
    </row>
    <row r="36" spans="1:12">
      <c r="A36" s="746" t="s">
        <v>740</v>
      </c>
      <c r="B36">
        <v>622</v>
      </c>
      <c r="C36">
        <v>600</v>
      </c>
      <c r="D36">
        <v>907</v>
      </c>
      <c r="E36">
        <v>840</v>
      </c>
      <c r="F36" s="23">
        <v>1122</v>
      </c>
      <c r="G36" s="23">
        <v>1209</v>
      </c>
      <c r="H36" s="23">
        <v>1232</v>
      </c>
      <c r="I36">
        <v>874</v>
      </c>
      <c r="J36" s="23">
        <v>3450</v>
      </c>
      <c r="K36" s="23">
        <v>5459</v>
      </c>
      <c r="L36">
        <v>603</v>
      </c>
    </row>
    <row r="37" spans="1:12">
      <c r="A37" s="746" t="s">
        <v>738</v>
      </c>
      <c r="B37">
        <v>57</v>
      </c>
      <c r="C37">
        <v>40</v>
      </c>
      <c r="D37">
        <v>40</v>
      </c>
      <c r="E37">
        <v>84</v>
      </c>
      <c r="F37">
        <v>100</v>
      </c>
      <c r="G37">
        <v>706</v>
      </c>
      <c r="H37" s="23">
        <v>1550</v>
      </c>
      <c r="I37">
        <v>779</v>
      </c>
      <c r="J37">
        <v>10</v>
      </c>
      <c r="K37">
        <v>21</v>
      </c>
      <c r="L37">
        <v>1</v>
      </c>
    </row>
    <row r="38" spans="1:12">
      <c r="A38" s="746" t="s">
        <v>755</v>
      </c>
      <c r="B38">
        <v>14</v>
      </c>
      <c r="C38">
        <v>15</v>
      </c>
      <c r="D38">
        <v>0</v>
      </c>
      <c r="E38">
        <v>0</v>
      </c>
      <c r="F38" t="s">
        <v>671</v>
      </c>
      <c r="G38" t="s">
        <v>671</v>
      </c>
      <c r="H38" t="s">
        <v>671</v>
      </c>
      <c r="I38" t="s">
        <v>671</v>
      </c>
      <c r="J38" t="s">
        <v>671</v>
      </c>
      <c r="K38" t="s">
        <v>671</v>
      </c>
      <c r="L38" t="s">
        <v>671</v>
      </c>
    </row>
    <row r="39" spans="1:12">
      <c r="A39" s="746" t="s">
        <v>756</v>
      </c>
      <c r="B39" s="23">
        <v>1446</v>
      </c>
      <c r="C39" t="s">
        <v>671</v>
      </c>
      <c r="D39" s="23">
        <v>1328</v>
      </c>
      <c r="E39" s="23">
        <v>1774</v>
      </c>
      <c r="F39" s="23">
        <v>1624</v>
      </c>
      <c r="G39">
        <v>37</v>
      </c>
      <c r="H39">
        <v>18</v>
      </c>
      <c r="I39">
        <v>16</v>
      </c>
      <c r="J39">
        <v>10</v>
      </c>
      <c r="K39">
        <v>5</v>
      </c>
      <c r="L39">
        <v>5</v>
      </c>
    </row>
    <row r="40" spans="1:12">
      <c r="A40" s="746" t="s">
        <v>757</v>
      </c>
      <c r="B40" s="23">
        <v>4864</v>
      </c>
      <c r="C40" s="23">
        <v>6457</v>
      </c>
      <c r="D40" s="23">
        <v>5629</v>
      </c>
      <c r="E40">
        <v>717</v>
      </c>
      <c r="F40" s="23">
        <v>1138</v>
      </c>
      <c r="G40">
        <v>815</v>
      </c>
      <c r="H40" s="23">
        <v>1029</v>
      </c>
      <c r="I40" s="23">
        <v>3870</v>
      </c>
      <c r="J40" s="23">
        <v>2807</v>
      </c>
      <c r="K40" s="23">
        <v>3032</v>
      </c>
      <c r="L40" s="23">
        <v>1879</v>
      </c>
    </row>
    <row r="41" spans="1:12">
      <c r="A41" s="746" t="s">
        <v>758</v>
      </c>
      <c r="B41" s="23">
        <v>64170</v>
      </c>
      <c r="C41" s="23">
        <v>62709</v>
      </c>
      <c r="D41" s="23">
        <v>77819</v>
      </c>
      <c r="E41" s="23">
        <v>93749</v>
      </c>
      <c r="F41" s="23">
        <v>99176</v>
      </c>
      <c r="G41" s="23">
        <v>105285</v>
      </c>
      <c r="H41" s="23">
        <v>105842</v>
      </c>
      <c r="I41" s="23">
        <v>110688</v>
      </c>
      <c r="J41" s="23">
        <v>131696</v>
      </c>
      <c r="K41" s="23">
        <v>148303</v>
      </c>
      <c r="L41" s="23">
        <v>149161</v>
      </c>
    </row>
    <row r="42" spans="1:12">
      <c r="A42" s="746" t="s">
        <v>299</v>
      </c>
      <c r="B42" s="23">
        <v>91900</v>
      </c>
      <c r="C42" s="23">
        <v>103065</v>
      </c>
      <c r="D42" s="23">
        <v>113327</v>
      </c>
      <c r="E42" s="23">
        <v>123249</v>
      </c>
      <c r="F42" s="23">
        <v>127963</v>
      </c>
      <c r="G42" s="23">
        <v>136524</v>
      </c>
      <c r="H42" s="23">
        <v>153091</v>
      </c>
      <c r="I42" s="23">
        <v>168406</v>
      </c>
      <c r="J42" s="23">
        <v>182103</v>
      </c>
      <c r="K42" s="23">
        <v>191572</v>
      </c>
      <c r="L42" s="23">
        <v>196485</v>
      </c>
    </row>
    <row r="43" spans="1:12">
      <c r="A43" s="746"/>
    </row>
    <row r="44" spans="1:12">
      <c r="A44" s="746" t="s">
        <v>759</v>
      </c>
    </row>
    <row r="45" spans="1:12">
      <c r="A45" s="746" t="s">
        <v>760</v>
      </c>
      <c r="B45" s="23">
        <v>11702</v>
      </c>
      <c r="C45" s="23">
        <v>10633</v>
      </c>
      <c r="D45" s="23">
        <v>11659</v>
      </c>
      <c r="E45" s="23">
        <v>13535</v>
      </c>
      <c r="F45" s="23">
        <v>14953</v>
      </c>
      <c r="G45" s="23">
        <v>18152</v>
      </c>
      <c r="H45" s="23">
        <v>21267</v>
      </c>
      <c r="I45" s="23">
        <v>22171</v>
      </c>
      <c r="J45" s="23">
        <v>26930</v>
      </c>
      <c r="K45" s="23">
        <v>24983</v>
      </c>
      <c r="L45" s="23">
        <v>31060</v>
      </c>
    </row>
    <row r="46" spans="1:12">
      <c r="A46" s="746" t="s">
        <v>761</v>
      </c>
      <c r="B46" s="23">
        <v>2748</v>
      </c>
      <c r="C46" s="23">
        <v>2063</v>
      </c>
      <c r="D46" s="23">
        <v>2475</v>
      </c>
      <c r="E46" s="23">
        <v>2928</v>
      </c>
      <c r="F46" s="23">
        <v>3824</v>
      </c>
      <c r="G46" s="23">
        <v>4128</v>
      </c>
      <c r="H46" s="23">
        <v>5581</v>
      </c>
      <c r="I46" s="23">
        <v>5747</v>
      </c>
      <c r="J46" s="23">
        <v>9595</v>
      </c>
      <c r="K46" s="23">
        <v>8578</v>
      </c>
      <c r="L46" s="23">
        <v>12556</v>
      </c>
    </row>
    <row r="47" spans="1:12">
      <c r="A47" s="746" t="s">
        <v>762</v>
      </c>
      <c r="B47">
        <v>0</v>
      </c>
      <c r="C47">
        <v>0</v>
      </c>
      <c r="D47">
        <v>0</v>
      </c>
      <c r="E47">
        <v>0</v>
      </c>
      <c r="F47">
        <v>0</v>
      </c>
      <c r="G47" t="s">
        <v>671</v>
      </c>
      <c r="H47" t="s">
        <v>671</v>
      </c>
      <c r="I47" s="23">
        <v>1076</v>
      </c>
      <c r="J47" s="23">
        <v>2251</v>
      </c>
      <c r="K47" s="23">
        <v>1107</v>
      </c>
      <c r="L47" s="23">
        <v>1756</v>
      </c>
    </row>
    <row r="48" spans="1:12">
      <c r="A48" s="746" t="s">
        <v>763</v>
      </c>
      <c r="B48">
        <v>0</v>
      </c>
      <c r="C48">
        <v>0</v>
      </c>
      <c r="D48">
        <v>0</v>
      </c>
      <c r="E48">
        <v>0</v>
      </c>
      <c r="F48">
        <v>0</v>
      </c>
      <c r="G48" t="s">
        <v>671</v>
      </c>
      <c r="H48" t="s">
        <v>671</v>
      </c>
      <c r="I48" t="s">
        <v>671</v>
      </c>
      <c r="J48" t="s">
        <v>671</v>
      </c>
      <c r="K48" t="s">
        <v>671</v>
      </c>
      <c r="L48" t="s">
        <v>671</v>
      </c>
    </row>
    <row r="49" spans="1:12">
      <c r="A49" s="746" t="s">
        <v>764</v>
      </c>
      <c r="B49" s="23">
        <v>8954</v>
      </c>
      <c r="C49" s="23">
        <v>8570</v>
      </c>
      <c r="D49" s="23">
        <v>9184</v>
      </c>
      <c r="E49" s="23">
        <v>10607</v>
      </c>
      <c r="F49" s="23">
        <v>11129</v>
      </c>
      <c r="G49" s="23">
        <v>14024</v>
      </c>
      <c r="H49" s="23">
        <v>15686</v>
      </c>
      <c r="I49" s="23">
        <v>15348</v>
      </c>
      <c r="J49" s="23">
        <v>15084</v>
      </c>
      <c r="K49" s="23">
        <v>15298</v>
      </c>
      <c r="L49" s="23">
        <v>16748</v>
      </c>
    </row>
    <row r="50" spans="1:12">
      <c r="A50" s="746" t="s">
        <v>765</v>
      </c>
      <c r="B50" s="23">
        <v>1596</v>
      </c>
      <c r="C50" s="23">
        <v>2634</v>
      </c>
      <c r="D50" s="23">
        <v>4634</v>
      </c>
      <c r="E50" s="23">
        <v>1776</v>
      </c>
      <c r="F50" s="23">
        <v>1261</v>
      </c>
      <c r="G50" s="23">
        <v>3868</v>
      </c>
      <c r="H50" s="23">
        <v>2677</v>
      </c>
      <c r="I50" s="23">
        <v>4771</v>
      </c>
      <c r="J50" s="23">
        <v>4540</v>
      </c>
      <c r="K50" s="23">
        <v>2430</v>
      </c>
      <c r="L50" s="23">
        <v>3910</v>
      </c>
    </row>
    <row r="51" spans="1:12">
      <c r="A51" s="746" t="s">
        <v>766</v>
      </c>
      <c r="B51">
        <v>508</v>
      </c>
      <c r="C51">
        <v>32</v>
      </c>
      <c r="D51">
        <v>16</v>
      </c>
      <c r="E51">
        <v>37</v>
      </c>
      <c r="F51">
        <v>500</v>
      </c>
      <c r="G51">
        <v>0</v>
      </c>
      <c r="H51">
        <v>0</v>
      </c>
      <c r="I51">
        <v>0</v>
      </c>
      <c r="J51" s="23">
        <v>3944</v>
      </c>
      <c r="K51">
        <v>0</v>
      </c>
      <c r="L51">
        <v>0</v>
      </c>
    </row>
    <row r="52" spans="1:12">
      <c r="A52" s="746" t="s">
        <v>767</v>
      </c>
      <c r="B52">
        <v>0</v>
      </c>
      <c r="C52">
        <v>0</v>
      </c>
      <c r="D52">
        <v>0</v>
      </c>
      <c r="E52">
        <v>0</v>
      </c>
      <c r="F52" t="s">
        <v>671</v>
      </c>
      <c r="G52">
        <v>175</v>
      </c>
      <c r="H52">
        <v>173</v>
      </c>
      <c r="I52">
        <v>180</v>
      </c>
      <c r="J52">
        <v>173</v>
      </c>
      <c r="K52">
        <v>142</v>
      </c>
      <c r="L52">
        <v>181</v>
      </c>
    </row>
    <row r="53" spans="1:12">
      <c r="A53" s="746" t="s">
        <v>768</v>
      </c>
      <c r="B53">
        <v>0</v>
      </c>
      <c r="C53">
        <v>0</v>
      </c>
      <c r="D53">
        <v>0</v>
      </c>
      <c r="E53">
        <v>0</v>
      </c>
      <c r="F53" t="s">
        <v>671</v>
      </c>
      <c r="G53" t="s">
        <v>671</v>
      </c>
      <c r="H53" t="s">
        <v>671</v>
      </c>
      <c r="I53" t="s">
        <v>671</v>
      </c>
      <c r="J53" t="s">
        <v>671</v>
      </c>
      <c r="K53" t="s">
        <v>671</v>
      </c>
      <c r="L53" t="s">
        <v>671</v>
      </c>
    </row>
    <row r="54" spans="1:12">
      <c r="A54" s="746" t="s">
        <v>769</v>
      </c>
      <c r="B54" t="s">
        <v>671</v>
      </c>
      <c r="C54" t="s">
        <v>671</v>
      </c>
      <c r="D54" t="s">
        <v>671</v>
      </c>
      <c r="E54" t="s">
        <v>671</v>
      </c>
      <c r="F54" t="s">
        <v>671</v>
      </c>
      <c r="G54">
        <v>175</v>
      </c>
      <c r="H54">
        <v>173</v>
      </c>
      <c r="I54">
        <v>180</v>
      </c>
      <c r="J54">
        <v>173</v>
      </c>
      <c r="K54">
        <v>142</v>
      </c>
      <c r="L54">
        <v>181</v>
      </c>
    </row>
    <row r="55" spans="1:12">
      <c r="A55" s="746" t="s">
        <v>770</v>
      </c>
      <c r="B55" s="23">
        <v>1088</v>
      </c>
      <c r="C55" s="23">
        <v>2602</v>
      </c>
      <c r="D55" s="23">
        <v>4618</v>
      </c>
      <c r="E55" s="23">
        <v>1739</v>
      </c>
      <c r="F55">
        <v>761</v>
      </c>
      <c r="G55" s="23">
        <v>3693</v>
      </c>
      <c r="H55" s="23">
        <v>2504</v>
      </c>
      <c r="I55" s="23">
        <v>4591</v>
      </c>
      <c r="J55">
        <v>423</v>
      </c>
      <c r="K55" s="23">
        <v>2288</v>
      </c>
      <c r="L55" s="23">
        <v>3729</v>
      </c>
    </row>
    <row r="56" spans="1:12">
      <c r="A56" s="746" t="s">
        <v>771</v>
      </c>
      <c r="B56" s="23">
        <v>2713</v>
      </c>
      <c r="C56" s="23">
        <v>2400</v>
      </c>
      <c r="D56" s="23">
        <v>4009</v>
      </c>
      <c r="E56" s="23">
        <v>2110</v>
      </c>
      <c r="F56">
        <v>412</v>
      </c>
      <c r="G56">
        <v>290</v>
      </c>
      <c r="H56">
        <v>810</v>
      </c>
      <c r="I56">
        <v>520</v>
      </c>
      <c r="J56">
        <v>685</v>
      </c>
      <c r="K56">
        <v>640</v>
      </c>
      <c r="L56">
        <v>696</v>
      </c>
    </row>
    <row r="57" spans="1:12">
      <c r="A57" s="746" t="s">
        <v>772</v>
      </c>
      <c r="B57" s="23">
        <v>2205</v>
      </c>
      <c r="C57" s="23">
        <v>2188</v>
      </c>
      <c r="D57" s="23">
        <v>1718</v>
      </c>
      <c r="E57" s="23">
        <v>1656</v>
      </c>
      <c r="F57">
        <v>0</v>
      </c>
      <c r="G57">
        <v>0</v>
      </c>
      <c r="H57">
        <v>0</v>
      </c>
      <c r="I57">
        <v>0</v>
      </c>
      <c r="J57">
        <v>0</v>
      </c>
      <c r="K57">
        <v>0</v>
      </c>
      <c r="L57">
        <v>0</v>
      </c>
    </row>
    <row r="58" spans="1:12">
      <c r="A58" s="746" t="s">
        <v>773</v>
      </c>
      <c r="B58">
        <v>508</v>
      </c>
      <c r="C58">
        <v>212</v>
      </c>
      <c r="D58">
        <v>371</v>
      </c>
      <c r="E58">
        <v>454</v>
      </c>
      <c r="F58">
        <v>412</v>
      </c>
      <c r="G58">
        <v>290</v>
      </c>
      <c r="H58">
        <v>810</v>
      </c>
      <c r="I58">
        <v>520</v>
      </c>
      <c r="J58">
        <v>685</v>
      </c>
      <c r="K58">
        <v>640</v>
      </c>
      <c r="L58">
        <v>696</v>
      </c>
    </row>
    <row r="59" spans="1:12">
      <c r="A59" s="746" t="s">
        <v>774</v>
      </c>
      <c r="B59">
        <v>0</v>
      </c>
      <c r="C59">
        <v>0</v>
      </c>
      <c r="D59" s="23">
        <v>1920</v>
      </c>
      <c r="E59">
        <v>0</v>
      </c>
      <c r="F59">
        <v>0</v>
      </c>
      <c r="G59">
        <v>0</v>
      </c>
      <c r="H59">
        <v>0</v>
      </c>
      <c r="I59">
        <v>0</v>
      </c>
      <c r="J59">
        <v>0</v>
      </c>
      <c r="K59">
        <v>0</v>
      </c>
      <c r="L59">
        <v>0</v>
      </c>
    </row>
    <row r="60" spans="1:12">
      <c r="A60" s="746" t="s">
        <v>775</v>
      </c>
      <c r="B60" s="23">
        <v>16011</v>
      </c>
      <c r="C60" s="23">
        <v>15667</v>
      </c>
      <c r="D60" s="23">
        <v>20302</v>
      </c>
      <c r="E60" s="23">
        <v>17421</v>
      </c>
      <c r="F60" s="23">
        <v>16626</v>
      </c>
      <c r="G60" s="23">
        <v>22310</v>
      </c>
      <c r="H60" s="23">
        <v>24754</v>
      </c>
      <c r="I60" s="23">
        <v>27462</v>
      </c>
      <c r="J60" s="23">
        <v>32155</v>
      </c>
      <c r="K60" s="23">
        <v>28053</v>
      </c>
      <c r="L60" s="23">
        <v>35666</v>
      </c>
    </row>
    <row r="61" spans="1:12">
      <c r="A61" s="746" t="s">
        <v>776</v>
      </c>
      <c r="B61" s="23">
        <v>12059</v>
      </c>
      <c r="C61" s="23">
        <v>20036</v>
      </c>
      <c r="D61" s="23">
        <v>20649</v>
      </c>
      <c r="E61" s="23">
        <v>25037</v>
      </c>
      <c r="F61" s="23">
        <v>25098</v>
      </c>
      <c r="G61" s="23">
        <v>25683</v>
      </c>
      <c r="H61" s="23">
        <v>34251</v>
      </c>
      <c r="I61" s="23">
        <v>33805</v>
      </c>
      <c r="J61" s="23">
        <v>37920</v>
      </c>
      <c r="K61" s="23">
        <v>47267</v>
      </c>
      <c r="L61" s="23">
        <v>46561</v>
      </c>
    </row>
    <row r="62" spans="1:12">
      <c r="A62" s="746" t="s">
        <v>777</v>
      </c>
      <c r="B62" s="23">
        <v>12059</v>
      </c>
      <c r="C62" s="23">
        <v>20036</v>
      </c>
      <c r="D62" s="23">
        <v>20649</v>
      </c>
      <c r="E62" s="23">
        <v>25037</v>
      </c>
      <c r="F62" s="23">
        <v>25098</v>
      </c>
      <c r="G62" s="23">
        <v>25308</v>
      </c>
      <c r="H62" s="23">
        <v>33897</v>
      </c>
      <c r="I62" s="23">
        <v>33510</v>
      </c>
      <c r="J62" s="23">
        <v>37684</v>
      </c>
      <c r="K62" s="23">
        <v>46978</v>
      </c>
      <c r="L62" s="23">
        <v>46282</v>
      </c>
    </row>
    <row r="63" spans="1:12">
      <c r="A63" s="746" t="s">
        <v>778</v>
      </c>
      <c r="B63">
        <v>0</v>
      </c>
      <c r="C63">
        <v>0</v>
      </c>
      <c r="D63">
        <v>0</v>
      </c>
      <c r="E63">
        <v>0</v>
      </c>
      <c r="F63" t="s">
        <v>671</v>
      </c>
      <c r="G63">
        <v>375</v>
      </c>
      <c r="H63">
        <v>354</v>
      </c>
      <c r="I63">
        <v>295</v>
      </c>
      <c r="J63">
        <v>236</v>
      </c>
      <c r="K63">
        <v>289</v>
      </c>
      <c r="L63">
        <v>279</v>
      </c>
    </row>
    <row r="64" spans="1:12">
      <c r="A64" s="746" t="s">
        <v>779</v>
      </c>
      <c r="B64">
        <v>0</v>
      </c>
      <c r="C64">
        <v>0</v>
      </c>
      <c r="D64">
        <v>0</v>
      </c>
      <c r="E64">
        <v>0</v>
      </c>
      <c r="F64" t="s">
        <v>671</v>
      </c>
      <c r="G64" t="s">
        <v>671</v>
      </c>
      <c r="H64" t="s">
        <v>671</v>
      </c>
      <c r="I64" t="s">
        <v>671</v>
      </c>
      <c r="J64" t="s">
        <v>671</v>
      </c>
      <c r="K64" t="s">
        <v>671</v>
      </c>
      <c r="L64" t="s">
        <v>671</v>
      </c>
    </row>
    <row r="65" spans="1:12">
      <c r="A65" s="746" t="s">
        <v>780</v>
      </c>
      <c r="B65" t="s">
        <v>671</v>
      </c>
      <c r="C65" t="s">
        <v>671</v>
      </c>
      <c r="D65" t="s">
        <v>671</v>
      </c>
      <c r="E65" t="s">
        <v>671</v>
      </c>
      <c r="F65" t="s">
        <v>671</v>
      </c>
      <c r="G65">
        <v>375</v>
      </c>
      <c r="H65">
        <v>354</v>
      </c>
      <c r="I65">
        <v>295</v>
      </c>
      <c r="J65">
        <v>236</v>
      </c>
      <c r="K65">
        <v>289</v>
      </c>
      <c r="L65">
        <v>279</v>
      </c>
    </row>
    <row r="66" spans="1:12">
      <c r="A66" s="746" t="s">
        <v>781</v>
      </c>
      <c r="B66" s="23">
        <v>7053</v>
      </c>
      <c r="C66" s="23">
        <v>6277</v>
      </c>
      <c r="D66" s="23">
        <v>5268</v>
      </c>
      <c r="E66" s="23">
        <v>10906</v>
      </c>
      <c r="F66" s="23">
        <v>11257</v>
      </c>
      <c r="G66" s="23">
        <v>10872</v>
      </c>
      <c r="H66" s="23">
        <v>13048</v>
      </c>
      <c r="I66" s="23">
        <v>11748</v>
      </c>
      <c r="J66" s="23">
        <v>8742</v>
      </c>
      <c r="K66" s="23">
        <v>6287</v>
      </c>
      <c r="L66" s="23">
        <v>9226</v>
      </c>
    </row>
    <row r="67" spans="1:12">
      <c r="A67" s="746" t="s">
        <v>782</v>
      </c>
      <c r="B67">
        <v>0</v>
      </c>
      <c r="C67">
        <v>0</v>
      </c>
      <c r="D67">
        <v>0</v>
      </c>
      <c r="E67">
        <v>0</v>
      </c>
      <c r="F67">
        <v>0</v>
      </c>
      <c r="G67">
        <v>0</v>
      </c>
      <c r="H67">
        <v>0</v>
      </c>
      <c r="I67">
        <v>0</v>
      </c>
      <c r="J67">
        <v>0</v>
      </c>
      <c r="K67">
        <v>0</v>
      </c>
      <c r="L67">
        <v>0</v>
      </c>
    </row>
    <row r="68" spans="1:12">
      <c r="A68" s="746" t="s">
        <v>783</v>
      </c>
      <c r="B68" s="23">
        <v>1808</v>
      </c>
      <c r="C68" s="23">
        <v>1657</v>
      </c>
      <c r="D68" s="23">
        <v>2119</v>
      </c>
      <c r="E68" s="23">
        <v>1555</v>
      </c>
      <c r="F68" s="23">
        <v>2232</v>
      </c>
      <c r="G68" s="23">
        <v>4284</v>
      </c>
      <c r="H68" s="23">
        <v>4929</v>
      </c>
      <c r="I68" s="23">
        <v>4456</v>
      </c>
      <c r="J68" s="23">
        <v>2705</v>
      </c>
      <c r="K68" s="23">
        <v>2825</v>
      </c>
      <c r="L68" s="23">
        <v>2646</v>
      </c>
    </row>
    <row r="69" spans="1:12">
      <c r="A69" s="746" t="s">
        <v>772</v>
      </c>
      <c r="B69">
        <v>483</v>
      </c>
      <c r="C69">
        <v>530</v>
      </c>
      <c r="D69">
        <v>65</v>
      </c>
      <c r="E69">
        <v>0</v>
      </c>
      <c r="F69" s="23">
        <v>2049</v>
      </c>
      <c r="G69" s="23">
        <v>1368</v>
      </c>
      <c r="H69" s="23">
        <v>1367</v>
      </c>
      <c r="I69">
        <v>185</v>
      </c>
      <c r="J69">
        <v>0</v>
      </c>
      <c r="K69">
        <v>0</v>
      </c>
      <c r="L69">
        <v>0</v>
      </c>
    </row>
    <row r="70" spans="1:12">
      <c r="A70" s="746" t="s">
        <v>784</v>
      </c>
      <c r="B70" s="23">
        <v>3775</v>
      </c>
      <c r="C70" s="23">
        <v>2539</v>
      </c>
      <c r="D70" s="23">
        <v>1730</v>
      </c>
      <c r="E70" s="23">
        <v>3046</v>
      </c>
      <c r="F70" s="23">
        <v>1665</v>
      </c>
      <c r="G70" s="23">
        <v>2044</v>
      </c>
      <c r="H70" s="23">
        <v>3843</v>
      </c>
      <c r="I70" s="23">
        <v>2667</v>
      </c>
      <c r="J70">
        <v>202</v>
      </c>
      <c r="K70">
        <v>186</v>
      </c>
      <c r="L70" s="23">
        <v>1462</v>
      </c>
    </row>
    <row r="71" spans="1:12">
      <c r="A71" s="746" t="s">
        <v>773</v>
      </c>
      <c r="B71">
        <v>17</v>
      </c>
      <c r="C71">
        <v>33</v>
      </c>
      <c r="D71">
        <v>212</v>
      </c>
      <c r="E71">
        <v>303</v>
      </c>
      <c r="F71">
        <v>483</v>
      </c>
      <c r="G71">
        <v>13</v>
      </c>
      <c r="H71">
        <v>5</v>
      </c>
      <c r="I71">
        <v>9</v>
      </c>
      <c r="J71">
        <v>699</v>
      </c>
      <c r="K71">
        <v>479</v>
      </c>
      <c r="L71" s="23">
        <v>1171</v>
      </c>
    </row>
    <row r="72" spans="1:12">
      <c r="A72" s="746" t="s">
        <v>785</v>
      </c>
      <c r="B72">
        <v>970</v>
      </c>
      <c r="C72" s="23">
        <v>1518</v>
      </c>
      <c r="D72" s="23">
        <v>1142</v>
      </c>
      <c r="E72" s="23">
        <v>6002</v>
      </c>
      <c r="F72" s="23">
        <v>4828</v>
      </c>
      <c r="G72" s="23">
        <v>3163</v>
      </c>
      <c r="H72" s="23">
        <v>2904</v>
      </c>
      <c r="I72" s="23">
        <v>4431</v>
      </c>
      <c r="J72" s="23">
        <v>5136</v>
      </c>
      <c r="K72" s="23">
        <v>2797</v>
      </c>
      <c r="L72" s="23">
        <v>3947</v>
      </c>
    </row>
    <row r="73" spans="1:12">
      <c r="A73" s="746" t="s">
        <v>786</v>
      </c>
      <c r="B73" s="23">
        <v>19112</v>
      </c>
      <c r="C73" s="23">
        <v>26313</v>
      </c>
      <c r="D73" s="23">
        <v>25917</v>
      </c>
      <c r="E73" s="23">
        <v>35943</v>
      </c>
      <c r="F73" s="23">
        <v>36355</v>
      </c>
      <c r="G73" s="23">
        <v>36555</v>
      </c>
      <c r="H73" s="23">
        <v>47299</v>
      </c>
      <c r="I73" s="23">
        <v>45553</v>
      </c>
      <c r="J73" s="23">
        <v>46662</v>
      </c>
      <c r="K73" s="23">
        <v>53554</v>
      </c>
      <c r="L73" s="23">
        <v>55787</v>
      </c>
    </row>
    <row r="74" spans="1:12">
      <c r="A74" s="746" t="s">
        <v>443</v>
      </c>
      <c r="B74" s="23">
        <v>35123</v>
      </c>
      <c r="C74" s="23">
        <v>41980</v>
      </c>
      <c r="D74" s="23">
        <v>46219</v>
      </c>
      <c r="E74" s="23">
        <v>53364</v>
      </c>
      <c r="F74" s="23">
        <v>52981</v>
      </c>
      <c r="G74" s="23">
        <v>58865</v>
      </c>
      <c r="H74" s="23">
        <v>72053</v>
      </c>
      <c r="I74" s="23">
        <v>73015</v>
      </c>
      <c r="J74" s="23">
        <v>78817</v>
      </c>
      <c r="K74" s="23">
        <v>81607</v>
      </c>
      <c r="L74" s="23">
        <v>91453</v>
      </c>
    </row>
    <row r="75" spans="1:12">
      <c r="A75" s="746" t="s">
        <v>787</v>
      </c>
      <c r="B75">
        <v>0</v>
      </c>
      <c r="C75">
        <v>0</v>
      </c>
      <c r="D75">
        <v>0</v>
      </c>
      <c r="E75">
        <v>0</v>
      </c>
      <c r="F75">
        <v>0</v>
      </c>
      <c r="G75">
        <v>0</v>
      </c>
      <c r="H75">
        <v>0</v>
      </c>
      <c r="I75">
        <v>0</v>
      </c>
      <c r="J75">
        <v>0</v>
      </c>
      <c r="K75">
        <v>0</v>
      </c>
      <c r="L75">
        <v>0</v>
      </c>
    </row>
    <row r="76" spans="1:12">
      <c r="A76" s="746" t="s">
        <v>788</v>
      </c>
      <c r="B76" s="23">
        <v>21781</v>
      </c>
      <c r="C76" s="23">
        <v>23411</v>
      </c>
      <c r="D76" s="23">
        <v>25373</v>
      </c>
      <c r="E76" s="23">
        <v>26074</v>
      </c>
      <c r="F76" s="23">
        <v>25365</v>
      </c>
      <c r="G76" s="23">
        <v>25261</v>
      </c>
      <c r="H76" s="23">
        <v>25556</v>
      </c>
      <c r="I76" s="23">
        <v>28006</v>
      </c>
      <c r="J76" s="23">
        <v>31580</v>
      </c>
      <c r="K76" s="23">
        <v>36649</v>
      </c>
      <c r="L76" s="23">
        <v>50949</v>
      </c>
    </row>
    <row r="77" spans="1:12">
      <c r="A77" s="746" t="s">
        <v>789</v>
      </c>
      <c r="B77">
        <v>5</v>
      </c>
      <c r="C77">
        <v>5</v>
      </c>
      <c r="D77">
        <v>5</v>
      </c>
      <c r="E77">
        <v>5</v>
      </c>
      <c r="F77">
        <v>5</v>
      </c>
      <c r="G77">
        <v>4</v>
      </c>
      <c r="H77">
        <v>4</v>
      </c>
      <c r="I77">
        <v>4</v>
      </c>
      <c r="J77">
        <v>4</v>
      </c>
      <c r="K77">
        <v>4</v>
      </c>
      <c r="L77">
        <v>4</v>
      </c>
    </row>
    <row r="78" spans="1:12">
      <c r="A78" s="746" t="s">
        <v>790</v>
      </c>
      <c r="B78" s="23">
        <v>21776</v>
      </c>
      <c r="C78" s="23">
        <v>23406</v>
      </c>
      <c r="D78" s="23">
        <v>25368</v>
      </c>
      <c r="E78" s="23">
        <v>26069</v>
      </c>
      <c r="F78" s="23">
        <v>25360</v>
      </c>
      <c r="G78" s="23">
        <v>25257</v>
      </c>
      <c r="H78" s="23">
        <v>25552</v>
      </c>
      <c r="I78" s="23">
        <v>28002</v>
      </c>
      <c r="J78" s="23">
        <v>31576</v>
      </c>
      <c r="K78" s="23">
        <v>36645</v>
      </c>
      <c r="L78" s="23">
        <v>50945</v>
      </c>
    </row>
    <row r="79" spans="1:12">
      <c r="A79" s="746" t="s">
        <v>791</v>
      </c>
      <c r="B79" t="s">
        <v>671</v>
      </c>
      <c r="C79">
        <v>0</v>
      </c>
      <c r="D79">
        <v>0</v>
      </c>
      <c r="E79">
        <v>0</v>
      </c>
      <c r="F79">
        <v>0</v>
      </c>
      <c r="G79">
        <v>0</v>
      </c>
      <c r="H79">
        <v>0</v>
      </c>
      <c r="I79">
        <v>0</v>
      </c>
      <c r="J79">
        <v>0</v>
      </c>
      <c r="K79">
        <v>0</v>
      </c>
      <c r="L79">
        <v>0</v>
      </c>
    </row>
    <row r="80" spans="1:12">
      <c r="A80" s="746" t="s">
        <v>792</v>
      </c>
      <c r="B80" s="23">
        <v>33418</v>
      </c>
      <c r="C80" s="23">
        <v>37614</v>
      </c>
      <c r="D80" s="23">
        <v>40747</v>
      </c>
      <c r="E80" s="23">
        <v>42083</v>
      </c>
      <c r="F80" s="23">
        <v>50172</v>
      </c>
      <c r="G80" s="23">
        <v>53523</v>
      </c>
      <c r="H80" s="23">
        <v>56233</v>
      </c>
      <c r="I80" s="23">
        <v>68265</v>
      </c>
      <c r="J80" s="23">
        <v>70405</v>
      </c>
      <c r="K80" s="23">
        <v>69156</v>
      </c>
      <c r="L80" s="23">
        <v>49032</v>
      </c>
    </row>
    <row r="81" spans="1:12">
      <c r="A81" s="746" t="s">
        <v>793</v>
      </c>
      <c r="B81" s="23">
        <v>1578</v>
      </c>
      <c r="C81">
        <v>60</v>
      </c>
      <c r="D81">
        <v>988</v>
      </c>
      <c r="E81" s="23">
        <v>1728</v>
      </c>
      <c r="F81">
        <v>-555</v>
      </c>
      <c r="G81" s="23">
        <v>-1125</v>
      </c>
      <c r="H81">
        <v>-751</v>
      </c>
      <c r="I81">
        <v>-880</v>
      </c>
      <c r="J81">
        <v>-562</v>
      </c>
      <c r="K81">
        <v>-215</v>
      </c>
      <c r="L81">
        <v>-711</v>
      </c>
    </row>
    <row r="82" spans="1:12">
      <c r="A82" s="746" t="s">
        <v>794</v>
      </c>
      <c r="B82" s="23">
        <v>56777</v>
      </c>
      <c r="C82" s="23">
        <v>61085</v>
      </c>
      <c r="D82" s="23">
        <v>67108</v>
      </c>
      <c r="E82" s="23">
        <v>69885</v>
      </c>
      <c r="F82" s="23">
        <v>74982</v>
      </c>
      <c r="G82" s="23">
        <v>77659</v>
      </c>
      <c r="H82" s="23">
        <v>81038</v>
      </c>
      <c r="I82" s="23">
        <v>95391</v>
      </c>
      <c r="J82" s="23">
        <v>101423</v>
      </c>
      <c r="K82" s="23">
        <v>105590</v>
      </c>
      <c r="L82" s="23">
        <v>99270</v>
      </c>
    </row>
    <row r="83" spans="1:12">
      <c r="A83" s="746" t="s">
        <v>795</v>
      </c>
      <c r="B83">
        <v>0</v>
      </c>
      <c r="C83">
        <v>0</v>
      </c>
      <c r="D83">
        <v>0</v>
      </c>
      <c r="E83">
        <v>0</v>
      </c>
      <c r="F83">
        <v>0</v>
      </c>
      <c r="G83">
        <v>0</v>
      </c>
      <c r="H83">
        <v>0</v>
      </c>
      <c r="I83">
        <v>0</v>
      </c>
      <c r="J83" s="23">
        <v>1863</v>
      </c>
      <c r="K83" s="23">
        <v>4375</v>
      </c>
      <c r="L83" s="23">
        <v>5762</v>
      </c>
    </row>
    <row r="84" spans="1:12">
      <c r="A84" s="746" t="s">
        <v>796</v>
      </c>
      <c r="B84" s="23">
        <v>56777</v>
      </c>
      <c r="C84" s="23">
        <v>61085</v>
      </c>
      <c r="D84" s="23">
        <v>67108</v>
      </c>
      <c r="E84" s="23">
        <v>69885</v>
      </c>
      <c r="F84" s="23">
        <v>74982</v>
      </c>
      <c r="G84" s="23">
        <v>77659</v>
      </c>
      <c r="H84" s="23">
        <v>81038</v>
      </c>
      <c r="I84" s="23">
        <v>95391</v>
      </c>
      <c r="J84" s="23">
        <v>103286</v>
      </c>
      <c r="K84" s="23">
        <v>109965</v>
      </c>
      <c r="L84" s="23">
        <v>105032</v>
      </c>
    </row>
    <row r="85" spans="1:12">
      <c r="A85" s="746" t="s">
        <v>797</v>
      </c>
      <c r="B85" s="23">
        <v>91900</v>
      </c>
      <c r="C85" s="23">
        <v>103065</v>
      </c>
      <c r="D85" s="23">
        <v>113327</v>
      </c>
      <c r="E85" s="23">
        <v>123249</v>
      </c>
      <c r="F85" s="23">
        <v>127963</v>
      </c>
      <c r="G85" s="23">
        <v>136524</v>
      </c>
      <c r="H85" s="23">
        <v>153091</v>
      </c>
      <c r="I85" s="23">
        <v>168406</v>
      </c>
      <c r="J85" s="23">
        <v>182103</v>
      </c>
      <c r="K85" s="23">
        <v>191572</v>
      </c>
      <c r="L85" s="23">
        <v>196485</v>
      </c>
    </row>
    <row r="86" spans="1:12">
      <c r="A86" s="746"/>
    </row>
    <row r="87" spans="1:12">
      <c r="A87" s="746" t="s">
        <v>711</v>
      </c>
    </row>
    <row r="88" spans="1:12">
      <c r="A88" s="746" t="s">
        <v>712</v>
      </c>
      <c r="B88" t="s">
        <v>713</v>
      </c>
      <c r="C88" t="s">
        <v>713</v>
      </c>
      <c r="D88" t="s">
        <v>713</v>
      </c>
      <c r="E88" t="s">
        <v>713</v>
      </c>
      <c r="F88" t="s">
        <v>713</v>
      </c>
      <c r="G88" t="s">
        <v>713</v>
      </c>
      <c r="H88" t="s">
        <v>713</v>
      </c>
      <c r="I88" t="s">
        <v>713</v>
      </c>
      <c r="J88" t="s">
        <v>713</v>
      </c>
      <c r="K88" t="s">
        <v>713</v>
      </c>
      <c r="L88" t="s">
        <v>713</v>
      </c>
    </row>
    <row r="89" spans="1:12">
      <c r="A89" s="746" t="s">
        <v>798</v>
      </c>
      <c r="B89" s="23">
        <v>4748</v>
      </c>
      <c r="C89" s="23">
        <v>4725</v>
      </c>
      <c r="D89" s="23">
        <v>4730</v>
      </c>
      <c r="E89" s="23">
        <v>4687</v>
      </c>
      <c r="F89" s="23">
        <v>4516</v>
      </c>
      <c r="G89" s="23">
        <v>4290</v>
      </c>
      <c r="H89" s="23">
        <v>4062</v>
      </c>
      <c r="I89" s="23">
        <v>4070</v>
      </c>
      <c r="J89" s="23">
        <v>4137</v>
      </c>
      <c r="K89" s="23">
        <v>4228</v>
      </c>
      <c r="L89" s="23">
        <v>4330</v>
      </c>
    </row>
    <row r="90" spans="1:12">
      <c r="A90" s="746" t="s">
        <v>799</v>
      </c>
      <c r="B90">
        <v>4</v>
      </c>
      <c r="C90">
        <v>0</v>
      </c>
      <c r="D90">
        <v>0</v>
      </c>
      <c r="E90">
        <v>0</v>
      </c>
      <c r="F90">
        <v>0</v>
      </c>
      <c r="G90">
        <v>0</v>
      </c>
      <c r="H90">
        <v>0</v>
      </c>
      <c r="I90">
        <v>0</v>
      </c>
      <c r="J90">
        <v>0</v>
      </c>
      <c r="K90">
        <v>0</v>
      </c>
      <c r="L90">
        <v>0</v>
      </c>
    </row>
    <row r="91" spans="1:12">
      <c r="A91" s="746" t="s">
        <v>800</v>
      </c>
      <c r="B91" s="23">
        <v>1808</v>
      </c>
      <c r="C91" s="23">
        <v>1657</v>
      </c>
      <c r="D91" s="23">
        <v>2119</v>
      </c>
      <c r="E91" s="23">
        <v>1555</v>
      </c>
      <c r="F91" s="23">
        <v>2232</v>
      </c>
      <c r="G91" s="23">
        <v>4284</v>
      </c>
      <c r="H91" s="23">
        <v>4929</v>
      </c>
      <c r="I91" s="23">
        <v>4456</v>
      </c>
      <c r="J91" s="23">
        <v>2705</v>
      </c>
      <c r="K91" s="23">
        <v>2825</v>
      </c>
      <c r="L91" s="23">
        <v>2646</v>
      </c>
    </row>
    <row r="92" spans="1:12" ht="27.95">
      <c r="A92" s="746" t="s">
        <v>801</v>
      </c>
      <c r="B92" s="23">
        <v>1070</v>
      </c>
      <c r="C92" s="23">
        <v>1200</v>
      </c>
      <c r="D92" s="23">
        <v>1226</v>
      </c>
      <c r="E92" s="23">
        <v>1245</v>
      </c>
      <c r="F92">
        <v>835</v>
      </c>
      <c r="G92">
        <v>595</v>
      </c>
      <c r="H92">
        <v>559</v>
      </c>
      <c r="I92">
        <v>499</v>
      </c>
      <c r="J92">
        <v>446</v>
      </c>
      <c r="K92">
        <v>499</v>
      </c>
      <c r="L92">
        <v>452</v>
      </c>
    </row>
    <row r="93" spans="1:12">
      <c r="A93" s="746" t="s">
        <v>802</v>
      </c>
      <c r="B93">
        <v>0</v>
      </c>
      <c r="C93">
        <v>0</v>
      </c>
      <c r="D93">
        <v>0</v>
      </c>
      <c r="E93">
        <v>0</v>
      </c>
      <c r="F93" t="s">
        <v>671</v>
      </c>
      <c r="G93" t="s">
        <v>671</v>
      </c>
      <c r="H93" t="s">
        <v>671</v>
      </c>
      <c r="I93" t="s">
        <v>671</v>
      </c>
      <c r="J93" t="s">
        <v>671</v>
      </c>
      <c r="K93" t="s">
        <v>671</v>
      </c>
      <c r="L93" t="s">
        <v>671</v>
      </c>
    </row>
    <row r="94" spans="1:12">
      <c r="A94" s="746" t="s">
        <v>803</v>
      </c>
      <c r="B94">
        <v>1</v>
      </c>
      <c r="C94">
        <v>0</v>
      </c>
      <c r="D94" t="s">
        <v>671</v>
      </c>
      <c r="E94" t="s">
        <v>671</v>
      </c>
      <c r="F94" t="s">
        <v>671</v>
      </c>
      <c r="G94">
        <v>0</v>
      </c>
      <c r="H94">
        <v>0</v>
      </c>
      <c r="I94">
        <v>0</v>
      </c>
      <c r="J94">
        <v>0</v>
      </c>
      <c r="K94">
        <v>0</v>
      </c>
      <c r="L94">
        <v>0</v>
      </c>
    </row>
    <row r="95" spans="1:12">
      <c r="A95" s="746" t="s">
        <v>804</v>
      </c>
      <c r="B95">
        <v>77</v>
      </c>
      <c r="C95">
        <v>54</v>
      </c>
      <c r="D95">
        <v>20</v>
      </c>
      <c r="E95" t="s">
        <v>671</v>
      </c>
      <c r="F95" t="s">
        <v>671</v>
      </c>
      <c r="G95">
        <v>0</v>
      </c>
      <c r="H95">
        <v>0</v>
      </c>
      <c r="I95">
        <v>0</v>
      </c>
      <c r="J95">
        <v>0</v>
      </c>
      <c r="K95">
        <v>0</v>
      </c>
      <c r="L95">
        <v>0</v>
      </c>
    </row>
    <row r="96" spans="1:12">
      <c r="A96" s="746" t="s">
        <v>599</v>
      </c>
      <c r="B96" s="23">
        <v>-7496</v>
      </c>
      <c r="C96" s="23">
        <v>-8603</v>
      </c>
      <c r="D96" s="23">
        <v>2004</v>
      </c>
      <c r="E96" s="23">
        <v>4232</v>
      </c>
      <c r="F96" s="23">
        <v>8667</v>
      </c>
      <c r="G96" s="23">
        <v>12461</v>
      </c>
      <c r="H96" s="23">
        <v>7881</v>
      </c>
      <c r="I96" s="23">
        <v>3865</v>
      </c>
      <c r="J96" s="23">
        <v>8210</v>
      </c>
      <c r="K96" s="23">
        <v>18834</v>
      </c>
      <c r="L96" s="23">
        <v>23026</v>
      </c>
    </row>
    <row r="97" spans="1:12">
      <c r="A97" s="746" t="s">
        <v>805</v>
      </c>
      <c r="B97">
        <v>-13.2</v>
      </c>
      <c r="C97">
        <v>-14.08</v>
      </c>
      <c r="D97">
        <v>2.99</v>
      </c>
      <c r="E97">
        <v>6.06</v>
      </c>
      <c r="F97">
        <v>11.56</v>
      </c>
      <c r="G97">
        <v>16.05</v>
      </c>
      <c r="H97">
        <v>9.73</v>
      </c>
      <c r="I97">
        <v>4.05</v>
      </c>
      <c r="J97">
        <v>7.95</v>
      </c>
      <c r="K97">
        <v>17.13</v>
      </c>
      <c r="L97">
        <v>21.92</v>
      </c>
    </row>
    <row r="98" spans="1:12">
      <c r="A98" s="746" t="s">
        <v>806</v>
      </c>
      <c r="B98">
        <v>54.14</v>
      </c>
      <c r="C98">
        <v>52.19</v>
      </c>
      <c r="D98">
        <v>48.49</v>
      </c>
      <c r="E98">
        <v>38.03</v>
      </c>
      <c r="F98">
        <v>42.17</v>
      </c>
      <c r="G98">
        <v>40.79</v>
      </c>
      <c r="H98">
        <v>38.47</v>
      </c>
      <c r="I98">
        <v>45.58</v>
      </c>
      <c r="J98">
        <v>45.67</v>
      </c>
      <c r="K98">
        <v>46.06</v>
      </c>
      <c r="L98">
        <v>42.17</v>
      </c>
    </row>
    <row r="99" spans="1:12">
      <c r="A99" s="746" t="s">
        <v>56</v>
      </c>
      <c r="B99">
        <v>1.73</v>
      </c>
      <c r="C99">
        <v>2.58</v>
      </c>
      <c r="D99">
        <v>1.75</v>
      </c>
      <c r="E99">
        <v>1.69</v>
      </c>
      <c r="F99">
        <v>1.73</v>
      </c>
      <c r="G99">
        <v>1.4</v>
      </c>
      <c r="H99">
        <v>1.91</v>
      </c>
      <c r="I99">
        <v>2.1</v>
      </c>
      <c r="J99">
        <v>1.57</v>
      </c>
      <c r="K99">
        <v>1.54</v>
      </c>
      <c r="L99">
        <v>1.33</v>
      </c>
    </row>
    <row r="100" spans="1:12">
      <c r="A100" s="746" t="s">
        <v>65</v>
      </c>
      <c r="B100">
        <v>50.85</v>
      </c>
      <c r="C100">
        <v>72.8</v>
      </c>
      <c r="D100">
        <v>79.73</v>
      </c>
      <c r="E100">
        <v>87.09</v>
      </c>
      <c r="F100">
        <v>82.36</v>
      </c>
      <c r="G100">
        <v>87.77</v>
      </c>
      <c r="H100">
        <v>72.92</v>
      </c>
      <c r="I100">
        <v>81.77</v>
      </c>
      <c r="J100">
        <v>89.34</v>
      </c>
      <c r="K100">
        <v>52.86</v>
      </c>
      <c r="L100">
        <v>37.86</v>
      </c>
    </row>
    <row r="101" spans="1:12">
      <c r="A101" s="746" t="s">
        <v>807</v>
      </c>
      <c r="B101" s="23">
        <v>12000</v>
      </c>
      <c r="C101" s="23">
        <v>11100</v>
      </c>
      <c r="D101" s="23">
        <v>11100</v>
      </c>
      <c r="E101" s="23">
        <v>8400</v>
      </c>
      <c r="F101" t="s">
        <v>671</v>
      </c>
      <c r="G101" t="s">
        <v>671</v>
      </c>
      <c r="H101" t="s">
        <v>671</v>
      </c>
      <c r="I101" t="s">
        <v>671</v>
      </c>
      <c r="J101" t="s">
        <v>671</v>
      </c>
      <c r="K101" t="s">
        <v>671</v>
      </c>
      <c r="L101" t="s">
        <v>671</v>
      </c>
    </row>
    <row r="102" spans="1:12">
      <c r="A102" s="746" t="s">
        <v>808</v>
      </c>
      <c r="B102" s="687">
        <v>106700</v>
      </c>
      <c r="C102" s="687">
        <v>107300</v>
      </c>
      <c r="D102" s="687">
        <v>106000</v>
      </c>
      <c r="E102" s="687">
        <v>102700</v>
      </c>
      <c r="F102" s="687">
        <v>107400</v>
      </c>
      <c r="G102" s="687">
        <v>110800</v>
      </c>
      <c r="H102" s="687">
        <v>110600</v>
      </c>
      <c r="I102" s="687">
        <v>121100</v>
      </c>
      <c r="J102" s="687">
        <v>131900</v>
      </c>
      <c r="K102" s="687">
        <v>124800</v>
      </c>
      <c r="L102" s="687">
        <v>108900</v>
      </c>
    </row>
    <row r="103" spans="1:12">
      <c r="A103" s="746" t="s">
        <v>722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65FD3-D998-4620-811F-863E925C7DF8}">
  <dimension ref="A1:P71"/>
  <sheetViews>
    <sheetView zoomScale="64" workbookViewId="0">
      <selection activeCell="O8" sqref="O8"/>
    </sheetView>
  </sheetViews>
  <sheetFormatPr defaultRowHeight="14.1"/>
  <cols>
    <col min="1" max="1" width="30.875" bestFit="1" customWidth="1"/>
    <col min="2" max="2" width="36" bestFit="1" customWidth="1"/>
    <col min="3" max="16" width="10.125" bestFit="1" customWidth="1"/>
  </cols>
  <sheetData>
    <row r="1" spans="1:16">
      <c r="B1" s="746"/>
    </row>
    <row r="2" spans="1:16">
      <c r="A2" t="s">
        <v>725</v>
      </c>
      <c r="B2" s="746"/>
    </row>
    <row r="3" spans="1:16">
      <c r="B3" s="746"/>
    </row>
    <row r="4" spans="1:16">
      <c r="A4" t="s">
        <v>640</v>
      </c>
      <c r="B4" s="746" t="s">
        <v>809</v>
      </c>
      <c r="C4" t="s">
        <v>810</v>
      </c>
      <c r="D4" t="s">
        <v>641</v>
      </c>
      <c r="E4" t="s">
        <v>642</v>
      </c>
      <c r="F4" t="s">
        <v>643</v>
      </c>
      <c r="G4" t="s">
        <v>644</v>
      </c>
      <c r="H4" t="s">
        <v>645</v>
      </c>
      <c r="I4" t="s">
        <v>646</v>
      </c>
      <c r="J4" t="s">
        <v>647</v>
      </c>
      <c r="K4" t="s">
        <v>648</v>
      </c>
      <c r="L4" t="s">
        <v>649</v>
      </c>
      <c r="M4" t="s">
        <v>650</v>
      </c>
      <c r="N4" t="s">
        <v>651</v>
      </c>
      <c r="O4" t="s">
        <v>652</v>
      </c>
      <c r="P4" t="s">
        <v>653</v>
      </c>
    </row>
    <row r="5" spans="1:16">
      <c r="A5" t="s">
        <v>656</v>
      </c>
      <c r="B5" s="747">
        <v>40908</v>
      </c>
      <c r="C5" s="745">
        <v>41272</v>
      </c>
      <c r="D5" s="745">
        <v>41636</v>
      </c>
      <c r="E5" s="745">
        <v>42000</v>
      </c>
      <c r="F5" s="745">
        <v>42364</v>
      </c>
      <c r="G5" s="745">
        <v>42735</v>
      </c>
      <c r="H5" s="745">
        <v>43099</v>
      </c>
      <c r="I5" s="745">
        <v>43463</v>
      </c>
      <c r="J5" s="745">
        <v>43827</v>
      </c>
      <c r="K5" s="745">
        <v>44191</v>
      </c>
      <c r="L5" s="745">
        <v>44555</v>
      </c>
      <c r="M5" s="745">
        <v>44926</v>
      </c>
      <c r="N5" s="745">
        <v>45290</v>
      </c>
      <c r="O5" s="745">
        <v>45654</v>
      </c>
      <c r="P5" s="745">
        <v>45654</v>
      </c>
    </row>
    <row r="6" spans="1:16">
      <c r="A6" t="s">
        <v>811</v>
      </c>
      <c r="B6" s="746"/>
    </row>
    <row r="7" spans="1:16">
      <c r="A7" t="s">
        <v>812</v>
      </c>
      <c r="B7" s="748">
        <v>12942</v>
      </c>
      <c r="C7" s="23">
        <v>11005</v>
      </c>
      <c r="D7" s="23">
        <v>9620</v>
      </c>
      <c r="E7" s="23">
        <v>11704</v>
      </c>
      <c r="F7" s="23">
        <v>11420</v>
      </c>
      <c r="G7" s="23">
        <v>10316</v>
      </c>
      <c r="H7" s="23">
        <v>9601</v>
      </c>
      <c r="I7" s="23">
        <v>21053</v>
      </c>
      <c r="J7" s="23">
        <v>21048</v>
      </c>
      <c r="K7" s="23">
        <v>20899</v>
      </c>
      <c r="L7" s="23">
        <v>19868</v>
      </c>
      <c r="M7" s="23">
        <v>8014</v>
      </c>
      <c r="N7" s="23">
        <v>1689</v>
      </c>
      <c r="O7" s="23">
        <v>-18756</v>
      </c>
      <c r="P7" s="23">
        <v>-18756</v>
      </c>
    </row>
    <row r="8" spans="1:16">
      <c r="A8" t="s">
        <v>813</v>
      </c>
      <c r="B8" s="748">
        <v>6064</v>
      </c>
      <c r="C8" s="23">
        <v>7522</v>
      </c>
      <c r="D8" s="23">
        <v>8032</v>
      </c>
      <c r="E8" s="23">
        <v>8549</v>
      </c>
      <c r="F8" s="23">
        <v>8711</v>
      </c>
      <c r="G8" s="23">
        <v>7790</v>
      </c>
      <c r="H8" s="23">
        <v>8129</v>
      </c>
      <c r="I8" s="23">
        <v>9085</v>
      </c>
      <c r="J8" s="23">
        <v>10826</v>
      </c>
      <c r="K8" s="23">
        <v>12239</v>
      </c>
      <c r="L8" s="23">
        <v>11792</v>
      </c>
      <c r="M8" s="23">
        <v>13035</v>
      </c>
      <c r="N8" s="23">
        <v>9602</v>
      </c>
      <c r="O8" s="23">
        <v>11379</v>
      </c>
      <c r="P8" s="23">
        <v>11379</v>
      </c>
    </row>
    <row r="9" spans="1:16">
      <c r="A9" t="s">
        <v>814</v>
      </c>
      <c r="B9" s="748">
        <v>1717</v>
      </c>
      <c r="C9">
        <v>671</v>
      </c>
      <c r="D9">
        <v>849</v>
      </c>
      <c r="E9" s="23">
        <v>1655</v>
      </c>
      <c r="F9">
        <v>642</v>
      </c>
      <c r="G9" s="23">
        <v>1663</v>
      </c>
      <c r="H9">
        <v>729</v>
      </c>
      <c r="I9" s="23">
        <v>1505</v>
      </c>
      <c r="J9" s="23">
        <v>3148</v>
      </c>
      <c r="K9">
        <v>338</v>
      </c>
      <c r="L9" s="23">
        <v>3663</v>
      </c>
      <c r="M9" s="23">
        <v>-2386</v>
      </c>
      <c r="N9" s="23">
        <v>2298</v>
      </c>
      <c r="O9" s="23">
        <v>16785</v>
      </c>
      <c r="P9" s="23">
        <v>16785</v>
      </c>
    </row>
    <row r="10" spans="1:16">
      <c r="A10" t="s">
        <v>815</v>
      </c>
      <c r="B10" s="748">
        <v>1016</v>
      </c>
      <c r="C10">
        <v>960</v>
      </c>
      <c r="D10" s="23">
        <v>1069</v>
      </c>
      <c r="E10" s="23">
        <v>1026</v>
      </c>
      <c r="F10" s="23">
        <v>1146</v>
      </c>
      <c r="G10" s="23">
        <v>1444</v>
      </c>
      <c r="H10" s="23">
        <v>1358</v>
      </c>
      <c r="I10" s="23">
        <v>1546</v>
      </c>
      <c r="J10" s="23">
        <v>1705</v>
      </c>
      <c r="K10" s="23">
        <v>1854</v>
      </c>
      <c r="L10" s="23">
        <v>2036</v>
      </c>
      <c r="M10" s="23">
        <v>3128</v>
      </c>
      <c r="N10" s="23">
        <v>3229</v>
      </c>
      <c r="O10" s="23">
        <v>3410</v>
      </c>
      <c r="P10" s="23">
        <v>3410</v>
      </c>
    </row>
    <row r="11" spans="1:16">
      <c r="A11" t="s">
        <v>816</v>
      </c>
      <c r="B11" s="746">
        <v>790</v>
      </c>
      <c r="C11">
        <v>-242</v>
      </c>
      <c r="D11">
        <v>-900</v>
      </c>
      <c r="E11">
        <v>-703</v>
      </c>
      <c r="F11" s="23">
        <v>-1270</v>
      </c>
      <c r="G11">
        <v>257</v>
      </c>
      <c r="H11" s="23">
        <v>1548</v>
      </c>
      <c r="I11" t="s">
        <v>671</v>
      </c>
      <c r="J11" t="s">
        <v>671</v>
      </c>
      <c r="K11" t="s">
        <v>671</v>
      </c>
      <c r="L11" t="s">
        <v>671</v>
      </c>
      <c r="M11" t="s">
        <v>671</v>
      </c>
      <c r="N11" t="s">
        <v>671</v>
      </c>
      <c r="O11" s="23">
        <v>6132</v>
      </c>
    </row>
    <row r="12" spans="1:16">
      <c r="A12" t="s">
        <v>817</v>
      </c>
      <c r="B12" s="746">
        <v>-89</v>
      </c>
      <c r="C12">
        <v>-47</v>
      </c>
      <c r="D12">
        <v>680</v>
      </c>
      <c r="E12" s="23">
        <v>1332</v>
      </c>
      <c r="F12">
        <v>766</v>
      </c>
      <c r="G12">
        <v>-38</v>
      </c>
      <c r="H12" s="23">
        <v>-2177</v>
      </c>
      <c r="I12">
        <v>-41</v>
      </c>
      <c r="J12" s="23">
        <v>1443</v>
      </c>
      <c r="K12" s="23">
        <v>-1516</v>
      </c>
      <c r="L12" s="23">
        <v>1627</v>
      </c>
      <c r="M12" s="23">
        <v>-5514</v>
      </c>
      <c r="N12">
        <v>-931</v>
      </c>
      <c r="O12" s="23">
        <v>7243</v>
      </c>
      <c r="P12" s="23">
        <v>13375</v>
      </c>
    </row>
    <row r="13" spans="1:16">
      <c r="A13" t="s">
        <v>818</v>
      </c>
      <c r="B13" s="746">
        <v>240</v>
      </c>
      <c r="C13">
        <v>-314</v>
      </c>
      <c r="D13" s="23">
        <v>2275</v>
      </c>
      <c r="E13" s="23">
        <v>-1490</v>
      </c>
      <c r="F13" s="23">
        <v>-1756</v>
      </c>
      <c r="G13" s="23">
        <v>2039</v>
      </c>
      <c r="H13" s="23">
        <v>3651</v>
      </c>
      <c r="I13" s="23">
        <v>-2211</v>
      </c>
      <c r="J13" s="23">
        <v>-1877</v>
      </c>
      <c r="K13" s="23">
        <v>2388</v>
      </c>
      <c r="L13" s="23">
        <v>-5332</v>
      </c>
      <c r="M13" s="23">
        <v>-3230</v>
      </c>
      <c r="N13" s="23">
        <v>-2118</v>
      </c>
      <c r="O13" s="23">
        <v>-1120</v>
      </c>
      <c r="P13" s="23">
        <v>-1120</v>
      </c>
    </row>
    <row r="14" spans="1:16">
      <c r="A14" t="s">
        <v>819</v>
      </c>
      <c r="B14" s="746">
        <v>-678</v>
      </c>
      <c r="C14">
        <v>-176</v>
      </c>
      <c r="D14">
        <v>271</v>
      </c>
      <c r="E14">
        <v>-861</v>
      </c>
      <c r="F14">
        <v>-355</v>
      </c>
      <c r="G14">
        <v>65</v>
      </c>
      <c r="H14">
        <v>-781</v>
      </c>
      <c r="I14" s="23">
        <v>-1714</v>
      </c>
      <c r="J14">
        <v>-935</v>
      </c>
      <c r="K14">
        <v>883</v>
      </c>
      <c r="L14" s="23">
        <v>-2674</v>
      </c>
      <c r="M14" s="23">
        <v>5327</v>
      </c>
      <c r="N14">
        <v>731</v>
      </c>
      <c r="O14">
        <v>-75</v>
      </c>
      <c r="P14">
        <v>-75</v>
      </c>
    </row>
    <row r="15" spans="1:16">
      <c r="A15" t="s">
        <v>820</v>
      </c>
      <c r="B15" s="746">
        <v>-243</v>
      </c>
      <c r="C15">
        <v>-626</v>
      </c>
      <c r="D15">
        <v>563</v>
      </c>
      <c r="E15">
        <v>-98</v>
      </c>
      <c r="F15">
        <v>-764</v>
      </c>
      <c r="G15">
        <v>119</v>
      </c>
      <c r="H15" s="23">
        <v>-1300</v>
      </c>
      <c r="I15">
        <v>-214</v>
      </c>
      <c r="J15" s="23">
        <v>-1481</v>
      </c>
      <c r="K15">
        <v>-687</v>
      </c>
      <c r="L15" s="23">
        <v>-2339</v>
      </c>
      <c r="M15" s="23">
        <v>-2436</v>
      </c>
      <c r="N15" s="23">
        <v>2097</v>
      </c>
      <c r="O15" s="23">
        <v>-1105</v>
      </c>
      <c r="P15" s="23">
        <v>-1105</v>
      </c>
    </row>
    <row r="16" spans="1:16">
      <c r="A16" t="s">
        <v>821</v>
      </c>
      <c r="B16" s="746">
        <v>596</v>
      </c>
      <c r="C16">
        <v>67</v>
      </c>
      <c r="D16">
        <v>267</v>
      </c>
      <c r="E16">
        <v>-249</v>
      </c>
      <c r="F16">
        <v>-312</v>
      </c>
      <c r="G16">
        <v>182</v>
      </c>
      <c r="H16">
        <v>191</v>
      </c>
      <c r="I16">
        <v>211</v>
      </c>
      <c r="J16">
        <v>696</v>
      </c>
      <c r="K16">
        <v>405</v>
      </c>
      <c r="L16" s="23">
        <v>1190</v>
      </c>
      <c r="M16">
        <v>-29</v>
      </c>
      <c r="N16">
        <v>-801</v>
      </c>
      <c r="O16">
        <v>634</v>
      </c>
      <c r="P16">
        <v>634</v>
      </c>
    </row>
    <row r="17" spans="1:16">
      <c r="A17" t="s">
        <v>822</v>
      </c>
      <c r="B17" s="746">
        <v>565</v>
      </c>
      <c r="C17">
        <v>421</v>
      </c>
      <c r="D17" s="23">
        <v>1174</v>
      </c>
      <c r="E17">
        <v>-282</v>
      </c>
      <c r="F17">
        <v>-325</v>
      </c>
      <c r="G17" s="23">
        <v>1673</v>
      </c>
      <c r="H17" s="23">
        <v>5541</v>
      </c>
      <c r="I17">
        <v>-494</v>
      </c>
      <c r="J17">
        <v>-157</v>
      </c>
      <c r="K17" s="23">
        <v>1787</v>
      </c>
      <c r="L17" s="23">
        <v>-1509</v>
      </c>
      <c r="M17" s="23">
        <v>-6092</v>
      </c>
      <c r="N17" s="23">
        <v>-4145</v>
      </c>
      <c r="O17">
        <v>-574</v>
      </c>
      <c r="P17">
        <v>-574</v>
      </c>
    </row>
    <row r="18" spans="1:16">
      <c r="A18" t="s">
        <v>823</v>
      </c>
      <c r="B18" s="746">
        <v>0</v>
      </c>
      <c r="C18">
        <v>0</v>
      </c>
      <c r="D18">
        <v>0</v>
      </c>
      <c r="E18">
        <v>0</v>
      </c>
      <c r="F18">
        <v>0</v>
      </c>
      <c r="G18">
        <v>0</v>
      </c>
      <c r="H18">
        <v>0</v>
      </c>
      <c r="I18">
        <v>0</v>
      </c>
      <c r="J18">
        <v>0</v>
      </c>
      <c r="K18">
        <v>0</v>
      </c>
      <c r="L18">
        <v>0</v>
      </c>
      <c r="M18">
        <v>0</v>
      </c>
      <c r="N18">
        <v>0</v>
      </c>
      <c r="O18">
        <v>0</v>
      </c>
      <c r="P18">
        <v>0</v>
      </c>
    </row>
    <row r="19" spans="1:16">
      <c r="A19" t="s">
        <v>811</v>
      </c>
      <c r="B19" s="748">
        <v>20963</v>
      </c>
      <c r="C19" s="23">
        <v>18884</v>
      </c>
      <c r="D19" s="23">
        <v>20776</v>
      </c>
      <c r="E19" s="23">
        <v>20418</v>
      </c>
      <c r="F19" s="23">
        <v>19017</v>
      </c>
      <c r="G19" s="23">
        <v>21808</v>
      </c>
      <c r="H19" s="23">
        <v>22110</v>
      </c>
      <c r="I19" s="23">
        <v>29432</v>
      </c>
      <c r="J19" s="23">
        <v>33145</v>
      </c>
      <c r="K19" s="23">
        <v>35864</v>
      </c>
      <c r="L19" s="23">
        <v>29991</v>
      </c>
      <c r="M19" s="23">
        <v>15433</v>
      </c>
      <c r="N19" s="23">
        <v>11471</v>
      </c>
      <c r="O19" s="23">
        <v>8288</v>
      </c>
      <c r="P19" s="23">
        <v>8288</v>
      </c>
    </row>
    <row r="20" spans="1:16">
      <c r="B20" s="746"/>
    </row>
    <row r="21" spans="1:16">
      <c r="A21" t="s">
        <v>824</v>
      </c>
      <c r="B21" s="746"/>
    </row>
    <row r="22" spans="1:16">
      <c r="A22" t="s">
        <v>825</v>
      </c>
      <c r="B22" s="748">
        <v>-10830</v>
      </c>
      <c r="C22" s="23">
        <v>-11842</v>
      </c>
      <c r="D22" s="23">
        <v>-10747</v>
      </c>
      <c r="E22" s="23">
        <v>-10105</v>
      </c>
      <c r="F22" s="23">
        <v>-7446</v>
      </c>
      <c r="G22" s="23">
        <v>-9625</v>
      </c>
      <c r="H22" s="23">
        <v>-11778</v>
      </c>
      <c r="I22" s="23">
        <v>-15181</v>
      </c>
      <c r="J22" s="23">
        <v>-16213</v>
      </c>
      <c r="K22" s="23">
        <v>-14453</v>
      </c>
      <c r="L22" s="23">
        <v>-20329</v>
      </c>
      <c r="M22" s="23">
        <v>-25050</v>
      </c>
      <c r="N22" s="23">
        <v>-25750</v>
      </c>
      <c r="O22" s="23">
        <v>-23944</v>
      </c>
      <c r="P22" s="23">
        <v>-23944</v>
      </c>
    </row>
    <row r="23" spans="1:16">
      <c r="A23" t="s">
        <v>826</v>
      </c>
      <c r="B23" s="746">
        <v>0</v>
      </c>
      <c r="C23">
        <v>0</v>
      </c>
      <c r="D23">
        <v>0</v>
      </c>
      <c r="E23">
        <v>0</v>
      </c>
      <c r="F23">
        <v>0</v>
      </c>
      <c r="G23">
        <v>0</v>
      </c>
      <c r="H23">
        <v>0</v>
      </c>
      <c r="I23">
        <v>0</v>
      </c>
      <c r="J23">
        <v>0</v>
      </c>
      <c r="K23">
        <v>0</v>
      </c>
      <c r="L23">
        <v>0</v>
      </c>
      <c r="M23">
        <v>0</v>
      </c>
      <c r="N23">
        <v>0</v>
      </c>
      <c r="O23">
        <v>0</v>
      </c>
      <c r="P23">
        <v>0</v>
      </c>
    </row>
    <row r="24" spans="1:16">
      <c r="A24" t="s">
        <v>827</v>
      </c>
      <c r="B24" s="746">
        <v>0</v>
      </c>
      <c r="C24">
        <v>0</v>
      </c>
      <c r="D24">
        <v>0</v>
      </c>
      <c r="E24">
        <v>0</v>
      </c>
      <c r="F24">
        <v>0</v>
      </c>
      <c r="G24">
        <v>0</v>
      </c>
      <c r="H24">
        <v>0</v>
      </c>
      <c r="I24">
        <v>0</v>
      </c>
      <c r="J24">
        <v>0</v>
      </c>
      <c r="K24">
        <v>0</v>
      </c>
      <c r="L24">
        <v>0</v>
      </c>
      <c r="M24">
        <v>0</v>
      </c>
      <c r="N24">
        <v>0</v>
      </c>
      <c r="O24">
        <v>0</v>
      </c>
      <c r="P24">
        <v>0</v>
      </c>
    </row>
    <row r="25" spans="1:16">
      <c r="A25" t="s">
        <v>828</v>
      </c>
      <c r="B25" s="746">
        <v>0</v>
      </c>
      <c r="C25">
        <v>0</v>
      </c>
      <c r="D25">
        <v>0</v>
      </c>
      <c r="E25">
        <v>0</v>
      </c>
      <c r="F25">
        <v>0</v>
      </c>
      <c r="G25">
        <v>0</v>
      </c>
      <c r="H25">
        <v>0</v>
      </c>
      <c r="I25">
        <v>0</v>
      </c>
      <c r="J25">
        <v>0</v>
      </c>
      <c r="K25">
        <v>0</v>
      </c>
      <c r="L25">
        <v>0</v>
      </c>
      <c r="M25">
        <v>0</v>
      </c>
      <c r="N25">
        <v>0</v>
      </c>
      <c r="O25">
        <v>0</v>
      </c>
      <c r="P25">
        <v>0</v>
      </c>
    </row>
    <row r="26" spans="1:16">
      <c r="A26" t="s">
        <v>829</v>
      </c>
      <c r="B26" s="748">
        <v>-10830</v>
      </c>
      <c r="C26" s="23">
        <v>-11842</v>
      </c>
      <c r="D26" s="23">
        <v>-10747</v>
      </c>
      <c r="E26" s="23">
        <v>-10105</v>
      </c>
      <c r="F26" s="23">
        <v>-7446</v>
      </c>
      <c r="G26" s="23">
        <v>-9625</v>
      </c>
      <c r="H26" s="23">
        <v>-11778</v>
      </c>
      <c r="I26" s="23">
        <v>-15181</v>
      </c>
      <c r="J26" s="23">
        <v>-16213</v>
      </c>
      <c r="K26" s="23">
        <v>-14453</v>
      </c>
      <c r="L26" s="23">
        <v>-20329</v>
      </c>
      <c r="M26" s="23">
        <v>-25050</v>
      </c>
      <c r="N26" s="23">
        <v>-25750</v>
      </c>
      <c r="O26" s="23">
        <v>-23944</v>
      </c>
      <c r="P26" s="23">
        <v>-23944</v>
      </c>
    </row>
    <row r="27" spans="1:16">
      <c r="A27" t="s">
        <v>830</v>
      </c>
      <c r="B27" s="748">
        <v>-10764</v>
      </c>
      <c r="C27" s="23">
        <v>-11027</v>
      </c>
      <c r="D27" s="23">
        <v>-10711</v>
      </c>
      <c r="E27" s="23">
        <v>-10105</v>
      </c>
      <c r="F27" s="23">
        <v>-7326</v>
      </c>
      <c r="G27" s="23">
        <v>-9625</v>
      </c>
      <c r="H27" s="23">
        <v>-11778</v>
      </c>
      <c r="I27" s="23">
        <v>-15181</v>
      </c>
      <c r="J27" s="23">
        <v>-16213</v>
      </c>
      <c r="K27" s="23">
        <v>-14453</v>
      </c>
      <c r="L27" s="23">
        <v>-20329</v>
      </c>
      <c r="M27" s="23">
        <v>-25050</v>
      </c>
      <c r="N27" s="23">
        <v>-25750</v>
      </c>
      <c r="O27" s="23">
        <v>-23944</v>
      </c>
      <c r="P27" s="23">
        <v>-23944</v>
      </c>
    </row>
    <row r="28" spans="1:16">
      <c r="A28" t="s">
        <v>831</v>
      </c>
      <c r="B28" s="746">
        <v>-66</v>
      </c>
      <c r="C28">
        <v>-815</v>
      </c>
      <c r="D28">
        <v>-36</v>
      </c>
      <c r="E28">
        <v>0</v>
      </c>
      <c r="F28">
        <v>-120</v>
      </c>
      <c r="G28">
        <v>0</v>
      </c>
      <c r="H28">
        <v>0</v>
      </c>
      <c r="I28">
        <v>0</v>
      </c>
      <c r="J28">
        <v>0</v>
      </c>
      <c r="K28">
        <v>0</v>
      </c>
      <c r="L28">
        <v>0</v>
      </c>
      <c r="M28">
        <v>0</v>
      </c>
      <c r="N28">
        <v>0</v>
      </c>
      <c r="O28">
        <v>0</v>
      </c>
      <c r="P28">
        <v>0</v>
      </c>
    </row>
    <row r="29" spans="1:16">
      <c r="A29" t="s">
        <v>832</v>
      </c>
      <c r="B29" s="748">
        <v>10336</v>
      </c>
      <c r="C29" s="23">
        <v>4894</v>
      </c>
      <c r="D29" s="23">
        <v>7896</v>
      </c>
      <c r="E29" s="23">
        <v>7567</v>
      </c>
      <c r="F29" s="23">
        <v>4157</v>
      </c>
      <c r="G29" s="23">
        <v>5771</v>
      </c>
      <c r="H29" s="23">
        <v>7304</v>
      </c>
      <c r="I29" s="23">
        <v>1928</v>
      </c>
      <c r="J29" s="23">
        <v>2166</v>
      </c>
      <c r="K29">
        <v>190</v>
      </c>
      <c r="L29">
        <v>-32</v>
      </c>
      <c r="M29" s="23">
        <v>4451</v>
      </c>
      <c r="N29">
        <v>73</v>
      </c>
      <c r="O29">
        <v>0</v>
      </c>
      <c r="P29">
        <v>0</v>
      </c>
    </row>
    <row r="30" spans="1:16">
      <c r="A30" t="s">
        <v>833</v>
      </c>
      <c r="B30" s="748">
        <v>11029</v>
      </c>
      <c r="C30" s="23">
        <v>5369</v>
      </c>
      <c r="D30" s="23">
        <v>8336</v>
      </c>
      <c r="E30" s="23">
        <v>8944</v>
      </c>
      <c r="F30" s="23">
        <v>6168</v>
      </c>
      <c r="G30" s="23">
        <v>6734</v>
      </c>
      <c r="H30" s="23">
        <v>8923</v>
      </c>
      <c r="I30" s="23">
        <v>2802</v>
      </c>
      <c r="J30" s="23">
        <v>2688</v>
      </c>
      <c r="K30">
        <v>910</v>
      </c>
      <c r="L30">
        <v>581</v>
      </c>
      <c r="M30" s="23">
        <v>4961</v>
      </c>
      <c r="N30">
        <v>472</v>
      </c>
      <c r="O30">
        <v>0</v>
      </c>
      <c r="P30">
        <v>0</v>
      </c>
    </row>
    <row r="31" spans="1:16">
      <c r="A31" t="s">
        <v>834</v>
      </c>
      <c r="B31" s="746">
        <v>-693</v>
      </c>
      <c r="C31">
        <v>-475</v>
      </c>
      <c r="D31">
        <v>-440</v>
      </c>
      <c r="E31" s="23">
        <v>-1377</v>
      </c>
      <c r="F31" s="23">
        <v>-2011</v>
      </c>
      <c r="G31">
        <v>-963</v>
      </c>
      <c r="H31" s="23">
        <v>-1619</v>
      </c>
      <c r="I31">
        <v>-874</v>
      </c>
      <c r="J31">
        <v>-522</v>
      </c>
      <c r="K31">
        <v>-720</v>
      </c>
      <c r="L31">
        <v>-613</v>
      </c>
      <c r="M31">
        <v>-510</v>
      </c>
      <c r="N31">
        <v>-399</v>
      </c>
      <c r="O31">
        <v>0</v>
      </c>
      <c r="P31">
        <v>0</v>
      </c>
    </row>
    <row r="32" spans="1:16">
      <c r="A32" t="s">
        <v>835</v>
      </c>
      <c r="B32" s="748">
        <v>-8671</v>
      </c>
      <c r="C32">
        <v>-33</v>
      </c>
      <c r="D32">
        <v>-925</v>
      </c>
      <c r="E32">
        <v>-934</v>
      </c>
      <c r="F32">
        <v>-913</v>
      </c>
      <c r="G32" s="23">
        <v>-15470</v>
      </c>
      <c r="H32" s="23">
        <v>-14499</v>
      </c>
      <c r="I32">
        <v>358</v>
      </c>
      <c r="J32" s="23">
        <v>-1958</v>
      </c>
      <c r="K32">
        <v>0</v>
      </c>
      <c r="L32">
        <v>-209</v>
      </c>
      <c r="M32" s="23">
        <v>6579</v>
      </c>
      <c r="N32">
        <v>0</v>
      </c>
      <c r="O32">
        <v>-82</v>
      </c>
      <c r="P32">
        <v>-82</v>
      </c>
    </row>
    <row r="33" spans="1:16">
      <c r="A33" t="s">
        <v>836</v>
      </c>
      <c r="B33" s="746">
        <v>50</v>
      </c>
      <c r="C33">
        <v>605</v>
      </c>
      <c r="D33">
        <v>0</v>
      </c>
      <c r="E33">
        <v>0</v>
      </c>
      <c r="F33">
        <v>0</v>
      </c>
      <c r="G33">
        <v>0</v>
      </c>
      <c r="H33">
        <v>0</v>
      </c>
      <c r="I33">
        <v>548</v>
      </c>
      <c r="J33">
        <v>0</v>
      </c>
      <c r="K33">
        <v>0</v>
      </c>
      <c r="L33">
        <v>0</v>
      </c>
      <c r="M33" s="23">
        <v>6579</v>
      </c>
      <c r="N33">
        <v>0</v>
      </c>
      <c r="O33">
        <v>0</v>
      </c>
      <c r="P33">
        <v>0</v>
      </c>
    </row>
    <row r="34" spans="1:16">
      <c r="A34" t="s">
        <v>837</v>
      </c>
      <c r="B34" s="748">
        <v>-8721</v>
      </c>
      <c r="C34">
        <v>-638</v>
      </c>
      <c r="D34">
        <v>-925</v>
      </c>
      <c r="E34">
        <v>-934</v>
      </c>
      <c r="F34">
        <v>-913</v>
      </c>
      <c r="G34" s="23">
        <v>-15470</v>
      </c>
      <c r="H34" s="23">
        <v>-14499</v>
      </c>
      <c r="I34">
        <v>-190</v>
      </c>
      <c r="J34" s="23">
        <v>-1958</v>
      </c>
      <c r="K34">
        <v>0</v>
      </c>
      <c r="L34">
        <v>-209</v>
      </c>
      <c r="M34">
        <v>0</v>
      </c>
      <c r="N34">
        <v>0</v>
      </c>
      <c r="O34">
        <v>-82</v>
      </c>
      <c r="P34">
        <v>-82</v>
      </c>
    </row>
    <row r="35" spans="1:16">
      <c r="A35" t="s">
        <v>838</v>
      </c>
      <c r="B35" s="746">
        <v>0</v>
      </c>
      <c r="C35">
        <v>0</v>
      </c>
      <c r="D35">
        <v>0</v>
      </c>
      <c r="E35">
        <v>0</v>
      </c>
      <c r="F35">
        <v>0</v>
      </c>
      <c r="G35">
        <v>0</v>
      </c>
      <c r="H35">
        <v>0</v>
      </c>
      <c r="I35">
        <v>0</v>
      </c>
      <c r="J35">
        <v>0</v>
      </c>
      <c r="K35">
        <v>0</v>
      </c>
      <c r="L35">
        <v>0</v>
      </c>
      <c r="M35">
        <v>0</v>
      </c>
      <c r="N35">
        <v>0</v>
      </c>
      <c r="O35">
        <v>0</v>
      </c>
      <c r="P35">
        <v>0</v>
      </c>
    </row>
    <row r="36" spans="1:16">
      <c r="A36" t="s">
        <v>839</v>
      </c>
      <c r="B36" s="748">
        <v>-1136</v>
      </c>
      <c r="C36" s="23">
        <v>-7079</v>
      </c>
      <c r="D36" s="23">
        <v>-14297</v>
      </c>
      <c r="E36" s="23">
        <v>-6433</v>
      </c>
      <c r="F36" s="23">
        <v>-3981</v>
      </c>
      <c r="G36" s="23">
        <v>-6493</v>
      </c>
      <c r="H36" s="23">
        <v>3211</v>
      </c>
      <c r="I36" s="23">
        <v>1656</v>
      </c>
      <c r="J36" s="23">
        <v>1600</v>
      </c>
      <c r="K36" s="23">
        <v>-7261</v>
      </c>
      <c r="L36" s="23">
        <v>-4597</v>
      </c>
      <c r="M36" s="23">
        <v>3789</v>
      </c>
      <c r="N36" s="23">
        <v>1636</v>
      </c>
      <c r="O36" s="23">
        <v>5770</v>
      </c>
      <c r="P36" s="23">
        <v>5770</v>
      </c>
    </row>
    <row r="37" spans="1:16">
      <c r="A37" t="s">
        <v>823</v>
      </c>
      <c r="B37" s="746">
        <v>0</v>
      </c>
      <c r="C37">
        <v>0</v>
      </c>
      <c r="D37">
        <v>0</v>
      </c>
      <c r="E37">
        <v>0</v>
      </c>
      <c r="F37">
        <v>0</v>
      </c>
      <c r="G37">
        <v>0</v>
      </c>
      <c r="H37">
        <v>0</v>
      </c>
      <c r="I37">
        <v>0</v>
      </c>
      <c r="J37">
        <v>0</v>
      </c>
      <c r="K37">
        <v>0</v>
      </c>
      <c r="L37">
        <v>0</v>
      </c>
      <c r="M37">
        <v>0</v>
      </c>
      <c r="N37">
        <v>0</v>
      </c>
      <c r="O37">
        <v>0</v>
      </c>
      <c r="P37">
        <v>0</v>
      </c>
    </row>
    <row r="38" spans="1:16">
      <c r="A38" t="s">
        <v>824</v>
      </c>
      <c r="B38" s="748">
        <v>-10301</v>
      </c>
      <c r="C38" s="23">
        <v>-14060</v>
      </c>
      <c r="D38" s="23">
        <v>-18073</v>
      </c>
      <c r="E38" s="23">
        <v>-9905</v>
      </c>
      <c r="F38" s="23">
        <v>-8183</v>
      </c>
      <c r="G38" s="23">
        <v>-25817</v>
      </c>
      <c r="H38" s="23">
        <v>-15762</v>
      </c>
      <c r="I38" s="23">
        <v>-11239</v>
      </c>
      <c r="J38" s="23">
        <v>-14405</v>
      </c>
      <c r="K38" s="23">
        <v>-21524</v>
      </c>
      <c r="L38" s="23">
        <v>-25167</v>
      </c>
      <c r="M38" s="23">
        <v>-10231</v>
      </c>
      <c r="N38" s="23">
        <v>-24041</v>
      </c>
      <c r="O38" s="23">
        <v>-18256</v>
      </c>
      <c r="P38" s="23">
        <v>-18256</v>
      </c>
    </row>
    <row r="39" spans="1:16">
      <c r="B39" s="746"/>
    </row>
    <row r="40" spans="1:16">
      <c r="A40" t="s">
        <v>840</v>
      </c>
      <c r="B40" s="746"/>
    </row>
    <row r="41" spans="1:16">
      <c r="A41" t="s">
        <v>841</v>
      </c>
      <c r="B41" s="748">
        <v>-4127</v>
      </c>
      <c r="C41" s="23">
        <v>-4350</v>
      </c>
      <c r="D41" s="23">
        <v>-4479</v>
      </c>
      <c r="E41" s="23">
        <v>-4409</v>
      </c>
      <c r="F41" s="23">
        <v>-4556</v>
      </c>
      <c r="G41" s="23">
        <v>-4925</v>
      </c>
      <c r="H41" s="23">
        <v>-5072</v>
      </c>
      <c r="I41" s="23">
        <v>-5541</v>
      </c>
      <c r="J41" s="23">
        <v>-5576</v>
      </c>
      <c r="K41" s="23">
        <v>-5568</v>
      </c>
      <c r="L41" s="23">
        <v>-5644</v>
      </c>
      <c r="M41" s="23">
        <v>-5997</v>
      </c>
      <c r="N41" s="23">
        <v>-3088</v>
      </c>
      <c r="O41" s="23">
        <v>-1599</v>
      </c>
      <c r="P41" s="23">
        <v>-1599</v>
      </c>
    </row>
    <row r="42" spans="1:16">
      <c r="A42" t="s">
        <v>842</v>
      </c>
      <c r="B42" s="748">
        <v>5295</v>
      </c>
      <c r="C42" s="23">
        <v>6127</v>
      </c>
      <c r="D42">
        <v>98</v>
      </c>
      <c r="E42">
        <v>235</v>
      </c>
      <c r="F42" s="23">
        <v>9107</v>
      </c>
      <c r="G42" s="23">
        <v>1219</v>
      </c>
      <c r="H42">
        <v>-352</v>
      </c>
      <c r="I42" s="23">
        <v>-2603</v>
      </c>
      <c r="J42">
        <v>765</v>
      </c>
      <c r="K42" s="23">
        <v>5722</v>
      </c>
      <c r="L42" s="23">
        <v>2474</v>
      </c>
      <c r="M42" s="23">
        <v>5164</v>
      </c>
      <c r="N42" s="23">
        <v>6928</v>
      </c>
      <c r="O42">
        <v>687</v>
      </c>
      <c r="P42">
        <v>687</v>
      </c>
    </row>
    <row r="43" spans="1:16">
      <c r="A43" t="s">
        <v>843</v>
      </c>
      <c r="B43" s="746">
        <v>209</v>
      </c>
      <c r="C43">
        <v>65</v>
      </c>
      <c r="D43">
        <v>-31</v>
      </c>
      <c r="E43">
        <v>235</v>
      </c>
      <c r="F43">
        <v>-474</v>
      </c>
      <c r="G43">
        <v>-15</v>
      </c>
      <c r="H43">
        <v>12</v>
      </c>
      <c r="I43">
        <v>0</v>
      </c>
      <c r="J43">
        <v>0</v>
      </c>
      <c r="K43">
        <v>0</v>
      </c>
      <c r="L43" t="s">
        <v>671</v>
      </c>
      <c r="M43" s="23">
        <v>3945</v>
      </c>
      <c r="N43" s="23">
        <v>-3944</v>
      </c>
      <c r="O43">
        <v>0</v>
      </c>
    </row>
    <row r="44" spans="1:16">
      <c r="A44" t="s">
        <v>844</v>
      </c>
      <c r="B44" s="748">
        <v>5086</v>
      </c>
      <c r="C44" s="23">
        <v>6187</v>
      </c>
      <c r="D44">
        <v>129</v>
      </c>
      <c r="E44">
        <v>0</v>
      </c>
      <c r="F44" s="23">
        <v>9581</v>
      </c>
      <c r="G44" s="23">
        <v>2734</v>
      </c>
      <c r="H44" s="23">
        <v>7716</v>
      </c>
      <c r="I44">
        <v>423</v>
      </c>
      <c r="J44" s="23">
        <v>3392</v>
      </c>
      <c r="K44" s="23">
        <v>10247</v>
      </c>
      <c r="L44" s="23">
        <v>4974</v>
      </c>
      <c r="M44" s="23">
        <v>6548</v>
      </c>
      <c r="N44" s="23">
        <v>11391</v>
      </c>
      <c r="O44" s="23">
        <v>2975</v>
      </c>
    </row>
    <row r="45" spans="1:16">
      <c r="A45" t="s">
        <v>845</v>
      </c>
      <c r="B45" s="746">
        <v>0</v>
      </c>
      <c r="C45">
        <v>-125</v>
      </c>
      <c r="D45">
        <v>0</v>
      </c>
      <c r="E45">
        <v>0</v>
      </c>
      <c r="F45">
        <v>0</v>
      </c>
      <c r="G45" s="23">
        <v>-1500</v>
      </c>
      <c r="H45" s="23">
        <v>-8080</v>
      </c>
      <c r="I45" s="23">
        <v>-3026</v>
      </c>
      <c r="J45" s="23">
        <v>-2627</v>
      </c>
      <c r="K45" s="23">
        <v>-4525</v>
      </c>
      <c r="L45" s="23">
        <v>-2500</v>
      </c>
      <c r="M45" s="23">
        <v>-5329</v>
      </c>
      <c r="N45">
        <v>-519</v>
      </c>
      <c r="O45" s="23">
        <v>-2288</v>
      </c>
    </row>
    <row r="46" spans="1:16">
      <c r="A46" t="s">
        <v>846</v>
      </c>
      <c r="B46" s="748">
        <v>-12258</v>
      </c>
      <c r="C46" s="23">
        <v>-2857</v>
      </c>
      <c r="D46">
        <v>-803</v>
      </c>
      <c r="E46" s="23">
        <v>-9335</v>
      </c>
      <c r="F46" s="23">
        <v>-1651</v>
      </c>
      <c r="G46" s="23">
        <v>-1479</v>
      </c>
      <c r="H46" s="23">
        <v>-2845</v>
      </c>
      <c r="I46" s="23">
        <v>-10175</v>
      </c>
      <c r="J46" s="23">
        <v>-12826</v>
      </c>
      <c r="K46" s="23">
        <v>-13332</v>
      </c>
      <c r="L46" s="23">
        <v>-1395</v>
      </c>
      <c r="M46" s="23">
        <v>2009</v>
      </c>
      <c r="N46" s="23">
        <v>4001</v>
      </c>
      <c r="O46">
        <v>987</v>
      </c>
      <c r="P46">
        <v>987</v>
      </c>
    </row>
    <row r="47" spans="1:16">
      <c r="A47" t="s">
        <v>847</v>
      </c>
      <c r="B47" s="748">
        <v>2082</v>
      </c>
      <c r="C47" s="23">
        <v>2253</v>
      </c>
      <c r="D47" s="23">
        <v>1637</v>
      </c>
      <c r="E47" s="23">
        <v>1782</v>
      </c>
      <c r="F47" s="23">
        <v>1025</v>
      </c>
      <c r="G47" s="23">
        <v>1108</v>
      </c>
      <c r="H47">
        <v>770</v>
      </c>
      <c r="I47">
        <v>555</v>
      </c>
      <c r="J47">
        <v>750</v>
      </c>
      <c r="K47">
        <v>897</v>
      </c>
      <c r="L47" s="23">
        <v>1020</v>
      </c>
      <c r="M47" s="23">
        <v>2009</v>
      </c>
      <c r="N47" s="23">
        <v>4001</v>
      </c>
      <c r="O47">
        <v>987</v>
      </c>
      <c r="P47">
        <v>987</v>
      </c>
    </row>
    <row r="48" spans="1:16">
      <c r="A48" t="s">
        <v>848</v>
      </c>
      <c r="B48" s="748">
        <v>-14340</v>
      </c>
      <c r="C48" s="23">
        <v>-5110</v>
      </c>
      <c r="D48" s="23">
        <v>-2440</v>
      </c>
      <c r="E48" s="23">
        <v>-11117</v>
      </c>
      <c r="F48" s="23">
        <v>-2676</v>
      </c>
      <c r="G48" s="23">
        <v>-2587</v>
      </c>
      <c r="H48" s="23">
        <v>-3615</v>
      </c>
      <c r="I48" s="23">
        <v>-10730</v>
      </c>
      <c r="J48" s="23">
        <v>-13576</v>
      </c>
      <c r="K48" s="23">
        <v>-14229</v>
      </c>
      <c r="L48" s="23">
        <v>-2415</v>
      </c>
      <c r="M48">
        <v>0</v>
      </c>
      <c r="N48">
        <v>0</v>
      </c>
      <c r="O48">
        <v>0</v>
      </c>
      <c r="P48">
        <v>0</v>
      </c>
    </row>
    <row r="49" spans="1:16">
      <c r="A49" t="s">
        <v>849</v>
      </c>
      <c r="B49" s="746">
        <v>-10</v>
      </c>
      <c r="C49">
        <v>-328</v>
      </c>
      <c r="D49">
        <v>-314</v>
      </c>
      <c r="E49">
        <v>-102</v>
      </c>
      <c r="F49">
        <v>-988</v>
      </c>
      <c r="G49">
        <v>-554</v>
      </c>
      <c r="H49">
        <v>-206</v>
      </c>
      <c r="I49">
        <v>-288</v>
      </c>
      <c r="J49">
        <v>72</v>
      </c>
      <c r="K49">
        <v>509</v>
      </c>
      <c r="L49" s="23">
        <v>-1297</v>
      </c>
      <c r="M49">
        <v>-61</v>
      </c>
      <c r="N49">
        <v>664</v>
      </c>
      <c r="O49" s="23">
        <v>11063</v>
      </c>
      <c r="P49" s="23">
        <v>11063</v>
      </c>
    </row>
    <row r="50" spans="1:16">
      <c r="A50" t="s">
        <v>823</v>
      </c>
      <c r="B50" s="746">
        <v>0</v>
      </c>
      <c r="C50">
        <v>0</v>
      </c>
      <c r="D50">
        <v>0</v>
      </c>
      <c r="E50">
        <v>0</v>
      </c>
      <c r="F50">
        <v>0</v>
      </c>
      <c r="G50">
        <v>0</v>
      </c>
      <c r="H50">
        <v>0</v>
      </c>
      <c r="I50">
        <v>0</v>
      </c>
      <c r="J50">
        <v>0</v>
      </c>
      <c r="K50">
        <v>0</v>
      </c>
      <c r="L50">
        <v>0</v>
      </c>
      <c r="M50">
        <v>0</v>
      </c>
      <c r="N50">
        <v>0</v>
      </c>
      <c r="O50">
        <v>0</v>
      </c>
      <c r="P50">
        <v>0</v>
      </c>
    </row>
    <row r="51" spans="1:16">
      <c r="A51" t="s">
        <v>840</v>
      </c>
      <c r="B51" s="748">
        <v>-11100</v>
      </c>
      <c r="C51" s="23">
        <v>-1408</v>
      </c>
      <c r="D51" s="23">
        <v>-5498</v>
      </c>
      <c r="E51" s="23">
        <v>-13611</v>
      </c>
      <c r="F51" s="23">
        <v>1912</v>
      </c>
      <c r="G51" s="23">
        <v>-5739</v>
      </c>
      <c r="H51" s="23">
        <v>-8475</v>
      </c>
      <c r="I51" s="23">
        <v>-18607</v>
      </c>
      <c r="J51" s="23">
        <v>-17565</v>
      </c>
      <c r="K51" s="23">
        <v>-12669</v>
      </c>
      <c r="L51" s="23">
        <v>-5862</v>
      </c>
      <c r="M51" s="23">
        <v>1115</v>
      </c>
      <c r="N51" s="23">
        <v>8505</v>
      </c>
      <c r="O51" s="23">
        <v>11138</v>
      </c>
      <c r="P51" s="23">
        <v>11138</v>
      </c>
    </row>
    <row r="52" spans="1:16">
      <c r="B52" s="746"/>
    </row>
    <row r="53" spans="1:16">
      <c r="A53" t="s">
        <v>850</v>
      </c>
      <c r="B53" s="746">
        <v>5</v>
      </c>
      <c r="C53">
        <v>-3</v>
      </c>
      <c r="D53">
        <v>-9</v>
      </c>
      <c r="E53">
        <v>-15</v>
      </c>
      <c r="F53">
        <v>1</v>
      </c>
      <c r="G53">
        <v>0</v>
      </c>
      <c r="H53">
        <v>0</v>
      </c>
      <c r="I53">
        <v>0</v>
      </c>
      <c r="J53">
        <v>0</v>
      </c>
      <c r="K53">
        <v>0</v>
      </c>
      <c r="L53">
        <v>0</v>
      </c>
      <c r="M53">
        <v>0</v>
      </c>
      <c r="N53">
        <v>0</v>
      </c>
      <c r="O53">
        <v>0</v>
      </c>
      <c r="P53">
        <v>0</v>
      </c>
    </row>
    <row r="54" spans="1:16">
      <c r="B54" s="746"/>
    </row>
    <row r="55" spans="1:16">
      <c r="A55" t="s">
        <v>311</v>
      </c>
      <c r="B55" s="746">
        <v>-433</v>
      </c>
      <c r="C55" s="23">
        <v>3413</v>
      </c>
      <c r="D55" s="23">
        <v>-2804</v>
      </c>
      <c r="E55" s="23">
        <v>-3113</v>
      </c>
      <c r="F55" s="23">
        <v>12747</v>
      </c>
      <c r="G55" s="23">
        <v>-9748</v>
      </c>
      <c r="H55" s="23">
        <v>-2127</v>
      </c>
      <c r="I55">
        <v>-414</v>
      </c>
      <c r="J55" s="23">
        <v>1175</v>
      </c>
      <c r="K55" s="23">
        <v>1671</v>
      </c>
      <c r="L55" s="23">
        <v>-1038</v>
      </c>
      <c r="M55" s="23">
        <v>6317</v>
      </c>
      <c r="N55" s="23">
        <v>-4065</v>
      </c>
      <c r="O55" s="23">
        <v>1170</v>
      </c>
      <c r="P55" s="23">
        <v>1170</v>
      </c>
    </row>
    <row r="56" spans="1:16">
      <c r="B56" s="746"/>
    </row>
    <row r="57" spans="1:16">
      <c r="A57" t="s">
        <v>851</v>
      </c>
      <c r="B57" s="748">
        <v>3338</v>
      </c>
      <c r="C57" s="23">
        <v>3930</v>
      </c>
      <c r="D57" s="23">
        <v>2874</v>
      </c>
      <c r="E57" s="23">
        <v>4639</v>
      </c>
      <c r="F57" s="23">
        <v>3439</v>
      </c>
      <c r="G57">
        <v>877</v>
      </c>
      <c r="H57" s="23">
        <v>3824</v>
      </c>
      <c r="I57" s="23">
        <v>3813</v>
      </c>
      <c r="J57" s="23">
        <v>2110</v>
      </c>
      <c r="K57" s="23">
        <v>2436</v>
      </c>
      <c r="L57" s="23">
        <v>2263</v>
      </c>
      <c r="M57" s="23">
        <v>4282</v>
      </c>
      <c r="N57" s="23">
        <v>2621</v>
      </c>
      <c r="O57" s="23">
        <v>2202</v>
      </c>
      <c r="P57" s="23">
        <v>2202</v>
      </c>
    </row>
    <row r="58" spans="1:16">
      <c r="A58" t="s">
        <v>852</v>
      </c>
      <c r="B58" s="746">
        <v>0</v>
      </c>
      <c r="C58">
        <v>71</v>
      </c>
      <c r="D58">
        <v>204</v>
      </c>
      <c r="E58">
        <v>167</v>
      </c>
      <c r="F58">
        <v>186</v>
      </c>
      <c r="G58">
        <v>682</v>
      </c>
      <c r="H58">
        <v>624</v>
      </c>
      <c r="I58">
        <v>448</v>
      </c>
      <c r="J58">
        <v>469</v>
      </c>
      <c r="K58">
        <v>594</v>
      </c>
      <c r="L58">
        <v>545</v>
      </c>
      <c r="M58">
        <v>459</v>
      </c>
      <c r="N58">
        <v>613</v>
      </c>
      <c r="O58">
        <v>987</v>
      </c>
    </row>
    <row r="59" spans="1:16">
      <c r="B59" s="746"/>
    </row>
    <row r="60" spans="1:16">
      <c r="A60" t="s">
        <v>711</v>
      </c>
      <c r="B60" s="746"/>
    </row>
    <row r="61" spans="1:16">
      <c r="A61" t="s">
        <v>224</v>
      </c>
      <c r="B61" s="748">
        <v>23541</v>
      </c>
      <c r="C61" s="23">
        <v>22160</v>
      </c>
      <c r="D61" s="23">
        <v>20323</v>
      </c>
      <c r="E61" s="23">
        <v>23896</v>
      </c>
      <c r="F61" s="23">
        <v>22713</v>
      </c>
      <c r="G61" s="23">
        <v>20923</v>
      </c>
      <c r="H61" s="23">
        <v>26179</v>
      </c>
      <c r="I61" s="23">
        <v>32401</v>
      </c>
      <c r="J61" s="23">
        <v>33046</v>
      </c>
      <c r="K61" s="23">
        <v>36096</v>
      </c>
      <c r="L61" s="23">
        <v>31426</v>
      </c>
      <c r="M61" s="23">
        <v>15547</v>
      </c>
      <c r="N61" s="23">
        <v>9889</v>
      </c>
      <c r="O61">
        <v>-149</v>
      </c>
      <c r="P61">
        <v>-299</v>
      </c>
    </row>
    <row r="62" spans="1:16">
      <c r="A62" t="s">
        <v>853</v>
      </c>
      <c r="B62" s="746">
        <v>43.6</v>
      </c>
      <c r="C62">
        <v>41.54</v>
      </c>
      <c r="D62">
        <v>38.56</v>
      </c>
      <c r="E62">
        <v>42.77</v>
      </c>
      <c r="F62">
        <v>41.03</v>
      </c>
      <c r="G62">
        <v>35.229999999999997</v>
      </c>
      <c r="H62">
        <v>41.71</v>
      </c>
      <c r="I62">
        <v>45.73</v>
      </c>
      <c r="J62">
        <v>45.92</v>
      </c>
      <c r="K62">
        <v>46.36</v>
      </c>
      <c r="L62">
        <v>39.770000000000003</v>
      </c>
      <c r="M62">
        <v>24.66</v>
      </c>
      <c r="N62">
        <v>18.239999999999998</v>
      </c>
      <c r="O62">
        <v>-0.28000000000000003</v>
      </c>
      <c r="P62">
        <v>-0.56000000000000005</v>
      </c>
    </row>
    <row r="63" spans="1:16">
      <c r="A63" t="s">
        <v>854</v>
      </c>
      <c r="B63" s="748">
        <v>8721</v>
      </c>
      <c r="C63">
        <v>638</v>
      </c>
      <c r="D63">
        <v>925</v>
      </c>
      <c r="E63">
        <v>934</v>
      </c>
      <c r="F63">
        <v>913</v>
      </c>
      <c r="G63" s="23">
        <v>15470</v>
      </c>
      <c r="H63" s="23">
        <v>14499</v>
      </c>
      <c r="I63">
        <v>190</v>
      </c>
      <c r="J63" s="23">
        <v>1958</v>
      </c>
      <c r="K63">
        <v>0</v>
      </c>
      <c r="L63">
        <v>209</v>
      </c>
      <c r="M63" t="s">
        <v>671</v>
      </c>
      <c r="N63" t="s">
        <v>671</v>
      </c>
      <c r="O63">
        <v>82</v>
      </c>
    </row>
    <row r="64" spans="1:16">
      <c r="A64" t="s">
        <v>855</v>
      </c>
      <c r="B64" s="746">
        <v>37</v>
      </c>
      <c r="C64">
        <v>142</v>
      </c>
      <c r="D64">
        <v>49</v>
      </c>
      <c r="E64">
        <v>122</v>
      </c>
      <c r="F64">
        <v>159</v>
      </c>
      <c r="G64" t="s">
        <v>671</v>
      </c>
      <c r="H64" t="s">
        <v>671</v>
      </c>
      <c r="I64" t="s">
        <v>671</v>
      </c>
      <c r="J64" t="s">
        <v>671</v>
      </c>
      <c r="K64" t="s">
        <v>671</v>
      </c>
      <c r="L64" t="s">
        <v>671</v>
      </c>
      <c r="M64" t="s">
        <v>671</v>
      </c>
      <c r="N64" t="s">
        <v>671</v>
      </c>
      <c r="O64" t="s">
        <v>671</v>
      </c>
    </row>
    <row r="65" spans="1:16">
      <c r="A65" t="s">
        <v>856</v>
      </c>
      <c r="B65" s="748">
        <v>10199</v>
      </c>
      <c r="C65" s="23">
        <v>7857</v>
      </c>
      <c r="D65" s="23">
        <v>10065</v>
      </c>
      <c r="E65" s="23">
        <v>10313</v>
      </c>
      <c r="F65" s="23">
        <v>11691</v>
      </c>
      <c r="G65" s="23">
        <v>12183</v>
      </c>
      <c r="H65" s="23">
        <v>10332</v>
      </c>
      <c r="I65" s="23">
        <v>14251</v>
      </c>
      <c r="J65" s="23">
        <v>16932</v>
      </c>
      <c r="K65" s="23">
        <v>21411</v>
      </c>
      <c r="L65" s="23">
        <v>9662</v>
      </c>
      <c r="M65" s="23">
        <v>-9617</v>
      </c>
      <c r="N65" s="23">
        <v>-14279</v>
      </c>
      <c r="O65" s="23">
        <v>-15656</v>
      </c>
      <c r="P65" s="23">
        <v>-15656</v>
      </c>
    </row>
    <row r="66" spans="1:16">
      <c r="A66" t="s">
        <v>857</v>
      </c>
      <c r="B66" s="748">
        <v>10229</v>
      </c>
      <c r="C66" s="23">
        <v>7924</v>
      </c>
      <c r="D66" s="23">
        <v>10251</v>
      </c>
      <c r="E66" s="23">
        <v>10455</v>
      </c>
      <c r="F66" s="23">
        <v>11962</v>
      </c>
      <c r="G66" s="23">
        <v>12768</v>
      </c>
      <c r="H66" s="23">
        <v>10637</v>
      </c>
      <c r="I66" s="23">
        <v>14674</v>
      </c>
      <c r="J66" s="23">
        <v>17360</v>
      </c>
      <c r="K66" s="23">
        <v>21935</v>
      </c>
      <c r="L66" s="23">
        <v>10209</v>
      </c>
      <c r="M66" t="s">
        <v>671</v>
      </c>
      <c r="N66" t="s">
        <v>671</v>
      </c>
      <c r="O66" t="s">
        <v>671</v>
      </c>
      <c r="P66" s="23">
        <v>-2729</v>
      </c>
    </row>
    <row r="67" spans="1:16">
      <c r="A67" t="s">
        <v>858</v>
      </c>
      <c r="B67" s="748">
        <v>15494</v>
      </c>
      <c r="C67" s="23">
        <v>13984</v>
      </c>
      <c r="D67" s="23">
        <v>10163</v>
      </c>
      <c r="E67" s="23">
        <v>10548</v>
      </c>
      <c r="F67" s="23">
        <v>20798</v>
      </c>
      <c r="G67" s="23">
        <v>13402</v>
      </c>
      <c r="H67" s="23">
        <v>9980</v>
      </c>
      <c r="I67" s="23">
        <v>11648</v>
      </c>
      <c r="J67" s="23">
        <v>17697</v>
      </c>
      <c r="K67" s="23">
        <v>27133</v>
      </c>
      <c r="L67" s="23">
        <v>12136</v>
      </c>
      <c r="M67" s="23">
        <v>-4453</v>
      </c>
      <c r="N67" s="23">
        <v>-7351</v>
      </c>
      <c r="O67" s="23">
        <v>-14969</v>
      </c>
      <c r="P67" s="23">
        <v>-14969</v>
      </c>
    </row>
    <row r="68" spans="1:16">
      <c r="A68" t="s">
        <v>859</v>
      </c>
      <c r="B68" s="746">
        <v>1.94</v>
      </c>
      <c r="C68">
        <v>1.57</v>
      </c>
      <c r="D68">
        <v>2.0299999999999998</v>
      </c>
      <c r="E68">
        <v>2.1</v>
      </c>
      <c r="F68">
        <v>2.4700000000000002</v>
      </c>
      <c r="G68">
        <v>2.58</v>
      </c>
      <c r="H68">
        <v>2.2000000000000002</v>
      </c>
      <c r="I68">
        <v>3.09</v>
      </c>
      <c r="J68">
        <v>3.83</v>
      </c>
      <c r="K68">
        <v>5.0999999999999996</v>
      </c>
      <c r="L68">
        <v>2.38</v>
      </c>
      <c r="M68">
        <v>-2.34</v>
      </c>
      <c r="N68">
        <v>-3.41</v>
      </c>
      <c r="O68">
        <v>-3.66</v>
      </c>
      <c r="P68">
        <v>-3.67</v>
      </c>
    </row>
    <row r="69" spans="1:16">
      <c r="A69" t="s">
        <v>860</v>
      </c>
      <c r="B69" s="746">
        <v>12.5</v>
      </c>
      <c r="C69">
        <v>12.86</v>
      </c>
      <c r="D69">
        <v>12.64</v>
      </c>
      <c r="E69">
        <v>17.84</v>
      </c>
      <c r="F69">
        <v>14.19</v>
      </c>
      <c r="G69">
        <v>14.08</v>
      </c>
      <c r="H69">
        <v>21</v>
      </c>
      <c r="I69">
        <v>15.13</v>
      </c>
      <c r="J69">
        <v>15.67</v>
      </c>
      <c r="K69">
        <v>9.23</v>
      </c>
      <c r="L69">
        <v>21.56</v>
      </c>
      <c r="M69" t="s">
        <v>671</v>
      </c>
      <c r="N69" t="s">
        <v>671</v>
      </c>
      <c r="O69" t="s">
        <v>671</v>
      </c>
    </row>
    <row r="70" spans="1:16">
      <c r="A70" t="s">
        <v>254</v>
      </c>
      <c r="B70" s="746">
        <v>1.62</v>
      </c>
      <c r="C70">
        <v>1.72</v>
      </c>
      <c r="D70">
        <v>2.16</v>
      </c>
      <c r="E70">
        <v>1.74</v>
      </c>
      <c r="F70">
        <v>1.67</v>
      </c>
      <c r="G70">
        <v>2.11</v>
      </c>
      <c r="H70">
        <v>2.2999999999999998</v>
      </c>
      <c r="I70">
        <v>1.4</v>
      </c>
      <c r="J70">
        <v>1.57</v>
      </c>
      <c r="K70">
        <v>1.72</v>
      </c>
      <c r="L70">
        <v>1.51</v>
      </c>
      <c r="M70">
        <v>1.93</v>
      </c>
      <c r="N70">
        <v>6.79</v>
      </c>
      <c r="O70" t="s">
        <v>671</v>
      </c>
    </row>
    <row r="71" spans="1:16" ht="27.95">
      <c r="A71" t="s">
        <v>722</v>
      </c>
      <c r="B71" s="746" t="s">
        <v>723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EDFCD-63C3-41AD-9CB8-6BFA1810C440}">
  <dimension ref="A1:D29"/>
  <sheetViews>
    <sheetView workbookViewId="0">
      <selection activeCell="D6" sqref="D6"/>
    </sheetView>
  </sheetViews>
  <sheetFormatPr defaultRowHeight="14.1"/>
  <cols>
    <col min="2" max="3" width="11.125" bestFit="1" customWidth="1"/>
    <col min="4" max="4" width="10.125" bestFit="1" customWidth="1"/>
  </cols>
  <sheetData>
    <row r="1" spans="1:4" ht="14.45">
      <c r="A1" s="798" t="s">
        <v>521</v>
      </c>
      <c r="B1" s="798" t="s">
        <v>116</v>
      </c>
      <c r="C1" s="798" t="s">
        <v>596</v>
      </c>
      <c r="D1" s="798" t="s">
        <v>861</v>
      </c>
    </row>
    <row r="2" spans="1:4" ht="14.45">
      <c r="A2" s="799" t="s">
        <v>116</v>
      </c>
      <c r="B2" s="799">
        <v>49484415000</v>
      </c>
      <c r="C2" s="799">
        <v>48047340000</v>
      </c>
      <c r="D2" s="799">
        <v>1437075000</v>
      </c>
    </row>
    <row r="3" spans="1:4" ht="14.45">
      <c r="A3" s="799">
        <v>2025</v>
      </c>
      <c r="B3" s="799">
        <v>2250000000</v>
      </c>
      <c r="C3" s="799">
        <v>2250000000</v>
      </c>
      <c r="D3" s="799">
        <v>0</v>
      </c>
    </row>
    <row r="4" spans="1:4" ht="14.45">
      <c r="A4" s="799">
        <v>2026</v>
      </c>
      <c r="B4" s="799">
        <v>2500000000</v>
      </c>
      <c r="C4" s="799">
        <v>2500000000</v>
      </c>
      <c r="D4" s="799">
        <v>0</v>
      </c>
    </row>
    <row r="5" spans="1:4" ht="14.45">
      <c r="A5" s="799">
        <v>2027</v>
      </c>
      <c r="B5" s="799">
        <v>3825765000</v>
      </c>
      <c r="C5" s="799">
        <v>3250000000</v>
      </c>
      <c r="D5" s="799">
        <v>575765000</v>
      </c>
    </row>
    <row r="6" spans="1:4" ht="14.45">
      <c r="A6" s="799">
        <v>2028</v>
      </c>
      <c r="B6" s="799">
        <v>3173425000</v>
      </c>
      <c r="C6" s="799">
        <v>2750000000</v>
      </c>
      <c r="D6" s="799">
        <v>423425000</v>
      </c>
    </row>
    <row r="7" spans="1:4" ht="14.45">
      <c r="A7" s="799">
        <v>2029</v>
      </c>
      <c r="B7" s="799">
        <v>3287885000</v>
      </c>
      <c r="C7" s="799">
        <v>2850000000</v>
      </c>
      <c r="D7" s="799">
        <v>437885000</v>
      </c>
    </row>
    <row r="8" spans="1:4" ht="14.45">
      <c r="A8" s="799">
        <v>2030</v>
      </c>
      <c r="B8" s="799">
        <v>2750000000</v>
      </c>
      <c r="C8" s="799">
        <v>2750000000</v>
      </c>
      <c r="D8" s="799">
        <v>0</v>
      </c>
    </row>
    <row r="9" spans="1:4" ht="14.45">
      <c r="A9" s="799">
        <v>2031</v>
      </c>
      <c r="B9" s="799">
        <v>1750000000</v>
      </c>
      <c r="C9" s="799">
        <v>1750000000</v>
      </c>
      <c r="D9" s="799">
        <v>0</v>
      </c>
    </row>
    <row r="10" spans="1:4" ht="14.45">
      <c r="A10" s="799">
        <v>2032</v>
      </c>
      <c r="B10" s="799">
        <v>2000000000</v>
      </c>
      <c r="C10" s="799">
        <v>2000000000</v>
      </c>
      <c r="D10" s="799">
        <v>0</v>
      </c>
    </row>
    <row r="11" spans="1:4" ht="14.45">
      <c r="A11" s="799">
        <v>2033</v>
      </c>
      <c r="B11" s="799">
        <v>2250000000</v>
      </c>
      <c r="C11" s="799">
        <v>2250000000</v>
      </c>
      <c r="D11" s="799">
        <v>0</v>
      </c>
    </row>
    <row r="12" spans="1:4" ht="14.45">
      <c r="A12" s="799">
        <v>2034</v>
      </c>
      <c r="B12" s="799">
        <v>900000000</v>
      </c>
      <c r="C12" s="799">
        <v>900000000</v>
      </c>
      <c r="D12" s="799">
        <v>0</v>
      </c>
    </row>
    <row r="13" spans="1:4" ht="14.45">
      <c r="A13" s="799">
        <v>2040</v>
      </c>
      <c r="B13" s="799">
        <v>750000000</v>
      </c>
      <c r="C13" s="799">
        <v>750000000</v>
      </c>
      <c r="D13" s="799">
        <v>0</v>
      </c>
    </row>
    <row r="14" spans="1:4" ht="14.45">
      <c r="A14" s="799">
        <v>2041</v>
      </c>
      <c r="B14" s="799">
        <v>1551628000</v>
      </c>
      <c r="C14" s="799">
        <v>1551628000</v>
      </c>
      <c r="D14" s="799">
        <v>0</v>
      </c>
    </row>
    <row r="15" spans="1:4" ht="14.45">
      <c r="A15" s="799">
        <v>2042</v>
      </c>
      <c r="B15" s="799">
        <v>567101000</v>
      </c>
      <c r="C15" s="799">
        <v>567101000</v>
      </c>
      <c r="D15" s="799">
        <v>0</v>
      </c>
    </row>
    <row r="16" spans="1:4" ht="14.45">
      <c r="A16" s="799">
        <v>2043</v>
      </c>
      <c r="B16" s="799">
        <v>1000000000</v>
      </c>
      <c r="C16" s="799">
        <v>1000000000</v>
      </c>
      <c r="D16" s="799">
        <v>0</v>
      </c>
    </row>
    <row r="17" spans="1:4" ht="14.45">
      <c r="A17" s="799">
        <v>2045</v>
      </c>
      <c r="B17" s="799">
        <v>772021000</v>
      </c>
      <c r="C17" s="799">
        <v>772021000</v>
      </c>
      <c r="D17" s="799">
        <v>0</v>
      </c>
    </row>
    <row r="18" spans="1:4" ht="14.45">
      <c r="A18" s="799">
        <v>2046</v>
      </c>
      <c r="B18" s="799">
        <v>1250000000</v>
      </c>
      <c r="C18" s="799">
        <v>1250000000</v>
      </c>
      <c r="D18" s="799">
        <v>0</v>
      </c>
    </row>
    <row r="19" spans="1:4" ht="14.45">
      <c r="A19" s="799">
        <v>2047</v>
      </c>
      <c r="B19" s="799">
        <v>3606590000</v>
      </c>
      <c r="C19" s="799">
        <v>3606590000</v>
      </c>
      <c r="D19" s="799">
        <v>0</v>
      </c>
    </row>
    <row r="20" spans="1:4" ht="14.45">
      <c r="A20" s="799">
        <v>2049</v>
      </c>
      <c r="B20" s="799">
        <v>2000000000</v>
      </c>
      <c r="C20" s="799">
        <v>2000000000</v>
      </c>
      <c r="D20" s="799">
        <v>0</v>
      </c>
    </row>
    <row r="21" spans="1:4" ht="14.45">
      <c r="A21" s="799">
        <v>2050</v>
      </c>
      <c r="B21" s="799">
        <v>2250000000</v>
      </c>
      <c r="C21" s="799">
        <v>2250000000</v>
      </c>
      <c r="D21" s="799">
        <v>0</v>
      </c>
    </row>
    <row r="22" spans="1:4" ht="14.45">
      <c r="A22" s="799">
        <v>2051</v>
      </c>
      <c r="B22" s="799">
        <v>1250000000</v>
      </c>
      <c r="C22" s="799">
        <v>1250000000</v>
      </c>
      <c r="D22" s="799">
        <v>0</v>
      </c>
    </row>
    <row r="23" spans="1:4" ht="14.45">
      <c r="A23" s="799">
        <v>2052</v>
      </c>
      <c r="B23" s="799">
        <v>1750000000</v>
      </c>
      <c r="C23" s="799">
        <v>1750000000</v>
      </c>
      <c r="D23" s="799">
        <v>0</v>
      </c>
    </row>
    <row r="24" spans="1:4" ht="14.45">
      <c r="A24" s="799">
        <v>2053</v>
      </c>
      <c r="B24" s="799">
        <v>2000000000</v>
      </c>
      <c r="C24" s="799">
        <v>2000000000</v>
      </c>
      <c r="D24" s="799">
        <v>0</v>
      </c>
    </row>
    <row r="25" spans="1:4" ht="14.45">
      <c r="A25" s="799">
        <v>2054</v>
      </c>
      <c r="B25" s="799">
        <v>1150000000</v>
      </c>
      <c r="C25" s="799">
        <v>1150000000</v>
      </c>
      <c r="D25" s="799">
        <v>0</v>
      </c>
    </row>
    <row r="26" spans="1:4" ht="14.45">
      <c r="A26" s="799">
        <v>2060</v>
      </c>
      <c r="B26" s="799">
        <v>2000000000</v>
      </c>
      <c r="C26" s="799">
        <v>2000000000</v>
      </c>
      <c r="D26" s="799">
        <v>0</v>
      </c>
    </row>
    <row r="27" spans="1:4" ht="14.45">
      <c r="A27" s="799">
        <v>2061</v>
      </c>
      <c r="B27" s="799">
        <v>750000000</v>
      </c>
      <c r="C27" s="799">
        <v>750000000</v>
      </c>
      <c r="D27" s="799">
        <v>0</v>
      </c>
    </row>
    <row r="28" spans="1:4" ht="14.45">
      <c r="A28" s="799">
        <v>2062</v>
      </c>
      <c r="B28" s="799">
        <v>900000000</v>
      </c>
      <c r="C28" s="799">
        <v>900000000</v>
      </c>
      <c r="D28" s="799">
        <v>0</v>
      </c>
    </row>
    <row r="29" spans="1:4" ht="14.45">
      <c r="A29" s="799">
        <v>2063</v>
      </c>
      <c r="B29" s="799">
        <v>1250000000</v>
      </c>
      <c r="C29" s="799">
        <v>1250000000</v>
      </c>
      <c r="D29" s="799">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AE259173-D2AA-4BAF-B268-2CF54D90B1EC}"/>
</file>

<file path=customXml/itemProps2.xml><?xml version="1.0" encoding="utf-8"?>
<ds:datastoreItem xmlns:ds="http://schemas.openxmlformats.org/officeDocument/2006/customXml" ds:itemID="{64BB988D-8D01-4A93-B497-E21446BB3F17}"/>
</file>

<file path=customXml/itemProps3.xml><?xml version="1.0" encoding="utf-8"?>
<ds:datastoreItem xmlns:ds="http://schemas.openxmlformats.org/officeDocument/2006/customXml" ds:itemID="{AB79CB92-5331-4E6D-BCCA-3ED810C77402}"/>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Daniel Filipe Cristóvão da Cruz</cp:lastModifiedBy>
  <cp:revision/>
  <dcterms:created xsi:type="dcterms:W3CDTF">2025-02-25T16:23:47Z</dcterms:created>
  <dcterms:modified xsi:type="dcterms:W3CDTF">2025-09-18T14:36:14Z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